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J7" i="1" l="1"/>
  <c r="J8" i="1"/>
  <c r="J9" i="1"/>
  <c r="J10" i="1"/>
  <c r="J11" i="1"/>
  <c r="J12" i="1"/>
  <c r="J13" i="1"/>
  <c r="J14" i="1"/>
  <c r="J15" i="1"/>
  <c r="J16" i="1"/>
  <c r="J17" i="1"/>
  <c r="J6" i="1"/>
  <c r="B7" i="3" l="1"/>
  <c r="L56" i="7" l="1"/>
  <c r="B56" i="7"/>
  <c r="F20" i="1" l="1"/>
  <c r="G20" i="1"/>
  <c r="G24" i="1"/>
  <c r="F24" i="1" s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G23" i="1"/>
  <c r="F23" i="1" s="1"/>
  <c r="G21" i="1"/>
  <c r="F21" i="1" s="1"/>
  <c r="A20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U12" i="1"/>
  <c r="B13" i="1"/>
  <c r="B12" i="1"/>
  <c r="C12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3" i="1"/>
  <c r="B11" i="1"/>
  <c r="D11" i="1" s="1"/>
  <c r="E17" i="1"/>
  <c r="B9" i="5"/>
  <c r="B52" i="7"/>
  <c r="J11" i="6"/>
  <c r="H11" i="6" s="1"/>
  <c r="B7" i="1"/>
  <c r="E7" i="1" s="1"/>
  <c r="F15" i="1"/>
  <c r="L48" i="7"/>
  <c r="L54" i="7"/>
  <c r="L50" i="7"/>
  <c r="L52" i="7"/>
  <c r="C10" i="1"/>
  <c r="B50" i="7"/>
  <c r="B21" i="5"/>
  <c r="D21" i="5" s="1"/>
  <c r="B48" i="7"/>
  <c r="D7" i="4"/>
  <c r="D26" i="4"/>
  <c r="F9" i="5" l="1"/>
  <c r="E9" i="5"/>
  <c r="D9" i="5"/>
  <c r="C9" i="5"/>
  <c r="D7" i="5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C32" i="5"/>
  <c r="L2" i="7"/>
  <c r="Q24" i="7" s="1"/>
  <c r="F9" i="1"/>
  <c r="K12" i="1" s="1"/>
  <c r="W1" i="1" s="1"/>
  <c r="D9" i="1"/>
  <c r="H15" i="1"/>
  <c r="H9" i="1"/>
  <c r="F8" i="1"/>
  <c r="K10" i="1" s="1"/>
  <c r="F7" i="5"/>
  <c r="D8" i="1"/>
  <c r="E12" i="1"/>
  <c r="C7" i="1"/>
  <c r="D34" i="5"/>
  <c r="E32" i="5"/>
  <c r="C21" i="5"/>
  <c r="F19" i="5"/>
  <c r="E19" i="5"/>
  <c r="F13" i="1"/>
  <c r="B18" i="6"/>
  <c r="B16" i="6"/>
  <c r="H12" i="1"/>
  <c r="D12" i="1"/>
  <c r="E7" i="5"/>
  <c r="F17" i="1"/>
  <c r="D17" i="1"/>
  <c r="C15" i="1"/>
  <c r="C34" i="5"/>
  <c r="B11" i="6"/>
  <c r="H10" i="1"/>
  <c r="F34" i="5"/>
  <c r="D10" i="1"/>
  <c r="F10" i="1"/>
  <c r="K14" i="1" s="1"/>
  <c r="E10" i="1"/>
  <c r="F16" i="1"/>
  <c r="H16" i="1"/>
  <c r="C16" i="1"/>
  <c r="D16" i="1"/>
  <c r="H14" i="1"/>
  <c r="D32" i="5"/>
  <c r="D13" i="6"/>
  <c r="E16" i="1"/>
  <c r="H7" i="1"/>
  <c r="D7" i="1"/>
  <c r="F7" i="1"/>
  <c r="C8" i="1"/>
  <c r="N7" i="2" a="1"/>
  <c r="N7" i="2" s="1"/>
  <c r="Q6" i="2" s="1"/>
  <c r="Z6" i="2" s="1"/>
  <c r="M7" i="2" a="1"/>
  <c r="M7" i="2" s="1"/>
  <c r="P7" i="2" s="1"/>
  <c r="Y7" i="2" s="1"/>
  <c r="F11" i="1"/>
  <c r="E11" i="1"/>
  <c r="B6" i="6"/>
  <c r="B8" i="6"/>
  <c r="H11" i="1"/>
  <c r="F6" i="1"/>
  <c r="E6" i="1"/>
  <c r="D6" i="1"/>
  <c r="H6" i="1"/>
  <c r="F14" i="1"/>
  <c r="E14" i="1"/>
  <c r="C14" i="1"/>
  <c r="H13" i="1"/>
  <c r="D13" i="1"/>
  <c r="E13" i="1"/>
  <c r="C13" i="1"/>
  <c r="D14" i="1"/>
  <c r="D15" i="1"/>
  <c r="E15" i="1"/>
  <c r="C17" i="1"/>
  <c r="H17" i="1"/>
  <c r="B13" i="6"/>
  <c r="F21" i="5"/>
  <c r="E21" i="5"/>
  <c r="C11" i="1"/>
  <c r="D8" i="6"/>
  <c r="H6" i="6"/>
  <c r="C6" i="1"/>
  <c r="B21" i="6"/>
  <c r="B23" i="6"/>
  <c r="AL13" i="2" l="1"/>
  <c r="AK13" i="2"/>
  <c r="K8" i="1"/>
  <c r="P12" i="1" s="1"/>
  <c r="AK7" i="2"/>
  <c r="AL11" i="2"/>
  <c r="AL15" i="2"/>
  <c r="AL19" i="2"/>
  <c r="AL8" i="2"/>
  <c r="AL16" i="2"/>
  <c r="AK8" i="2"/>
  <c r="AK12" i="2"/>
  <c r="AK16" i="2"/>
  <c r="AK20" i="2"/>
  <c r="AL12" i="2"/>
  <c r="AL20" i="2"/>
  <c r="AK9" i="2"/>
  <c r="AK17" i="2"/>
  <c r="AK21" i="2"/>
  <c r="AK14" i="2"/>
  <c r="AK18" i="2"/>
  <c r="AL7" i="2"/>
  <c r="AL9" i="2"/>
  <c r="AL17" i="2"/>
  <c r="AL21" i="2"/>
  <c r="AK10" i="2"/>
  <c r="AK22" i="2"/>
  <c r="AK15" i="2"/>
  <c r="AL10" i="2"/>
  <c r="AL14" i="2"/>
  <c r="AL18" i="2"/>
  <c r="AL22" i="2"/>
  <c r="AK11" i="2"/>
  <c r="AK19" i="2"/>
  <c r="K4" i="1"/>
  <c r="O6" i="1" s="1"/>
  <c r="K16" i="1"/>
  <c r="R11" i="1" s="1"/>
  <c r="Q17" i="1"/>
  <c r="Q14" i="1"/>
  <c r="Q10" i="1"/>
  <c r="Q7" i="1"/>
  <c r="Q15" i="1"/>
  <c r="Q6" i="1"/>
  <c r="Q8" i="1"/>
  <c r="Q16" i="1"/>
  <c r="Q9" i="1"/>
  <c r="Q11" i="1"/>
  <c r="Q13" i="1"/>
  <c r="Q12" i="1"/>
  <c r="N8" i="2" a="1"/>
  <c r="N8" i="2" s="1"/>
  <c r="R6" i="2" s="1"/>
  <c r="M8" i="2" a="1"/>
  <c r="M8" i="2" s="1"/>
  <c r="M9" i="2" s="1" a="1"/>
  <c r="M9" i="2" s="1"/>
  <c r="P9" i="2" s="1"/>
  <c r="Y9" i="2" s="1"/>
  <c r="Q7" i="2"/>
  <c r="O7" i="1"/>
  <c r="O13" i="1"/>
  <c r="O11" i="1"/>
  <c r="P10" i="1" l="1"/>
  <c r="P11" i="1"/>
  <c r="P16" i="1"/>
  <c r="P9" i="1"/>
  <c r="P13" i="1"/>
  <c r="P15" i="1"/>
  <c r="P14" i="1"/>
  <c r="P7" i="1"/>
  <c r="P17" i="1"/>
  <c r="P8" i="1"/>
  <c r="P6" i="1"/>
  <c r="R8" i="1"/>
  <c r="O15" i="1"/>
  <c r="O14" i="1"/>
  <c r="U7" i="1"/>
  <c r="V7" i="1" s="1"/>
  <c r="U10" i="1"/>
  <c r="W10" i="1" s="1"/>
  <c r="R9" i="1"/>
  <c r="R17" i="1"/>
  <c r="AK23" i="2"/>
  <c r="O10" i="1"/>
  <c r="O17" i="1"/>
  <c r="R13" i="1"/>
  <c r="R12" i="1"/>
  <c r="R7" i="1"/>
  <c r="U6" i="1"/>
  <c r="Y6" i="1" s="1"/>
  <c r="O9" i="1"/>
  <c r="R16" i="1"/>
  <c r="U8" i="1"/>
  <c r="R14" i="1"/>
  <c r="O12" i="1"/>
  <c r="R15" i="1"/>
  <c r="U9" i="1"/>
  <c r="X9" i="1" s="1"/>
  <c r="R6" i="1"/>
  <c r="R10" i="1"/>
  <c r="U2" i="1"/>
  <c r="U13" i="1"/>
  <c r="O8" i="1"/>
  <c r="U11" i="1"/>
  <c r="Y11" i="1" s="1"/>
  <c r="O16" i="1"/>
  <c r="N9" i="2" a="1"/>
  <c r="N9" i="2" s="1"/>
  <c r="N10" i="2" s="1" a="1"/>
  <c r="N10" i="2" s="1"/>
  <c r="N11" i="2" s="1" a="1"/>
  <c r="N11" i="2" s="1"/>
  <c r="U6" i="2" s="1"/>
  <c r="R9" i="2"/>
  <c r="M10" i="2" a="1"/>
  <c r="M10" i="2" s="1"/>
  <c r="P10" i="2" s="1"/>
  <c r="Q9" i="2"/>
  <c r="P8" i="2"/>
  <c r="Y8" i="2" s="1"/>
  <c r="Z7" i="2"/>
  <c r="AA6" i="2"/>
  <c r="R7" i="2"/>
  <c r="AA7" i="2" s="1"/>
  <c r="AA7" i="1" l="1"/>
  <c r="AC7" i="1" s="1"/>
  <c r="W7" i="1"/>
  <c r="V10" i="1"/>
  <c r="Y7" i="1"/>
  <c r="X7" i="1"/>
  <c r="X10" i="1"/>
  <c r="Y10" i="1"/>
  <c r="Y9" i="1"/>
  <c r="V11" i="1"/>
  <c r="X11" i="1"/>
  <c r="W11" i="1"/>
  <c r="W6" i="1"/>
  <c r="V6" i="1"/>
  <c r="AB7" i="1" s="1"/>
  <c r="AA6" i="1"/>
  <c r="AC6" i="1" s="1"/>
  <c r="AE6" i="1" s="1"/>
  <c r="AH6" i="1" s="1"/>
  <c r="X6" i="1"/>
  <c r="AA11" i="1"/>
  <c r="AA8" i="1"/>
  <c r="AC8" i="1" s="1"/>
  <c r="AA9" i="1"/>
  <c r="W9" i="1"/>
  <c r="AA10" i="1"/>
  <c r="W8" i="1"/>
  <c r="Y8" i="1"/>
  <c r="V9" i="1"/>
  <c r="U1" i="1"/>
  <c r="X8" i="1"/>
  <c r="V8" i="1"/>
  <c r="S6" i="2"/>
  <c r="S10" i="2" s="1"/>
  <c r="R8" i="2"/>
  <c r="AA8" i="2" s="1"/>
  <c r="M11" i="2" a="1"/>
  <c r="M11" i="2" s="1"/>
  <c r="P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T6" i="2"/>
  <c r="U8" i="2"/>
  <c r="AD8" i="2" s="1"/>
  <c r="AL6" i="1"/>
  <c r="AI6" i="1" l="1"/>
  <c r="AP6" i="1" s="1"/>
  <c r="AF6" i="1"/>
  <c r="AG6" i="1"/>
  <c r="AN6" i="1" s="1"/>
  <c r="AC9" i="1"/>
  <c r="AE9" i="1" s="1"/>
  <c r="AC10" i="1"/>
  <c r="AC11" i="1"/>
  <c r="S11" i="2"/>
  <c r="S7" i="2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E7" i="1"/>
  <c r="AM6" i="1"/>
  <c r="AE8" i="1"/>
  <c r="AO6" i="1"/>
  <c r="AE11" i="1" l="1"/>
  <c r="AI11" i="1" s="1"/>
  <c r="AP11" i="1" s="1"/>
  <c r="AE10" i="1"/>
  <c r="AG10" i="1" s="1"/>
  <c r="AN10" i="1" s="1"/>
  <c r="AB11" i="2"/>
  <c r="Z11" i="2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G9" i="1"/>
  <c r="AN9" i="1" s="1"/>
  <c r="AI9" i="1"/>
  <c r="AP9" i="1" s="1"/>
  <c r="AF9" i="1"/>
  <c r="AM9" i="1" s="1"/>
  <c r="AL9" i="1"/>
  <c r="AH9" i="1"/>
  <c r="AO9" i="1" s="1"/>
  <c r="AL7" i="1"/>
  <c r="AF7" i="1"/>
  <c r="AH7" i="1"/>
  <c r="AG7" i="1"/>
  <c r="AI7" i="1"/>
  <c r="AL8" i="1"/>
  <c r="AF8" i="1"/>
  <c r="AM8" i="1" s="1"/>
  <c r="AG8" i="1"/>
  <c r="AN8" i="1" s="1"/>
  <c r="AI8" i="1"/>
  <c r="AP8" i="1" s="1"/>
  <c r="AH8" i="1"/>
  <c r="AO8" i="1" s="1"/>
  <c r="AL11" i="1" l="1"/>
  <c r="AH11" i="1"/>
  <c r="AO11" i="1" s="1"/>
  <c r="AG11" i="1"/>
  <c r="AN11" i="1" s="1"/>
  <c r="AF11" i="1"/>
  <c r="AM11" i="1" s="1"/>
  <c r="AL10" i="1"/>
  <c r="AH10" i="1"/>
  <c r="AO10" i="1" s="1"/>
  <c r="AF10" i="1"/>
  <c r="AM10" i="1" s="1"/>
  <c r="AI10" i="1"/>
  <c r="AP10" i="1" s="1"/>
  <c r="Z12" i="2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M7" i="1"/>
  <c r="AP7" i="1"/>
  <c r="AO7" i="1"/>
  <c r="AN7" i="1"/>
  <c r="AG12" i="1" l="1"/>
  <c r="AN12" i="1"/>
  <c r="AF12" i="1"/>
  <c r="AP12" i="1"/>
  <c r="AI12" i="1"/>
  <c r="AM12" i="1"/>
  <c r="AH12" i="1"/>
  <c r="AO12" i="1"/>
  <c r="T13" i="2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 l="1"/>
  <c r="AB18" i="2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<sst xmlns="http://schemas.openxmlformats.org/spreadsheetml/2006/main" count="355" uniqueCount="142">
  <si>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</si>
  <si>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</si>
  <si>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</si>
  <si>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</si>
  <si>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</si>
  <si>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</si>
  <si>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</si>
  <si>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</si>
  <si>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</si>
  <si>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</si>
  <si>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</si>
  <si>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</si>
  <si>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</si>
  <si>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</si>
  <si>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</si>
  <si>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</si>
  <si>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</si>
  <si>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</si>
  <si>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</si>
  <si>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</si>
  <si>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</si>
  <si>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</si>
  <si>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</si>
  <si>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</si>
  <si>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</si>
  <si>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</si>
  <si>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</si>
  <si>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</si>
  <si>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</si>
  <si>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</si>
  <si>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</si>
  <si>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</si>
  <si>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</si>
  <si>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</si>
  <si>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</si>
  <si>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</si>
  <si>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</si>
  <si>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</si>
  <si>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</si>
  <si>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</si>
  <si>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</si>
  <si>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</si>
  <si>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</si>
  <si>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</si>
  <si>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</si>
  <si>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</si>
  <si>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</si>
  <si>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</si>
  <si>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</si>
  <si>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</si>
  <si>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</si>
  <si>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</si>
  <si>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</si>
  <si>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</si>
  <si>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</si>
  <si>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</si>
  <si>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</si>
  <si>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</si>
  <si>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</si>
  <si>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</si>
  <si>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</si>
  <si>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</si>
  <si>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</si>
  <si>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</si>
  <si>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</si>
  <si>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</si>
  <si>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</si>
  <si>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</si>
  <si>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</si>
  <si>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</si>
  <si>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</si>
  <si>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</si>
  <si>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</si>
  <si>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</si>
  <si>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</si>
  <si>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</si>
  <si>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</si>
  <si>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</si>
  <si>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</si>
  <si>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</si>
  <si>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</si>
  <si>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</si>
  <si>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</si>
  <si>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</si>
  <si>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</si>
  <si>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</si>
  <si>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</si>
  <si>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</si>
  <si>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</si>
  <si>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</si>
  <si>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</si>
  <si>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</si>
  <si>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</si>
  <si>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</si>
  <si>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очки</t>
  </si>
  <si>
    <t>Цупров Максим Русланович</t>
  </si>
  <si>
    <t>01.09.99, кмс</t>
  </si>
  <si>
    <t>ЦФО</t>
  </si>
  <si>
    <t>Тверская, Тверь</t>
  </si>
  <si>
    <t>Остапенко АА</t>
  </si>
  <si>
    <t>Золотцев Максим Русланович</t>
  </si>
  <si>
    <t>16.12.98, кмс</t>
  </si>
  <si>
    <t>Арцыбашев Иван Сергеевич</t>
  </si>
  <si>
    <t>26.09.95, кмс</t>
  </si>
  <si>
    <t>Косилов Даниил Эдуардович</t>
  </si>
  <si>
    <t>08.02.95, кмс</t>
  </si>
  <si>
    <t>Ярославская, Ярославль</t>
  </si>
  <si>
    <t>Сапожников СВ</t>
  </si>
  <si>
    <t>Жарков Денис Сергееич</t>
  </si>
  <si>
    <t>04.12.95, кмс</t>
  </si>
  <si>
    <t>Ярославская, Углич</t>
  </si>
  <si>
    <t>Петров ВА Скуднов ВС</t>
  </si>
  <si>
    <t>Алешкин Илья Сергеевич</t>
  </si>
  <si>
    <t>07.05.97, кмс</t>
  </si>
  <si>
    <t>М</t>
  </si>
  <si>
    <t>Москва, МГФСО</t>
  </si>
  <si>
    <t>Астахов ДБ</t>
  </si>
  <si>
    <t>Саламатников Александр Николаевич</t>
  </si>
  <si>
    <t>19.03.93, мс</t>
  </si>
  <si>
    <t>Москва, ГБУ СШ "Битца"</t>
  </si>
  <si>
    <t>Попов ДВ</t>
  </si>
  <si>
    <t>Блинов Антон Андреевич</t>
  </si>
  <si>
    <t>22.09.90, кмс</t>
  </si>
  <si>
    <t>ПФО</t>
  </si>
  <si>
    <t>Кировская, Киров</t>
  </si>
  <si>
    <t>Николаев АН</t>
  </si>
  <si>
    <t>Рочев Антон Александрович</t>
  </si>
  <si>
    <t>26.02.90, кмс</t>
  </si>
  <si>
    <t>Губин ВВ</t>
  </si>
  <si>
    <t>Магомедханов Самур Исламович</t>
  </si>
  <si>
    <t>06.01.00, кмс</t>
  </si>
  <si>
    <t>СЗФО</t>
  </si>
  <si>
    <t>Вологодская, Вологда</t>
  </si>
  <si>
    <t>Дженетханов ТЛ</t>
  </si>
  <si>
    <t>Петросян Карен Агаронович</t>
  </si>
  <si>
    <t>20.03.01, кмс</t>
  </si>
  <si>
    <t>Рыбинкин КВ Матюшенский АВ</t>
  </si>
  <si>
    <t>Щеголев Денис Юрьевич</t>
  </si>
  <si>
    <t>01.01.93, кмс</t>
  </si>
  <si>
    <t>Вершинов АА</t>
  </si>
  <si>
    <t>В.к.82б кг.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</si>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</sst>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9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0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5" fillId="0" borderId="0" xfId="1" applyFont="1" applyAlignment="1" applyProtection="1"/>
    <xf numFmtId="0" fontId="15" fillId="0" borderId="0" xfId="0" applyFont="1"/>
    <xf numFmtId="0" fontId="15" fillId="0" borderId="0" xfId="0" applyFont="1" applyBorder="1"/>
    <xf numFmtId="0" fontId="16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0" fillId="0" borderId="0" xfId="0" applyFont="1"/>
    <xf numFmtId="0" fontId="19" fillId="0" borderId="0" xfId="0" applyFont="1"/>
    <xf numFmtId="0" fontId="19" fillId="0" borderId="2" xfId="0" applyFont="1" applyBorder="1"/>
    <xf numFmtId="0" fontId="19" fillId="0" borderId="0" xfId="0" applyFont="1" applyBorder="1"/>
    <xf numFmtId="0" fontId="19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5" fillId="0" borderId="0" xfId="0" applyNumberFormat="1" applyFont="1" applyBorder="1" applyAlignment="1">
      <alignment horizontal="center" vertical="center"/>
    </xf>
    <xf numFmtId="49" fontId="25" fillId="0" borderId="9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6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7" fillId="0" borderId="21" xfId="0" applyFont="1" applyBorder="1" applyAlignment="1" applyProtection="1">
      <alignment horizontal="center"/>
      <protection locked="0" hidden="1"/>
    </xf>
    <xf numFmtId="0" fontId="37" fillId="0" borderId="19" xfId="0" applyNumberFormat="1" applyFont="1" applyFill="1" applyBorder="1" applyAlignment="1" applyProtection="1">
      <alignment horizontal="center"/>
      <protection locked="0" hidden="1"/>
    </xf>
    <xf numFmtId="0" fontId="37" fillId="7" borderId="19" xfId="0" applyNumberFormat="1" applyFont="1" applyFill="1" applyBorder="1" applyAlignment="1" applyProtection="1">
      <alignment horizontal="center"/>
      <protection locked="0" hidden="1"/>
    </xf>
    <xf numFmtId="0" fontId="37" fillId="0" borderId="20" xfId="0" applyFont="1" applyBorder="1" applyAlignment="1" applyProtection="1">
      <alignment horizontal="center"/>
      <protection locked="0" hidden="1"/>
    </xf>
    <xf numFmtId="0" fontId="37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7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38" fillId="7" borderId="0" xfId="0" applyFont="1" applyFill="1" applyBorder="1" applyProtection="1"/>
    <xf numFmtId="0" fontId="38" fillId="0" borderId="0" xfId="0" applyFont="1" applyBorder="1" applyProtection="1"/>
    <xf numFmtId="0" fontId="0" fillId="0" borderId="0" xfId="0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Protection="1">
      <protection locked="0"/>
    </xf>
    <xf numFmtId="0" fontId="8" fillId="0" borderId="0" xfId="0" applyFo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3" fillId="0" borderId="0" xfId="0" applyNumberFormat="1" applyFont="1" applyBorder="1" applyAlignment="1" applyProtection="1">
      <alignment horizontal="left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Protection="1"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7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3" fillId="0" borderId="0" xfId="1" applyFont="1" applyBorder="1" applyAlignment="1" applyProtection="1"/>
    <xf numFmtId="0" fontId="15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6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0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5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1" fillId="0" borderId="0" xfId="1" applyFont="1" applyAlignment="1" applyProtection="1"/>
    <xf numFmtId="0" fontId="33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28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Font="1" applyBorder="1"/>
    <xf numFmtId="0" fontId="15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Protection="1"/>
    <xf numFmtId="0" fontId="1" fillId="0" borderId="0" xfId="0" applyFont="1" applyProtection="1">
      <protection locked="0" hidden="1"/>
    </xf>
    <xf numFmtId="0" fontId="1" fillId="8" borderId="0" xfId="0" applyFont="1" applyFill="1" applyProtection="1">
      <protection locked="0" hidden="1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NumberFormat="1" applyFont="1" applyBorder="1" applyAlignment="1" applyProtection="1">
      <alignment horizontal="right" vertical="center"/>
      <protection locked="0"/>
    </xf>
    <xf numFmtId="0" fontId="3" fillId="0" borderId="0" xfId="0" applyNumberFormat="1" applyFont="1" applyBorder="1" applyAlignment="1" applyProtection="1">
      <alignment vertical="center" wrapText="1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8" borderId="0" xfId="0" applyFont="1" applyFill="1" applyProtection="1"/>
    <xf numFmtId="0" fontId="1" fillId="0" borderId="0" xfId="0" applyFont="1" applyFill="1" applyBorder="1" applyProtection="1">
      <protection locked="0"/>
    </xf>
    <xf numFmtId="49" fontId="1" fillId="7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protection locked="0"/>
    </xf>
    <xf numFmtId="0" fontId="1" fillId="0" borderId="0" xfId="0" applyNumberFormat="1" applyFont="1" applyBorder="1" applyProtection="1">
      <protection locked="0"/>
    </xf>
    <xf numFmtId="0" fontId="1" fillId="0" borderId="0" xfId="0" applyNumberFormat="1" applyFont="1" applyBorder="1" applyAlignment="1" applyProtection="1">
      <alignment horizontal="center"/>
      <protection locked="0"/>
    </xf>
    <xf numFmtId="0" fontId="1" fillId="0" borderId="0" xfId="0" applyNumberFormat="1" applyFont="1" applyProtection="1">
      <protection locked="0"/>
    </xf>
    <xf numFmtId="49" fontId="1" fillId="0" borderId="45" xfId="0" applyNumberFormat="1" applyFont="1" applyBorder="1" applyAlignment="1" applyProtection="1">
      <alignment horizontal="center" vertical="center"/>
      <protection locked="0"/>
    </xf>
    <xf numFmtId="0" fontId="6" fillId="0" borderId="43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left" vertical="center"/>
      <protection locked="0"/>
    </xf>
    <xf numFmtId="49" fontId="1" fillId="0" borderId="6" xfId="0" applyNumberFormat="1" applyFont="1" applyBorder="1" applyAlignment="1" applyProtection="1">
      <alignment horizontal="left" vertical="center"/>
      <protection locked="0"/>
    </xf>
    <xf numFmtId="49" fontId="1" fillId="0" borderId="7" xfId="0" applyNumberFormat="1" applyFont="1" applyBorder="1" applyAlignment="1" applyProtection="1">
      <alignment horizontal="left" vertical="center"/>
      <protection locked="0"/>
    </xf>
    <xf numFmtId="0" fontId="30" fillId="0" borderId="32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11" fillId="0" borderId="32" xfId="0" applyNumberFormat="1" applyFont="1" applyBorder="1" applyAlignment="1">
      <alignment vertical="center" wrapText="1"/>
    </xf>
    <xf numFmtId="0" fontId="11" fillId="0" borderId="33" xfId="0" applyNumberFormat="1" applyFont="1" applyBorder="1" applyAlignment="1">
      <alignment vertical="center" wrapText="1"/>
    </xf>
    <xf numFmtId="0" fontId="11" fillId="0" borderId="27" xfId="0" applyNumberFormat="1" applyFont="1" applyBorder="1" applyAlignment="1">
      <alignment vertical="center" wrapText="1"/>
    </xf>
    <xf numFmtId="0" fontId="11" fillId="0" borderId="36" xfId="0" applyNumberFormat="1" applyFont="1" applyBorder="1" applyAlignment="1">
      <alignment vertical="center" wrapText="1"/>
    </xf>
    <xf numFmtId="0" fontId="11" fillId="0" borderId="40" xfId="0" applyNumberFormat="1" applyFont="1" applyBorder="1" applyAlignment="1">
      <alignment vertical="center" wrapText="1"/>
    </xf>
    <xf numFmtId="0" fontId="11" fillId="0" borderId="41" xfId="0" applyNumberFormat="1" applyFont="1" applyBorder="1" applyAlignment="1">
      <alignment vertical="center" wrapText="1"/>
    </xf>
    <xf numFmtId="0" fontId="11" fillId="0" borderId="32" xfId="1" applyFont="1" applyFill="1" applyBorder="1" applyAlignment="1" applyProtection="1">
      <alignment horizontal="center" vertical="center" wrapText="1"/>
    </xf>
    <xf numFmtId="0" fontId="11" fillId="0" borderId="27" xfId="1" applyFont="1" applyFill="1" applyBorder="1" applyAlignment="1" applyProtection="1">
      <alignment horizontal="center" vertical="center" wrapText="1"/>
    </xf>
    <xf numFmtId="0" fontId="11" fillId="0" borderId="40" xfId="1" applyFont="1" applyFill="1" applyBorder="1" applyAlignment="1" applyProtection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43" fillId="0" borderId="0" xfId="1" applyNumberFormat="1" applyFont="1" applyFill="1" applyBorder="1" applyAlignment="1" applyProtection="1">
      <alignment horizontal="center" vertical="center" wrapText="1"/>
    </xf>
    <xf numFmtId="0" fontId="15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5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9" fillId="0" borderId="46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3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3" fillId="2" borderId="57" xfId="1" applyFont="1" applyFill="1" applyBorder="1" applyAlignment="1" applyProtection="1">
      <alignment horizontal="center" vertical="center" wrapText="1"/>
      <protection locked="0"/>
    </xf>
    <xf numFmtId="0" fontId="23" fillId="2" borderId="58" xfId="1" applyFont="1" applyFill="1" applyBorder="1" applyAlignment="1" applyProtection="1">
      <alignment horizontal="center" vertical="center" wrapText="1"/>
      <protection locked="0"/>
    </xf>
    <xf numFmtId="0" fontId="23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28" fillId="0" borderId="0" xfId="1" applyFont="1" applyAlignment="1" applyProtection="1">
      <alignment horizontal="left"/>
      <protection locked="0"/>
    </xf>
    <xf numFmtId="0" fontId="8" fillId="0" borderId="27" xfId="1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11" fillId="0" borderId="61" xfId="0" applyNumberFormat="1" applyFont="1" applyBorder="1" applyAlignment="1" applyProtection="1">
      <alignment horizontal="center" vertical="center" wrapText="1"/>
      <protection locked="0"/>
    </xf>
    <xf numFmtId="0" fontId="11" fillId="0" borderId="62" xfId="0" applyNumberFormat="1" applyFont="1" applyBorder="1" applyAlignment="1" applyProtection="1">
      <alignment horizontal="center" vertical="center" wrapText="1"/>
      <protection locked="0"/>
    </xf>
    <xf numFmtId="0" fontId="11" fillId="0" borderId="63" xfId="0" applyNumberFormat="1" applyFont="1" applyBorder="1" applyAlignment="1" applyProtection="1">
      <alignment horizontal="center" vertical="center" wrapText="1"/>
      <protection locked="0"/>
    </xf>
    <xf numFmtId="0" fontId="11" fillId="0" borderId="64" xfId="0" applyNumberFormat="1" applyFont="1" applyBorder="1" applyAlignment="1" applyProtection="1">
      <alignment horizontal="center" vertical="center" wrapText="1"/>
      <protection locked="0"/>
    </xf>
    <xf numFmtId="0" fontId="11" fillId="0" borderId="65" xfId="0" applyNumberFormat="1" applyFont="1" applyBorder="1" applyAlignment="1" applyProtection="1">
      <alignment horizontal="center" vertical="center" wrapText="1"/>
      <protection locked="0"/>
    </xf>
    <xf numFmtId="0" fontId="11" fillId="0" borderId="66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5" fillId="0" borderId="67" xfId="0" applyNumberFormat="1" applyFont="1" applyBorder="1" applyAlignment="1" applyProtection="1">
      <alignment horizontal="center" vertical="center" wrapText="1"/>
      <protection locked="0"/>
    </xf>
    <xf numFmtId="0" fontId="45" fillId="0" borderId="6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8" fillId="0" borderId="69" xfId="0" applyNumberFormat="1" applyFont="1" applyBorder="1" applyAlignment="1" applyProtection="1">
      <alignment horizontal="center" vertical="center" wrapText="1"/>
      <protection locked="0"/>
    </xf>
    <xf numFmtId="0" fontId="18" fillId="0" borderId="70" xfId="0" applyNumberFormat="1" applyFont="1" applyBorder="1" applyAlignment="1" applyProtection="1">
      <alignment horizontal="center" vertical="center" wrapText="1"/>
      <protection locked="0"/>
    </xf>
    <xf numFmtId="0" fontId="18" fillId="0" borderId="71" xfId="0" applyNumberFormat="1" applyFont="1" applyBorder="1" applyAlignment="1" applyProtection="1">
      <alignment horizontal="center" vertical="center" wrapText="1"/>
      <protection locked="0"/>
    </xf>
    <xf numFmtId="0" fontId="18" fillId="0" borderId="72" xfId="0" applyNumberFormat="1" applyFont="1" applyBorder="1" applyAlignment="1" applyProtection="1">
      <alignment horizontal="center" vertical="center" wrapText="1"/>
      <protection locked="0"/>
    </xf>
    <xf numFmtId="0" fontId="18" fillId="0" borderId="73" xfId="0" applyNumberFormat="1" applyFont="1" applyBorder="1" applyAlignment="1" applyProtection="1">
      <alignment horizontal="center" vertical="center" wrapText="1"/>
      <protection locked="0"/>
    </xf>
    <xf numFmtId="0" fontId="18" fillId="0" borderId="74" xfId="0" applyNumberFormat="1" applyFont="1" applyBorder="1" applyAlignment="1" applyProtection="1">
      <alignment horizontal="center" vertical="center" wrapText="1"/>
      <protection locked="0"/>
    </xf>
    <xf numFmtId="0" fontId="1" fillId="0" borderId="81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28" fillId="0" borderId="75" xfId="0" applyFont="1" applyBorder="1" applyAlignment="1">
      <alignment horizontal="center" vertical="center" wrapText="1"/>
    </xf>
    <xf numFmtId="0" fontId="28" fillId="0" borderId="76" xfId="0" applyFont="1" applyBorder="1" applyAlignment="1">
      <alignment horizontal="center" vertical="center" wrapText="1"/>
    </xf>
    <xf numFmtId="0" fontId="28" fillId="0" borderId="77" xfId="0" applyFont="1" applyBorder="1" applyAlignment="1">
      <alignment horizontal="center" vertical="center" wrapText="1"/>
    </xf>
    <xf numFmtId="0" fontId="28" fillId="0" borderId="78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81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49" fontId="27" fillId="0" borderId="32" xfId="0" applyNumberFormat="1" applyFont="1" applyBorder="1" applyAlignment="1">
      <alignment horizontal="center" vertical="center" wrapText="1"/>
    </xf>
    <xf numFmtId="0" fontId="27" fillId="0" borderId="27" xfId="0" applyNumberFormat="1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5" fillId="0" borderId="0" xfId="0" applyFont="1" applyAlignment="1">
      <alignment horizontal="center"/>
    </xf>
    <xf numFmtId="0" fontId="28" fillId="0" borderId="81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49" fontId="28" fillId="0" borderId="33" xfId="0" applyNumberFormat="1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center" vertical="center" wrapText="1"/>
    </xf>
    <xf numFmtId="0" fontId="29" fillId="0" borderId="80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49" fontId="24" fillId="0" borderId="45" xfId="0" applyNumberFormat="1" applyFont="1" applyBorder="1" applyAlignment="1">
      <alignment horizontal="center" vertical="center" wrapText="1"/>
    </xf>
    <xf numFmtId="0" fontId="24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5" fillId="0" borderId="75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77" xfId="0" applyFont="1" applyBorder="1" applyAlignment="1">
      <alignment horizontal="center" vertical="center" wrapText="1"/>
    </xf>
    <xf numFmtId="49" fontId="26" fillId="0" borderId="32" xfId="0" applyNumberFormat="1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6" fillId="0" borderId="27" xfId="0" applyNumberFormat="1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81" xfId="0" applyNumberFormat="1" applyFont="1" applyBorder="1" applyAlignment="1">
      <alignment horizontal="center" vertical="center" wrapText="1"/>
    </xf>
    <xf numFmtId="49" fontId="28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7" fillId="0" borderId="43" xfId="0" applyNumberFormat="1" applyFont="1" applyBorder="1" applyAlignment="1">
      <alignment horizontal="center" vertical="center" wrapText="1"/>
    </xf>
    <xf numFmtId="0" fontId="29" fillId="0" borderId="79" xfId="0" applyNumberFormat="1" applyFont="1" applyBorder="1" applyAlignment="1">
      <alignment horizontal="center" vertical="center" wrapText="1"/>
    </xf>
    <xf numFmtId="0" fontId="29" fillId="0" borderId="8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5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6" fillId="0" borderId="82" xfId="1" applyFont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3" xfId="0" applyFont="1" applyFill="1" applyBorder="1" applyAlignment="1" applyProtection="1">
      <alignment horizontal="center" vertical="center"/>
      <protection locked="0" hidden="1"/>
    </xf>
    <xf numFmtId="0" fontId="3" fillId="3" borderId="84" xfId="0" applyFont="1" applyFill="1" applyBorder="1" applyAlignment="1" applyProtection="1">
      <alignment horizontal="center" vertical="center"/>
      <protection locked="0" hidden="1"/>
    </xf>
    <xf numFmtId="0" fontId="34" fillId="0" borderId="4" xfId="0" applyFont="1" applyBorder="1" applyAlignment="1" applyProtection="1">
      <alignment horizontal="center" vertical="center" textRotation="90" wrapText="1"/>
    </xf>
    <xf numFmtId="0" fontId="34" fillId="0" borderId="3" xfId="0" applyFont="1" applyBorder="1" applyAlignment="1" applyProtection="1">
      <alignment horizontal="center" vertical="center" textRotation="90" wrapText="1"/>
    </xf>
    <xf numFmtId="0" fontId="34" fillId="0" borderId="4" xfId="0" applyFont="1" applyBorder="1" applyAlignment="1" applyProtection="1">
      <alignment horizontal="center" vertical="center" wrapText="1"/>
    </xf>
    <xf numFmtId="0" fontId="34" fillId="0" borderId="56" xfId="0" applyFont="1" applyBorder="1" applyAlignment="1" applyProtection="1">
      <alignment horizontal="center" vertical="center" wrapText="1"/>
    </xf>
    <xf numFmtId="0" fontId="34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4" fillId="0" borderId="4" xfId="0" applyFont="1" applyBorder="1" applyAlignment="1" applyProtection="1">
      <alignment vertical="center" textRotation="90" wrapText="1"/>
    </xf>
    <xf numFmtId="0" fontId="34" fillId="0" borderId="3" xfId="0" applyFont="1" applyBorder="1" applyAlignment="1" applyProtection="1">
      <alignment vertical="center" textRotation="90" wrapText="1"/>
    </xf>
    <xf numFmtId="0" fontId="15" fillId="0" borderId="82" xfId="0" applyFont="1" applyBorder="1" applyAlignment="1">
      <alignment horizontal="center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2" fillId="2" borderId="57" xfId="1" applyFont="1" applyFill="1" applyBorder="1" applyAlignment="1" applyProtection="1">
      <alignment horizontal="center" vertical="center" wrapText="1"/>
      <protection locked="0"/>
    </xf>
    <xf numFmtId="0" fontId="42" fillId="2" borderId="58" xfId="1" applyFont="1" applyFill="1" applyBorder="1" applyAlignment="1" applyProtection="1">
      <alignment horizontal="center" vertical="center" wrapText="1"/>
      <protection locked="0"/>
    </xf>
    <xf numFmtId="0" fontId="42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1" fillId="0" borderId="6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2" fillId="6" borderId="46" xfId="0" applyFont="1" applyFill="1" applyBorder="1" applyAlignment="1">
      <alignment horizontal="center" vertical="center"/>
    </xf>
    <xf numFmtId="0" fontId="22" fillId="6" borderId="82" xfId="0" applyFont="1" applyFill="1" applyBorder="1" applyAlignment="1">
      <alignment horizontal="center" vertical="center"/>
    </xf>
    <xf numFmtId="0" fontId="22" fillId="6" borderId="47" xfId="0" applyFont="1" applyFill="1" applyBorder="1" applyAlignment="1">
      <alignment horizontal="center" vertical="center"/>
    </xf>
    <xf numFmtId="0" fontId="23" fillId="0" borderId="6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22" fillId="4" borderId="46" xfId="0" applyFont="1" applyFill="1" applyBorder="1" applyAlignment="1">
      <alignment horizontal="center" vertical="center"/>
    </xf>
    <xf numFmtId="0" fontId="22" fillId="4" borderId="82" xfId="0" applyFont="1" applyFill="1" applyBorder="1" applyAlignment="1">
      <alignment horizontal="center" vertical="center"/>
    </xf>
    <xf numFmtId="0" fontId="22" fillId="4" borderId="47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86" xfId="0" applyFont="1" applyBorder="1" applyAlignment="1">
      <alignment horizontal="center" vertical="center" wrapText="1"/>
    </xf>
    <xf numFmtId="0" fontId="16" fillId="2" borderId="57" xfId="1" applyFont="1" applyFill="1" applyBorder="1" applyAlignment="1" applyProtection="1">
      <alignment horizontal="center" vertical="center" wrapText="1"/>
    </xf>
    <xf numFmtId="0" fontId="16" fillId="2" borderId="58" xfId="1" applyFont="1" applyFill="1" applyBorder="1" applyAlignment="1" applyProtection="1">
      <alignment horizontal="center" vertical="center" wrapText="1"/>
    </xf>
    <xf numFmtId="0" fontId="16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1" fillId="4" borderId="57" xfId="1" applyFont="1" applyFill="1" applyBorder="1" applyAlignment="1" applyProtection="1">
      <alignment horizontal="center" vertical="center"/>
    </xf>
    <xf numFmtId="0" fontId="21" fillId="4" borderId="58" xfId="1" applyFont="1" applyFill="1" applyBorder="1" applyAlignment="1" applyProtection="1">
      <alignment horizontal="center" vertical="center"/>
    </xf>
    <xf numFmtId="0" fontId="21" fillId="4" borderId="59" xfId="1" applyFont="1" applyFill="1" applyBorder="1" applyAlignment="1" applyProtection="1">
      <alignment horizontal="center" vertical="center"/>
    </xf>
    <xf numFmtId="0" fontId="22" fillId="5" borderId="46" xfId="0" applyFont="1" applyFill="1" applyBorder="1" applyAlignment="1">
      <alignment horizontal="center" vertical="center"/>
    </xf>
    <xf numFmtId="0" fontId="22" fillId="5" borderId="82" xfId="0" applyFont="1" applyFill="1" applyBorder="1" applyAlignment="1">
      <alignment horizontal="center" vertical="center"/>
    </xf>
    <xf numFmtId="0" fontId="22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22225</xdr:rowOff>
    </xdr:from>
    <xdr:to>
      <xdr:col>1</xdr:col>
      <xdr:colOff>180975</xdr:colOff>
      <xdr:row>1</xdr:row>
      <xdr:rowOff>136525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2225"/>
          <a:ext cx="4826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539750</xdr:colOff>
      <xdr:row>0</xdr:row>
      <xdr:rowOff>28575</xdr:rowOff>
    </xdr:from>
    <xdr:to>
      <xdr:col>7</xdr:col>
      <xdr:colOff>1073150</xdr:colOff>
      <xdr:row>1</xdr:row>
      <xdr:rowOff>177178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28575"/>
          <a:ext cx="533400" cy="516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3</xdr:row>
          <xdr:rowOff>28575</xdr:rowOff>
        </xdr:from>
        <xdr:to>
          <xdr:col>5</xdr:col>
          <xdr:colOff>1323975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28575</xdr:rowOff>
        </xdr:from>
        <xdr:to>
          <xdr:col>1</xdr:col>
          <xdr:colOff>314325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114300</xdr:colOff>
      <xdr:row>0</xdr:row>
      <xdr:rowOff>101600</xdr:rowOff>
    </xdr:from>
    <xdr:to>
      <xdr:col>27</xdr:col>
      <xdr:colOff>415334</xdr:colOff>
      <xdr:row>2</xdr:row>
      <xdr:rowOff>335523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391525" y="101600"/>
          <a:ext cx="4130084" cy="776848"/>
          <a:chOff x="9" y="4"/>
          <a:chExt cx="339" cy="5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5" y="3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120650</xdr:colOff>
      <xdr:row>0</xdr:row>
      <xdr:rowOff>107950</xdr:rowOff>
    </xdr:from>
    <xdr:to>
      <xdr:col>26</xdr:col>
      <xdr:colOff>55083</xdr:colOff>
      <xdr:row>2</xdr:row>
      <xdr:rowOff>78535</xdr:rowOff>
    </xdr:to>
    <xdr:grpSp>
      <xdr:nvGrpSpPr>
        <xdr:cNvPr id="8" name="Group 322"/>
        <xdr:cNvGrpSpPr>
          <a:grpSpLocks/>
        </xdr:cNvGrpSpPr>
      </xdr:nvGrpSpPr>
      <xdr:grpSpPr bwMode="auto">
        <a:xfrm>
          <a:off x="120650" y="107950"/>
          <a:ext cx="11783533" cy="513510"/>
          <a:chOff x="9" y="4"/>
          <a:chExt cx="936" cy="39"/>
        </a:xfrm>
      </xdr:grpSpPr>
      <xdr:pic>
        <xdr:nvPicPr>
          <xdr:cNvPr id="9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2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98425</xdr:rowOff>
    </xdr:from>
    <xdr:to>
      <xdr:col>44</xdr:col>
      <xdr:colOff>541301</xdr:colOff>
      <xdr:row>1</xdr:row>
      <xdr:rowOff>270529</xdr:rowOff>
    </xdr:to>
    <xdr:grpSp>
      <xdr:nvGrpSpPr>
        <xdr:cNvPr id="3" name="Group 322"/>
        <xdr:cNvGrpSpPr>
          <a:grpSpLocks/>
        </xdr:cNvGrpSpPr>
      </xdr:nvGrpSpPr>
      <xdr:grpSpPr bwMode="auto">
        <a:xfrm>
          <a:off x="0" y="98425"/>
          <a:ext cx="9580526" cy="467379"/>
          <a:chOff x="9" y="4"/>
          <a:chExt cx="784" cy="35"/>
        </a:xfrm>
      </xdr:grpSpPr>
      <xdr:pic>
        <xdr:nvPicPr>
          <xdr:cNvPr id="4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0" y="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L153"/>
  <sheetViews>
    <sheetView workbookViewId="0">
      <selection activeCell="D4" sqref="D4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7" width="4.28515625" customWidth="1"/>
    <col min="38" max="38" width="5.7109375" customWidth="1"/>
    <col min="39" max="39" width="4.28515625" customWidth="1"/>
  </cols>
  <sheetData>
    <row r="1" spans="1:38" ht="29.25" customHeight="1">
      <c r="A1" s="300" t="s">
        <v>71</v>
      </c>
      <c r="B1" s="300"/>
      <c r="C1" s="300"/>
      <c r="D1" s="300"/>
      <c r="E1" s="300"/>
      <c r="F1" s="300"/>
      <c r="G1" s="300"/>
      <c r="H1" s="300"/>
    </row>
    <row r="2" spans="1:38" ht="54" customHeight="1">
      <c r="A2" s="202"/>
      <c r="B2" s="301" t="str">
        <f>[1]реквизиты!$A$2</f>
        <v>Всероссийские соревнования по спортивному и боевому самбо среди мужчин на призы УФСИН России</v>
      </c>
      <c r="C2" s="301"/>
      <c r="D2" s="301"/>
      <c r="E2" s="301"/>
      <c r="F2" s="301"/>
      <c r="G2" s="301"/>
      <c r="H2" s="203"/>
      <c r="I2" s="190"/>
      <c r="J2" s="190"/>
      <c r="K2" s="190"/>
    </row>
    <row r="3" spans="1:38" ht="12.75" customHeight="1">
      <c r="A3" s="302" t="str">
        <f>[1]реквизиты!$A$3</f>
        <v>20-22 апреля 2019 г           г.Тверь</v>
      </c>
      <c r="B3" s="302"/>
      <c r="C3" s="302"/>
      <c r="D3" s="302"/>
      <c r="E3" s="302"/>
      <c r="F3" s="302"/>
      <c r="G3" s="302"/>
      <c r="H3" s="302"/>
    </row>
    <row r="4" spans="1:38" ht="12.75" customHeight="1">
      <c r="D4" s="2" t="s">
        <v>140</v>
      </c>
      <c r="E4" s="2"/>
      <c r="Y4" s="304" t="s">
        <v>68</v>
      </c>
      <c r="Z4" s="304"/>
      <c r="AA4" s="304"/>
      <c r="AB4" s="304"/>
      <c r="AC4" s="304"/>
      <c r="AD4" s="304"/>
      <c r="AE4" s="304"/>
    </row>
    <row r="5" spans="1:38" ht="12.75" customHeight="1" thickBot="1">
      <c r="A5" s="294" t="s">
        <v>72</v>
      </c>
      <c r="B5" s="303" t="s">
        <v>4</v>
      </c>
      <c r="C5" s="294" t="s">
        <v>5</v>
      </c>
      <c r="D5" s="294" t="s">
        <v>6</v>
      </c>
      <c r="E5" s="296" t="s">
        <v>7</v>
      </c>
      <c r="F5" s="297"/>
      <c r="G5" s="294" t="s">
        <v>9</v>
      </c>
      <c r="H5" s="294" t="s">
        <v>8</v>
      </c>
      <c r="Q5" s="305"/>
      <c r="R5" s="305"/>
      <c r="S5" s="305"/>
      <c r="T5" s="158"/>
      <c r="U5" s="158"/>
      <c r="V5" s="158"/>
      <c r="W5" s="158"/>
      <c r="X5" s="158"/>
      <c r="Y5" s="191"/>
      <c r="Z5" s="109"/>
      <c r="AA5" s="109"/>
      <c r="AB5" s="109"/>
      <c r="AC5" s="109"/>
      <c r="AD5" s="109"/>
      <c r="AE5" s="109"/>
    </row>
    <row r="6" spans="1:38" ht="13.5" thickBot="1">
      <c r="A6" s="295"/>
      <c r="B6" s="295"/>
      <c r="C6" s="295"/>
      <c r="D6" s="295"/>
      <c r="E6" s="298"/>
      <c r="F6" s="299"/>
      <c r="G6" s="295"/>
      <c r="H6" s="295"/>
      <c r="J6" s="159"/>
      <c r="K6" s="159"/>
      <c r="L6" s="159"/>
      <c r="M6" s="159"/>
      <c r="N6" s="159"/>
      <c r="O6" s="159"/>
      <c r="P6" s="204"/>
      <c r="Q6" s="204" t="str">
        <f>N7</f>
        <v>кмс</v>
      </c>
      <c r="R6" s="204" t="str">
        <f>N8</f>
        <v>мс</v>
      </c>
      <c r="S6" s="161" t="str">
        <f>N9</f>
        <v/>
      </c>
      <c r="T6" s="161" t="str">
        <f>N10</f>
        <v/>
      </c>
      <c r="U6" s="161" t="str">
        <f>N11</f>
        <v/>
      </c>
      <c r="V6" s="161" t="str">
        <f>N12</f>
        <v/>
      </c>
      <c r="W6" s="161" t="str">
        <f>N13</f>
        <v/>
      </c>
      <c r="X6" s="115"/>
      <c r="Y6" s="192" t="s">
        <v>69</v>
      </c>
      <c r="Z6" s="193" t="str">
        <f t="shared" ref="Z6:AF6" si="0">Q6</f>
        <v>кмс</v>
      </c>
      <c r="AA6" s="193" t="str">
        <f t="shared" si="0"/>
        <v>мс</v>
      </c>
      <c r="AB6" s="194" t="str">
        <f t="shared" si="0"/>
        <v/>
      </c>
      <c r="AC6" s="194" t="str">
        <f t="shared" si="0"/>
        <v/>
      </c>
      <c r="AD6" s="193" t="str">
        <f t="shared" si="0"/>
        <v/>
      </c>
      <c r="AE6" s="195" t="str">
        <f t="shared" si="0"/>
        <v/>
      </c>
      <c r="AF6" s="196" t="str">
        <f t="shared" si="0"/>
        <v/>
      </c>
    </row>
    <row r="7" spans="1:38" ht="21.95" customHeight="1">
      <c r="A7" s="205" t="s">
        <v>73</v>
      </c>
      <c r="B7" s="206">
        <v>1</v>
      </c>
      <c r="C7" s="207" t="s">
        <v>95</v>
      </c>
      <c r="D7" s="208" t="s">
        <v>96</v>
      </c>
      <c r="E7" s="209" t="s">
        <v>97</v>
      </c>
      <c r="F7" s="208" t="s">
        <v>98</v>
      </c>
      <c r="G7" s="210"/>
      <c r="H7" s="211" t="s">
        <v>99</v>
      </c>
      <c r="I7" s="212"/>
      <c r="J7" s="213">
        <v>1</v>
      </c>
      <c r="K7" s="201" t="str">
        <f>IFERROR(RIGHT(D7,LEN(D7)-FIND("*",SUBSTITUTE(D7," ","*",LEN(D7)-LEN(SUBSTITUTE(D7," ",""))))),D7)</f>
        <v>кмс</v>
      </c>
      <c r="L7" s="201" t="str">
        <f>IFERROR(LEFT(F7,FIND(",",F7)-1),F7)</f>
        <v>Тверская</v>
      </c>
      <c r="M7" s="214" t="str">
        <f t="array" ref="M7">IFERROR(INDEX(субъект,MATCH(SUM(COUNTIF(M$6:M6,субъект)),COUNTIF(субъект,"&lt;"&amp;субъект),0)),"")</f>
        <v>Вологодская</v>
      </c>
      <c r="N7" s="214" t="str">
        <f t="array" ref="N7">IFERROR(INDEX(разряд,MATCH(SUM(COUNTIF(N$6:N6,разряд)),COUNTIF(разряд,"&lt;"&amp;разряд),0)),"")</f>
        <v>кмс</v>
      </c>
      <c r="O7" s="215">
        <v>1</v>
      </c>
      <c r="P7" s="160" t="str">
        <f t="shared" ref="P7:P22" si="1">M7</f>
        <v>Вологодская</v>
      </c>
      <c r="Q7" s="163">
        <f t="shared" ref="Q7:Q22" si="2">SUMIFS($J$7:$J$38,$L$7:$L$38,P7,$K$7:$K$38,Q$6)</f>
        <v>1</v>
      </c>
      <c r="R7" s="163">
        <f t="shared" ref="R7:R22" si="3">SUMIFS($J$7:$J$38,$L$7:$L$38,P7,$K$7:$K$38,R$6)</f>
        <v>0</v>
      </c>
      <c r="S7" s="216">
        <f t="shared" ref="S7:S22" si="4">SUMIFS($J$7:$J$38,$L$7:$L$38,P7,$K$7:$K$38,S$6)</f>
        <v>0</v>
      </c>
      <c r="T7" s="167">
        <f t="shared" ref="T7:T22" si="5">SUMIFS($J$7:$J$38,$L$7:$L$38,P7,$K$7:$K$38,T$6)</f>
        <v>0</v>
      </c>
      <c r="U7" s="167">
        <f t="shared" ref="U7:U22" si="6">SUMIFS($J$7:$J$38,$L$7:$L$38,P7,$K$7:$K$38,U$6)</f>
        <v>0</v>
      </c>
      <c r="V7" s="167">
        <f t="shared" ref="V7:V22" si="7">SUMIFS($J$7:$J$38,$L$7:$L$38,P7,$K$7:$K$38,V$6)</f>
        <v>0</v>
      </c>
      <c r="W7" s="167">
        <f t="shared" ref="W7:W22" si="8">SUMIFS($J$7:$J$38,$L$7:$L$38,P7,$K$7:$K$38,W$6)</f>
        <v>0</v>
      </c>
      <c r="X7" s="164"/>
      <c r="Y7" s="165" t="str">
        <f>P7</f>
        <v>Вологодская</v>
      </c>
      <c r="Z7" s="198">
        <f>IF(Q7=0," ",Q7)</f>
        <v>1</v>
      </c>
      <c r="AA7" s="198" t="str">
        <f>IF(R7=0," ",R7)</f>
        <v xml:space="preserve"> </v>
      </c>
      <c r="AB7" s="198" t="str">
        <f>IF(S7=0," ",S7)</f>
        <v xml:space="preserve"> </v>
      </c>
      <c r="AC7" s="198" t="str">
        <f>IF(T7=0," ",T7)</f>
        <v xml:space="preserve"> </v>
      </c>
      <c r="AD7" s="198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306">
        <f>SUM(Z7:AF22)</f>
        <v>12</v>
      </c>
      <c r="AI7" s="307"/>
      <c r="AK7" s="245">
        <f>IFERROR(VLOOKUP(F7,Ит.пр!F$6:I$17,4,0),"")</f>
        <v>50</v>
      </c>
      <c r="AL7" s="245">
        <f>IFERROR(VLOOKUP(F7,Ит.пр!F$6:J$17,5,0),"")</f>
        <v>5</v>
      </c>
    </row>
    <row r="8" spans="1:38" ht="21.95" customHeight="1" thickBot="1">
      <c r="A8" s="205" t="s">
        <v>74</v>
      </c>
      <c r="B8" s="206">
        <v>2</v>
      </c>
      <c r="C8" s="207" t="s">
        <v>100</v>
      </c>
      <c r="D8" s="208" t="s">
        <v>101</v>
      </c>
      <c r="E8" s="209" t="s">
        <v>97</v>
      </c>
      <c r="F8" s="208" t="s">
        <v>98</v>
      </c>
      <c r="G8" s="210"/>
      <c r="H8" s="211" t="s">
        <v>99</v>
      </c>
      <c r="I8" s="212"/>
      <c r="J8" s="213">
        <v>1</v>
      </c>
      <c r="K8" s="201" t="str">
        <f t="shared" ref="K8:K22" si="10">IFERROR(RIGHT(D8,LEN(D8)-FIND("*",SUBSTITUTE(D8," ","*",LEN(D8)-LEN(SUBSTITUTE(D8," ",""))))),D8)</f>
        <v>кмс</v>
      </c>
      <c r="L8" s="201" t="str">
        <f t="shared" ref="L8:L22" si="11">IFERROR(LEFT(F8,FIND(",",F8)-1),F8)</f>
        <v>Тверская</v>
      </c>
      <c r="M8" s="214" t="str">
        <f t="array" ref="M8">IFERROR(INDEX(субъект,MATCH(SUM(COUNTIF(M$6:M7,субъект)),COUNTIF(субъект,"&lt;"&amp;субъект),0)),"")</f>
        <v>Кировская</v>
      </c>
      <c r="N8" s="214" t="str">
        <f t="array" ref="N8">IFERROR(INDEX(разряд,MATCH(SUM(COUNTIF(N$6:N7,разряд)),COUNTIF(разряд,"&lt;"&amp;разряд),0)),"")</f>
        <v>мс</v>
      </c>
      <c r="O8" s="215">
        <v>2</v>
      </c>
      <c r="P8" s="160" t="str">
        <f t="shared" si="1"/>
        <v>Кировская</v>
      </c>
      <c r="Q8" s="163">
        <f t="shared" si="2"/>
        <v>2</v>
      </c>
      <c r="R8" s="163">
        <f t="shared" si="3"/>
        <v>0</v>
      </c>
      <c r="S8" s="216">
        <f t="shared" si="4"/>
        <v>0</v>
      </c>
      <c r="T8" s="167">
        <f t="shared" si="5"/>
        <v>0</v>
      </c>
      <c r="U8" s="167">
        <f t="shared" si="6"/>
        <v>0</v>
      </c>
      <c r="V8" s="167">
        <f t="shared" si="7"/>
        <v>0</v>
      </c>
      <c r="W8" s="167">
        <f t="shared" si="8"/>
        <v>0</v>
      </c>
      <c r="X8" s="166"/>
      <c r="Y8" s="162" t="str">
        <f t="shared" ref="Y8:Y22" si="12">P8</f>
        <v>Кировская</v>
      </c>
      <c r="Z8" s="162">
        <f>IF($Y$8=$Y$7," ",IF(Q8=0," ",Q8))</f>
        <v>2</v>
      </c>
      <c r="AA8" s="162" t="str">
        <f>IF($Y$8=$Y$7," ",IF(R8=0," ",R8))</f>
        <v xml:space="preserve"> </v>
      </c>
      <c r="AB8" s="162" t="str">
        <f>IF($Y$8=$Y$7," ",IF(S8=0," ",S8))</f>
        <v xml:space="preserve"> 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308"/>
      <c r="AI8" s="309"/>
      <c r="AK8" s="245">
        <f>IFERROR(VLOOKUP(F8,Ит.пр!F$6:I$17,4,0),"")</f>
        <v>50</v>
      </c>
      <c r="AL8" s="245">
        <f>IFERROR(VLOOKUP(F8,Ит.пр!F$6:J$17,5,0),"")</f>
        <v>5</v>
      </c>
    </row>
    <row r="9" spans="1:38" ht="21.95" customHeight="1">
      <c r="A9" s="205" t="s">
        <v>75</v>
      </c>
      <c r="B9" s="206">
        <v>3</v>
      </c>
      <c r="C9" s="207" t="s">
        <v>102</v>
      </c>
      <c r="D9" s="208" t="s">
        <v>103</v>
      </c>
      <c r="E9" s="209" t="s">
        <v>97</v>
      </c>
      <c r="F9" s="208" t="s">
        <v>98</v>
      </c>
      <c r="G9" s="210"/>
      <c r="H9" s="211" t="s">
        <v>99</v>
      </c>
      <c r="I9" s="212"/>
      <c r="J9" s="213">
        <v>1</v>
      </c>
      <c r="K9" s="201" t="str">
        <f t="shared" si="10"/>
        <v>кмс</v>
      </c>
      <c r="L9" s="201" t="str">
        <f t="shared" si="11"/>
        <v>Тверская</v>
      </c>
      <c r="M9" s="214" t="str">
        <f t="array" ref="M9">IFERROR(INDEX(субъект,MATCH(SUM(COUNTIF(M$6:M8,субъект)),COUNTIF(субъект,"&lt;"&amp;субъект),0)),"")</f>
        <v>Москва</v>
      </c>
      <c r="N9" s="214" t="str">
        <f t="array" ref="N9">IFERROR(INDEX(разряд,MATCH(SUM(COUNTIF(N$6:N8,разряд)),COUNTIF(разряд,"&lt;"&amp;разряд),0)),"")</f>
        <v/>
      </c>
      <c r="O9" s="215">
        <v>3</v>
      </c>
      <c r="P9" s="160" t="str">
        <f t="shared" si="1"/>
        <v>Москва</v>
      </c>
      <c r="Q9" s="163">
        <f t="shared" si="2"/>
        <v>1</v>
      </c>
      <c r="R9" s="163">
        <f t="shared" si="3"/>
        <v>1</v>
      </c>
      <c r="S9" s="216">
        <f t="shared" si="4"/>
        <v>0</v>
      </c>
      <c r="T9" s="167">
        <f t="shared" si="5"/>
        <v>0</v>
      </c>
      <c r="U9" s="167">
        <f t="shared" si="6"/>
        <v>0</v>
      </c>
      <c r="V9" s="167">
        <f t="shared" si="7"/>
        <v>0</v>
      </c>
      <c r="W9" s="167">
        <f t="shared" si="8"/>
        <v>0</v>
      </c>
      <c r="X9" s="166"/>
      <c r="Y9" s="162" t="str">
        <f t="shared" si="12"/>
        <v>Москва</v>
      </c>
      <c r="Z9" s="162">
        <f>IF(OR($Y9=$Y7,$Y9=$Y8)," ",IF(Q9=0," ",Q9))</f>
        <v>1</v>
      </c>
      <c r="AA9" s="162">
        <f>IF(OR($Y9=$Y7,$Y9=$Y8)," ",IF(R9=0," ",R9))</f>
        <v>1</v>
      </c>
      <c r="AB9" s="162" t="str">
        <f>IF(OR($Y9=$Y7,$Y9=$Y8)," ",IF(S9=0," ",S9))</f>
        <v xml:space="preserve"> </v>
      </c>
      <c r="AC9" s="162" t="str">
        <f>IF(OR($Y9=$Y7,$Y9=$Y8)," ",IF(T9=0," ",T9))</f>
        <v xml:space="preserve"> 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  <c r="AK9" s="245">
        <f>IFERROR(VLOOKUP(F9,Ит.пр!F$6:I$17,4,0),"")</f>
        <v>50</v>
      </c>
      <c r="AL9" s="245">
        <f>IFERROR(VLOOKUP(F9,Ит.пр!F$6:J$17,5,0),"")</f>
        <v>5</v>
      </c>
    </row>
    <row r="10" spans="1:38" ht="21.95" customHeight="1">
      <c r="A10" s="205" t="s">
        <v>76</v>
      </c>
      <c r="B10" s="206">
        <v>4</v>
      </c>
      <c r="C10" s="207" t="s">
        <v>104</v>
      </c>
      <c r="D10" s="208" t="s">
        <v>105</v>
      </c>
      <c r="E10" s="209" t="s">
        <v>97</v>
      </c>
      <c r="F10" s="208" t="s">
        <v>106</v>
      </c>
      <c r="G10" s="210"/>
      <c r="H10" s="211" t="s">
        <v>107</v>
      </c>
      <c r="I10" s="212"/>
      <c r="J10" s="213">
        <v>1</v>
      </c>
      <c r="K10" s="201" t="str">
        <f t="shared" si="10"/>
        <v>кмс</v>
      </c>
      <c r="L10" s="201" t="str">
        <f t="shared" si="11"/>
        <v>Ярославская</v>
      </c>
      <c r="M10" s="214" t="str">
        <f t="array" ref="M10">IFERROR(INDEX(субъект,MATCH(SUM(COUNTIF(M$6:M9,субъект)),COUNTIF(субъект,"&lt;"&amp;субъект),0)),"")</f>
        <v>Тверская</v>
      </c>
      <c r="N10" s="214" t="str">
        <f t="array" ref="N10">IFERROR(INDEX(разряд,MATCH(SUM(COUNTIF(N$6:N9,разряд)),COUNTIF(разряд,"&lt;"&amp;разряд),0)),"")</f>
        <v/>
      </c>
      <c r="O10" s="215">
        <v>4</v>
      </c>
      <c r="P10" s="160" t="str">
        <f t="shared" si="1"/>
        <v>Тверская</v>
      </c>
      <c r="Q10" s="163">
        <f t="shared" si="2"/>
        <v>5</v>
      </c>
      <c r="R10" s="163">
        <f t="shared" si="3"/>
        <v>0</v>
      </c>
      <c r="S10" s="216">
        <f t="shared" si="4"/>
        <v>0</v>
      </c>
      <c r="T10" s="167">
        <f t="shared" si="5"/>
        <v>0</v>
      </c>
      <c r="U10" s="167">
        <f t="shared" si="6"/>
        <v>0</v>
      </c>
      <c r="V10" s="167">
        <f t="shared" si="7"/>
        <v>0</v>
      </c>
      <c r="W10" s="167">
        <f t="shared" si="8"/>
        <v>0</v>
      </c>
      <c r="X10" s="115"/>
      <c r="Y10" s="162" t="str">
        <f t="shared" si="12"/>
        <v>Тверская</v>
      </c>
      <c r="Z10" s="162">
        <f>IF(OR($Y10=$Y8,$Y10=$Y9,$Y10=$Y7)," ",IF(Q10=0," ",Q10))</f>
        <v>5</v>
      </c>
      <c r="AA10" s="162" t="str">
        <f>IF(OR($Y10=$Y8,$Y10=$Y9,$Y10=$Y7)," ",IF(R10=0," ",R10))</f>
        <v xml:space="preserve"> 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  <c r="AK10" s="245">
        <f>IFERROR(VLOOKUP(F10,Ит.пр!F$6:I$17,4,0),"")</f>
        <v>70</v>
      </c>
      <c r="AL10" s="245">
        <f>IFERROR(VLOOKUP(F10,Ит.пр!F$6:J$17,5,0),"")</f>
        <v>3</v>
      </c>
    </row>
    <row r="11" spans="1:38" ht="21.95" customHeight="1">
      <c r="A11" s="205" t="s">
        <v>77</v>
      </c>
      <c r="B11" s="206">
        <v>5</v>
      </c>
      <c r="C11" s="207" t="s">
        <v>108</v>
      </c>
      <c r="D11" s="208" t="s">
        <v>109</v>
      </c>
      <c r="E11" s="209" t="s">
        <v>97</v>
      </c>
      <c r="F11" s="208" t="s">
        <v>110</v>
      </c>
      <c r="G11" s="210"/>
      <c r="H11" s="211" t="s">
        <v>111</v>
      </c>
      <c r="I11" s="212"/>
      <c r="J11" s="213">
        <v>1</v>
      </c>
      <c r="K11" s="201" t="str">
        <f t="shared" si="10"/>
        <v>кмс</v>
      </c>
      <c r="L11" s="201" t="str">
        <f t="shared" si="11"/>
        <v>Ярославская</v>
      </c>
      <c r="M11" s="214" t="str">
        <f t="array" ref="M11">IFERROR(INDEX(субъект,MATCH(SUM(COUNTIF(M$6:M10,субъект)),COUNTIF(субъект,"&lt;"&amp;субъект),0)),"")</f>
        <v>Ярославская</v>
      </c>
      <c r="N11" s="214" t="str">
        <f t="array" ref="N11">IFERROR(INDEX(разряд,MATCH(SUM(COUNTIF(N$6:N10,разряд)),COUNTIF(разряд,"&lt;"&amp;разряд),0)),"")</f>
        <v/>
      </c>
      <c r="O11" s="215">
        <v>5</v>
      </c>
      <c r="P11" s="160" t="str">
        <f t="shared" si="1"/>
        <v>Ярославская</v>
      </c>
      <c r="Q11" s="163">
        <f t="shared" si="2"/>
        <v>2</v>
      </c>
      <c r="R11" s="163">
        <f t="shared" si="3"/>
        <v>0</v>
      </c>
      <c r="S11" s="216">
        <f t="shared" si="4"/>
        <v>0</v>
      </c>
      <c r="T11" s="167">
        <f t="shared" si="5"/>
        <v>0</v>
      </c>
      <c r="U11" s="167">
        <f t="shared" si="6"/>
        <v>0</v>
      </c>
      <c r="V11" s="167">
        <f t="shared" si="7"/>
        <v>0</v>
      </c>
      <c r="W11" s="167">
        <f t="shared" si="8"/>
        <v>0</v>
      </c>
      <c r="X11" s="166"/>
      <c r="Y11" s="162" t="str">
        <f t="shared" si="12"/>
        <v>Ярославская</v>
      </c>
      <c r="Z11" s="162">
        <f>IF(OR($Y11=$Y9,$Y11=$Y10,$Y11=$Y8,$Y11=$Y7)," ",IF(Q11=0," ",Q11))</f>
        <v>2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  <c r="AK11" s="245">
        <f>IFERROR(VLOOKUP(F11,Ит.пр!F$6:I$17,4,0),"")</f>
        <v>50</v>
      </c>
      <c r="AL11" s="245">
        <f>IFERROR(VLOOKUP(F11,Ит.пр!F$6:J$17,5,0),"")</f>
        <v>5</v>
      </c>
    </row>
    <row r="12" spans="1:38" ht="21.95" customHeight="1">
      <c r="A12" s="205" t="s">
        <v>78</v>
      </c>
      <c r="B12" s="206">
        <v>6</v>
      </c>
      <c r="C12" s="207" t="s">
        <v>112</v>
      </c>
      <c r="D12" s="208" t="s">
        <v>113</v>
      </c>
      <c r="E12" s="209" t="s">
        <v>114</v>
      </c>
      <c r="F12" s="208" t="s">
        <v>115</v>
      </c>
      <c r="G12" s="210"/>
      <c r="H12" s="211" t="s">
        <v>116</v>
      </c>
      <c r="I12" s="212"/>
      <c r="J12" s="213">
        <v>1</v>
      </c>
      <c r="K12" s="201" t="str">
        <f t="shared" si="10"/>
        <v>кмс</v>
      </c>
      <c r="L12" s="201" t="str">
        <f t="shared" si="11"/>
        <v>Москва</v>
      </c>
      <c r="M12" s="214" t="str">
        <f t="array" ref="M12">IFERROR(INDEX(субъект,MATCH(SUM(COUNTIF(M$6:M11,субъект)),COUNTIF(субъект,"&lt;"&amp;субъект),0)),"")</f>
        <v/>
      </c>
      <c r="N12" s="214" t="str">
        <f t="array" ref="N12">IFERROR(INDEX(разряд,MATCH(SUM(COUNTIF(N$6:N11,разряд)),COUNTIF(разряд,"&lt;"&amp;разряд),0)),"")</f>
        <v/>
      </c>
      <c r="O12" s="215">
        <v>6</v>
      </c>
      <c r="P12" s="160" t="str">
        <f t="shared" si="1"/>
        <v/>
      </c>
      <c r="Q12" s="163">
        <f t="shared" si="2"/>
        <v>0</v>
      </c>
      <c r="R12" s="163">
        <f t="shared" si="3"/>
        <v>0</v>
      </c>
      <c r="S12" s="216">
        <f t="shared" si="4"/>
        <v>0</v>
      </c>
      <c r="T12" s="167">
        <f t="shared" si="5"/>
        <v>0</v>
      </c>
      <c r="U12" s="167">
        <f t="shared" si="6"/>
        <v>0</v>
      </c>
      <c r="V12" s="167">
        <f t="shared" si="7"/>
        <v>0</v>
      </c>
      <c r="W12" s="167">
        <f t="shared" si="8"/>
        <v>0</v>
      </c>
      <c r="X12" s="115"/>
      <c r="Y12" s="162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  <c r="AK12" s="245">
        <f>IFERROR(VLOOKUP(F12,Ит.пр!F$6:I$17,4,0),"")</f>
        <v>80</v>
      </c>
      <c r="AL12" s="245">
        <f>IFERROR(VLOOKUP(F12,Ит.пр!F$6:J$17,5,0),"")</f>
        <v>2</v>
      </c>
    </row>
    <row r="13" spans="1:38" ht="21.95" customHeight="1">
      <c r="A13" s="205" t="s">
        <v>79</v>
      </c>
      <c r="B13" s="206">
        <v>7</v>
      </c>
      <c r="C13" s="207" t="s">
        <v>117</v>
      </c>
      <c r="D13" s="208" t="s">
        <v>118</v>
      </c>
      <c r="E13" s="209" t="s">
        <v>114</v>
      </c>
      <c r="F13" s="208" t="s">
        <v>119</v>
      </c>
      <c r="G13" s="210"/>
      <c r="H13" s="211" t="s">
        <v>120</v>
      </c>
      <c r="I13" s="212"/>
      <c r="J13" s="213">
        <v>1</v>
      </c>
      <c r="K13" s="201" t="str">
        <f t="shared" si="10"/>
        <v>мс</v>
      </c>
      <c r="L13" s="201" t="str">
        <f t="shared" si="11"/>
        <v>Москва</v>
      </c>
      <c r="M13" s="214" t="str">
        <f t="array" ref="M13">IFERROR(INDEX(субъект,MATCH(SUM(COUNTIF(M$6:M12,субъект)),COUNTIF(субъект,"&lt;"&amp;субъект),0)),"")</f>
        <v/>
      </c>
      <c r="N13" s="214" t="str">
        <f t="array" ref="N13">IFERROR(INDEX(разряд,MATCH(SUM(COUNTIF(N$6:N12,разряд)),COUNTIF(разряд,"&lt;"&amp;разряд),0)),"")</f>
        <v/>
      </c>
      <c r="O13" s="215">
        <v>7</v>
      </c>
      <c r="P13" s="160" t="str">
        <f t="shared" si="1"/>
        <v/>
      </c>
      <c r="Q13" s="163">
        <f t="shared" si="2"/>
        <v>0</v>
      </c>
      <c r="R13" s="163">
        <f t="shared" si="3"/>
        <v>0</v>
      </c>
      <c r="S13" s="216">
        <f t="shared" si="4"/>
        <v>0</v>
      </c>
      <c r="T13" s="167">
        <f t="shared" si="5"/>
        <v>0</v>
      </c>
      <c r="U13" s="167">
        <f t="shared" si="6"/>
        <v>0</v>
      </c>
      <c r="V13" s="167">
        <f t="shared" si="7"/>
        <v>0</v>
      </c>
      <c r="W13" s="167">
        <f t="shared" si="8"/>
        <v>0</v>
      </c>
      <c r="X13" s="166"/>
      <c r="Y13" s="162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  <c r="AK13" s="245">
        <f>IFERROR(VLOOKUP(F13,Ит.пр!F$6:I$17,4,0),"")</f>
        <v>100</v>
      </c>
      <c r="AL13" s="245">
        <f>IFERROR(VLOOKUP(F13,Ит.пр!F$6:J$17,5,0),"")</f>
        <v>1</v>
      </c>
    </row>
    <row r="14" spans="1:38" ht="21.95" customHeight="1">
      <c r="A14" s="205" t="s">
        <v>80</v>
      </c>
      <c r="B14" s="206">
        <v>8</v>
      </c>
      <c r="C14" s="207" t="s">
        <v>121</v>
      </c>
      <c r="D14" s="208" t="s">
        <v>122</v>
      </c>
      <c r="E14" s="209" t="s">
        <v>123</v>
      </c>
      <c r="F14" s="208" t="s">
        <v>124</v>
      </c>
      <c r="G14" s="210"/>
      <c r="H14" s="211" t="s">
        <v>125</v>
      </c>
      <c r="I14" s="212"/>
      <c r="J14" s="213">
        <v>1</v>
      </c>
      <c r="K14" s="201" t="str">
        <f t="shared" si="10"/>
        <v>кмс</v>
      </c>
      <c r="L14" s="201" t="str">
        <f t="shared" si="11"/>
        <v>Кировская</v>
      </c>
      <c r="M14" s="214" t="str">
        <f t="array" ref="M14">IFERROR(INDEX(субъект,MATCH(SUM(COUNTIF(M$6:M13,субъект)),COUNTIF(субъект,"&lt;"&amp;субъект),0)),"")</f>
        <v/>
      </c>
      <c r="N14" s="214" t="str">
        <f t="array" ref="N14">IFERROR(INDEX(разряд,MATCH(SUM(COUNTIF(N$6:N13,разряд)),COUNTIF(разряд,"&lt;"&amp;разряд),0)),"")</f>
        <v/>
      </c>
      <c r="O14" s="215">
        <v>8</v>
      </c>
      <c r="P14" s="160" t="str">
        <f t="shared" si="1"/>
        <v/>
      </c>
      <c r="Q14" s="163">
        <f t="shared" si="2"/>
        <v>0</v>
      </c>
      <c r="R14" s="163">
        <f t="shared" si="3"/>
        <v>0</v>
      </c>
      <c r="S14" s="216">
        <f t="shared" si="4"/>
        <v>0</v>
      </c>
      <c r="T14" s="167">
        <f t="shared" si="5"/>
        <v>0</v>
      </c>
      <c r="U14" s="167">
        <f t="shared" si="6"/>
        <v>0</v>
      </c>
      <c r="V14" s="167">
        <f t="shared" si="7"/>
        <v>0</v>
      </c>
      <c r="W14" s="167">
        <f t="shared" si="8"/>
        <v>0</v>
      </c>
      <c r="X14" s="166"/>
      <c r="Y14" s="162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  <c r="AK14" s="245">
        <f>IFERROR(VLOOKUP(F14,Ит.пр!F$6:I$17,4,0),"")</f>
        <v>15</v>
      </c>
      <c r="AL14" s="245" t="str">
        <f>IFERROR(VLOOKUP(F14,Ит.пр!F$6:J$17,5,0),"")</f>
        <v>9-12</v>
      </c>
    </row>
    <row r="15" spans="1:38" ht="21.95" customHeight="1">
      <c r="A15" s="205" t="s">
        <v>81</v>
      </c>
      <c r="B15" s="206">
        <v>9</v>
      </c>
      <c r="C15" s="207" t="s">
        <v>126</v>
      </c>
      <c r="D15" s="208" t="s">
        <v>127</v>
      </c>
      <c r="E15" s="209" t="s">
        <v>123</v>
      </c>
      <c r="F15" s="208" t="s">
        <v>124</v>
      </c>
      <c r="G15" s="210"/>
      <c r="H15" s="211" t="s">
        <v>128</v>
      </c>
      <c r="I15" s="212"/>
      <c r="J15" s="213">
        <v>1</v>
      </c>
      <c r="K15" s="201" t="str">
        <f t="shared" si="10"/>
        <v>кмс</v>
      </c>
      <c r="L15" s="201" t="str">
        <f t="shared" si="11"/>
        <v>Кировская</v>
      </c>
      <c r="M15" s="214" t="str">
        <f t="array" ref="M15">IFERROR(INDEX(субъект,MATCH(SUM(COUNTIF(M$6:M14,субъект)),COUNTIF(субъект,"&lt;"&amp;субъект),0)),"")</f>
        <v/>
      </c>
      <c r="N15" s="214" t="str">
        <f t="array" ref="N15">IFERROR(INDEX(разряд,MATCH(SUM(COUNTIF(N$6:N14,разряд)),COUNTIF(разряд,"&lt;"&amp;разряд),0)),"")</f>
        <v/>
      </c>
      <c r="O15" s="215">
        <v>9</v>
      </c>
      <c r="P15" s="160" t="str">
        <f t="shared" si="1"/>
        <v/>
      </c>
      <c r="Q15" s="163">
        <f t="shared" si="2"/>
        <v>0</v>
      </c>
      <c r="R15" s="163">
        <f t="shared" si="3"/>
        <v>0</v>
      </c>
      <c r="S15" s="216">
        <f t="shared" si="4"/>
        <v>0</v>
      </c>
      <c r="T15" s="167">
        <f t="shared" si="5"/>
        <v>0</v>
      </c>
      <c r="U15" s="167">
        <f t="shared" si="6"/>
        <v>0</v>
      </c>
      <c r="V15" s="167">
        <f t="shared" si="7"/>
        <v>0</v>
      </c>
      <c r="W15" s="167">
        <f t="shared" si="8"/>
        <v>0</v>
      </c>
      <c r="X15" s="199"/>
      <c r="Y15" s="162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  <c r="AK15" s="245">
        <f>IFERROR(VLOOKUP(F15,Ит.пр!F$6:I$17,4,0),"")</f>
        <v>15</v>
      </c>
      <c r="AL15" s="245" t="str">
        <f>IFERROR(VLOOKUP(F15,Ит.пр!F$6:J$17,5,0),"")</f>
        <v>9-12</v>
      </c>
    </row>
    <row r="16" spans="1:38" ht="21.95" customHeight="1">
      <c r="A16" s="205" t="s">
        <v>82</v>
      </c>
      <c r="B16" s="206">
        <v>10</v>
      </c>
      <c r="C16" s="207" t="s">
        <v>129</v>
      </c>
      <c r="D16" s="208" t="s">
        <v>130</v>
      </c>
      <c r="E16" s="209" t="s">
        <v>131</v>
      </c>
      <c r="F16" s="208" t="s">
        <v>132</v>
      </c>
      <c r="G16" s="210"/>
      <c r="H16" s="211" t="s">
        <v>133</v>
      </c>
      <c r="I16" s="212"/>
      <c r="J16" s="213">
        <v>1</v>
      </c>
      <c r="K16" s="201" t="str">
        <f t="shared" si="10"/>
        <v>кмс</v>
      </c>
      <c r="L16" s="201" t="str">
        <f t="shared" si="11"/>
        <v>Вологодская</v>
      </c>
      <c r="M16" s="214" t="str">
        <f t="array" ref="M16">IFERROR(INDEX(субъект,MATCH(SUM(COUNTIF(M$6:M15,субъект)),COUNTIF(субъект,"&lt;"&amp;субъект),0)),"")</f>
        <v/>
      </c>
      <c r="N16" s="214" t="str">
        <f t="array" ref="N16">IFERROR(INDEX(разряд,MATCH(SUM(COUNTIF(N$6:N15,разряд)),COUNTIF(разряд,"&lt;"&amp;разряд),0)),"")</f>
        <v/>
      </c>
      <c r="O16" s="215">
        <v>10</v>
      </c>
      <c r="P16" s="160" t="str">
        <f t="shared" si="1"/>
        <v/>
      </c>
      <c r="Q16" s="163">
        <f t="shared" si="2"/>
        <v>0</v>
      </c>
      <c r="R16" s="163">
        <f t="shared" si="3"/>
        <v>0</v>
      </c>
      <c r="S16" s="216">
        <f t="shared" si="4"/>
        <v>0</v>
      </c>
      <c r="T16" s="167">
        <f t="shared" si="5"/>
        <v>0</v>
      </c>
      <c r="U16" s="167">
        <f t="shared" si="6"/>
        <v>0</v>
      </c>
      <c r="V16" s="167">
        <f t="shared" si="7"/>
        <v>0</v>
      </c>
      <c r="W16" s="167">
        <f t="shared" si="8"/>
        <v>0</v>
      </c>
      <c r="X16" s="159"/>
      <c r="Y16" s="162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  <c r="AK16" s="245">
        <f>IFERROR(VLOOKUP(F16,Ит.пр!F$6:I$17,4,0),"")</f>
        <v>70</v>
      </c>
      <c r="AL16" s="245">
        <f>IFERROR(VLOOKUP(F16,Ит.пр!F$6:J$17,5,0),"")</f>
        <v>3</v>
      </c>
    </row>
    <row r="17" spans="1:38" ht="21.95" customHeight="1">
      <c r="A17" s="205" t="s">
        <v>83</v>
      </c>
      <c r="B17" s="206">
        <v>11</v>
      </c>
      <c r="C17" s="207" t="s">
        <v>134</v>
      </c>
      <c r="D17" s="208" t="s">
        <v>135</v>
      </c>
      <c r="E17" s="209" t="s">
        <v>97</v>
      </c>
      <c r="F17" s="208" t="s">
        <v>98</v>
      </c>
      <c r="G17" s="210"/>
      <c r="H17" s="211" t="s">
        <v>136</v>
      </c>
      <c r="I17" s="212"/>
      <c r="J17" s="213">
        <v>1</v>
      </c>
      <c r="K17" s="201" t="str">
        <f t="shared" si="10"/>
        <v>кмс</v>
      </c>
      <c r="L17" s="201" t="str">
        <f t="shared" si="11"/>
        <v>Тверская</v>
      </c>
      <c r="M17" s="214" t="str">
        <f t="array" ref="M17">IFERROR(INDEX(субъект,MATCH(SUM(COUNTIF(M$6:M16,субъект)),COUNTIF(субъект,"&lt;"&amp;субъект),0)),"")</f>
        <v/>
      </c>
      <c r="N17" s="214" t="str">
        <f t="array" ref="N17">IFERROR(INDEX(разряд,MATCH(SUM(COUNTIF(N$6:N16,разряд)),COUNTIF(разряд,"&lt;"&amp;разряд),0)),"")</f>
        <v/>
      </c>
      <c r="O17" s="215">
        <v>11</v>
      </c>
      <c r="P17" s="160" t="str">
        <f t="shared" si="1"/>
        <v/>
      </c>
      <c r="Q17" s="163">
        <f t="shared" si="2"/>
        <v>0</v>
      </c>
      <c r="R17" s="163">
        <f t="shared" si="3"/>
        <v>0</v>
      </c>
      <c r="S17" s="216">
        <f t="shared" si="4"/>
        <v>0</v>
      </c>
      <c r="T17" s="167">
        <f t="shared" si="5"/>
        <v>0</v>
      </c>
      <c r="U17" s="167">
        <f t="shared" si="6"/>
        <v>0</v>
      </c>
      <c r="V17" s="167">
        <f t="shared" si="7"/>
        <v>0</v>
      </c>
      <c r="W17" s="167">
        <f t="shared" si="8"/>
        <v>0</v>
      </c>
      <c r="X17" s="159"/>
      <c r="Y17" s="162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  <c r="AK17" s="245">
        <f>IFERROR(VLOOKUP(F17,Ит.пр!F$6:I$17,4,0),"")</f>
        <v>50</v>
      </c>
      <c r="AL17" s="245">
        <f>IFERROR(VLOOKUP(F17,Ит.пр!F$6:J$17,5,0),"")</f>
        <v>5</v>
      </c>
    </row>
    <row r="18" spans="1:38" ht="21.95" customHeight="1">
      <c r="A18" s="205" t="s">
        <v>84</v>
      </c>
      <c r="B18" s="206">
        <v>12</v>
      </c>
      <c r="C18" s="207" t="s">
        <v>137</v>
      </c>
      <c r="D18" s="208" t="s">
        <v>138</v>
      </c>
      <c r="E18" s="209" t="s">
        <v>97</v>
      </c>
      <c r="F18" s="208" t="s">
        <v>98</v>
      </c>
      <c r="G18" s="210"/>
      <c r="H18" s="211" t="s">
        <v>139</v>
      </c>
      <c r="I18" s="212"/>
      <c r="J18" s="213">
        <v>1</v>
      </c>
      <c r="K18" s="201" t="str">
        <f t="shared" si="10"/>
        <v>кмс</v>
      </c>
      <c r="L18" s="201" t="str">
        <f t="shared" si="11"/>
        <v>Тверская</v>
      </c>
      <c r="M18" s="214" t="str">
        <f t="array" ref="M18">IFERROR(INDEX(субъект,MATCH(SUM(COUNTIF(M$6:M17,субъект)),COUNTIF(субъект,"&lt;"&amp;субъект),0)),"")</f>
        <v/>
      </c>
      <c r="N18" s="214" t="str">
        <f t="array" ref="N18">IFERROR(INDEX(разряд,MATCH(SUM(COUNTIF(N$6:N17,разряд)),COUNTIF(разряд,"&lt;"&amp;разряд),0)),"")</f>
        <v/>
      </c>
      <c r="O18" s="215">
        <v>12</v>
      </c>
      <c r="P18" s="160" t="str">
        <f t="shared" si="1"/>
        <v/>
      </c>
      <c r="Q18" s="163">
        <f t="shared" si="2"/>
        <v>0</v>
      </c>
      <c r="R18" s="163">
        <f t="shared" si="3"/>
        <v>0</v>
      </c>
      <c r="S18" s="216">
        <f t="shared" si="4"/>
        <v>0</v>
      </c>
      <c r="T18" s="167">
        <f t="shared" si="5"/>
        <v>0</v>
      </c>
      <c r="U18" s="167">
        <f t="shared" si="6"/>
        <v>0</v>
      </c>
      <c r="V18" s="167">
        <f t="shared" si="7"/>
        <v>0</v>
      </c>
      <c r="W18" s="167">
        <f t="shared" si="8"/>
        <v>0</v>
      </c>
      <c r="X18" s="159"/>
      <c r="Y18" s="162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  <c r="AK18" s="245">
        <f>IFERROR(VLOOKUP(F18,Ит.пр!F$6:I$17,4,0),"")</f>
        <v>50</v>
      </c>
      <c r="AL18" s="245">
        <f>IFERROR(VLOOKUP(F18,Ит.пр!F$6:J$17,5,0),"")</f>
        <v>5</v>
      </c>
    </row>
    <row r="19" spans="1:38" ht="21.95" customHeight="1">
      <c r="A19" s="205" t="s">
        <v>85</v>
      </c>
      <c r="B19" s="206"/>
      <c r="C19" s="207"/>
      <c r="D19" s="208"/>
      <c r="E19" s="209"/>
      <c r="F19" s="208"/>
      <c r="G19" s="210"/>
      <c r="H19" s="211"/>
      <c r="I19" s="212"/>
      <c r="J19" s="213">
        <v>1</v>
      </c>
      <c r="K19" s="201">
        <f t="shared" si="10"/>
        <v>0</v>
      </c>
      <c r="L19" s="201">
        <f t="shared" si="11"/>
        <v>0</v>
      </c>
      <c r="M19" s="214" t="str">
        <f t="array" ref="M19">IFERROR(INDEX(субъект,MATCH(SUM(COUNTIF(M$6:M18,субъект)),COUNTIF(субъект,"&lt;"&amp;субъект),0)),"")</f>
        <v/>
      </c>
      <c r="N19" s="214" t="str">
        <f t="array" ref="N19">IFERROR(INDEX(разряд,MATCH(SUM(COUNTIF(N$6:N18,разряд)),COUNTIF(разряд,"&lt;"&amp;разряд),0)),"")</f>
        <v/>
      </c>
      <c r="O19" s="215">
        <v>13</v>
      </c>
      <c r="P19" s="160" t="str">
        <f t="shared" si="1"/>
        <v/>
      </c>
      <c r="Q19" s="163">
        <f t="shared" si="2"/>
        <v>0</v>
      </c>
      <c r="R19" s="163">
        <f t="shared" si="3"/>
        <v>0</v>
      </c>
      <c r="S19" s="216">
        <f t="shared" si="4"/>
        <v>0</v>
      </c>
      <c r="T19" s="167">
        <f t="shared" si="5"/>
        <v>0</v>
      </c>
      <c r="U19" s="167">
        <f t="shared" si="6"/>
        <v>0</v>
      </c>
      <c r="V19" s="167">
        <f t="shared" si="7"/>
        <v>0</v>
      </c>
      <c r="W19" s="167">
        <f t="shared" si="8"/>
        <v>0</v>
      </c>
      <c r="X19" s="159"/>
      <c r="Y19" s="162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  <c r="AK19" s="245" t="str">
        <f>IFERROR(VLOOKUP(F19,Ит.пр!F$6:I$17,4,0),"")</f>
        <v/>
      </c>
      <c r="AL19" s="245" t="str">
        <f>IFERROR(VLOOKUP(F19,Ит.пр!F$6:J$17,5,0),"")</f>
        <v/>
      </c>
    </row>
    <row r="20" spans="1:38" ht="21.95" customHeight="1">
      <c r="A20" s="205" t="s">
        <v>86</v>
      </c>
      <c r="B20" s="206"/>
      <c r="C20" s="207"/>
      <c r="D20" s="208"/>
      <c r="E20" s="209"/>
      <c r="F20" s="208"/>
      <c r="G20" s="210"/>
      <c r="H20" s="211"/>
      <c r="I20" s="212"/>
      <c r="J20" s="213">
        <v>1</v>
      </c>
      <c r="K20" s="201">
        <f t="shared" si="10"/>
        <v>0</v>
      </c>
      <c r="L20" s="201">
        <f t="shared" si="11"/>
        <v>0</v>
      </c>
      <c r="M20" s="214" t="str">
        <f t="array" ref="M20">IFERROR(INDEX(субъект,MATCH(SUM(COUNTIF(M$6:M19,субъект)),COUNTIF(субъект,"&lt;"&amp;субъект),0)),"")</f>
        <v/>
      </c>
      <c r="N20" s="214" t="str">
        <f t="array" ref="N20">IFERROR(INDEX(разряд,MATCH(SUM(COUNTIF(N$6:N19,разряд)),COUNTIF(разряд,"&lt;"&amp;разряд),0)),"")</f>
        <v/>
      </c>
      <c r="O20" s="215">
        <v>14</v>
      </c>
      <c r="P20" s="160" t="str">
        <f t="shared" si="1"/>
        <v/>
      </c>
      <c r="Q20" s="163">
        <f t="shared" si="2"/>
        <v>0</v>
      </c>
      <c r="R20" s="163">
        <f t="shared" si="3"/>
        <v>0</v>
      </c>
      <c r="S20" s="216">
        <f t="shared" si="4"/>
        <v>0</v>
      </c>
      <c r="T20" s="167">
        <f t="shared" si="5"/>
        <v>0</v>
      </c>
      <c r="U20" s="167">
        <f t="shared" si="6"/>
        <v>0</v>
      </c>
      <c r="V20" s="167">
        <f t="shared" si="7"/>
        <v>0</v>
      </c>
      <c r="W20" s="167">
        <f t="shared" si="8"/>
        <v>0</v>
      </c>
      <c r="X20" s="159"/>
      <c r="Y20" s="162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  <c r="AK20" s="245" t="str">
        <f>IFERROR(VLOOKUP(F20,Ит.пр!F$6:I$17,4,0),"")</f>
        <v/>
      </c>
      <c r="AL20" s="245" t="str">
        <f>IFERROR(VLOOKUP(F20,Ит.пр!F$6:J$17,5,0),"")</f>
        <v/>
      </c>
    </row>
    <row r="21" spans="1:38" ht="21.95" customHeight="1">
      <c r="A21" s="205" t="s">
        <v>87</v>
      </c>
      <c r="B21" s="206"/>
      <c r="C21" s="207"/>
      <c r="D21" s="208"/>
      <c r="E21" s="209"/>
      <c r="F21" s="208"/>
      <c r="G21" s="210"/>
      <c r="H21" s="211"/>
      <c r="I21" s="212"/>
      <c r="J21" s="213">
        <v>1</v>
      </c>
      <c r="K21" s="201">
        <f t="shared" si="10"/>
        <v>0</v>
      </c>
      <c r="L21" s="201">
        <f t="shared" si="11"/>
        <v>0</v>
      </c>
      <c r="M21" s="214" t="str">
        <f t="array" ref="M21">IFERROR(INDEX(субъект,MATCH(SUM(COUNTIF(M$6:M20,субъект)),COUNTIF(субъект,"&lt;"&amp;субъект),0)),"")</f>
        <v/>
      </c>
      <c r="N21" s="214" t="str">
        <f t="array" ref="N21">IFERROR(INDEX(разряд,MATCH(SUM(COUNTIF(N$6:N20,разряд)),COUNTIF(разряд,"&lt;"&amp;разряд),0)),"")</f>
        <v/>
      </c>
      <c r="O21" s="215">
        <v>15</v>
      </c>
      <c r="P21" s="160" t="str">
        <f t="shared" si="1"/>
        <v/>
      </c>
      <c r="Q21" s="163">
        <f t="shared" si="2"/>
        <v>0</v>
      </c>
      <c r="R21" s="163">
        <f t="shared" si="3"/>
        <v>0</v>
      </c>
      <c r="S21" s="216">
        <f t="shared" si="4"/>
        <v>0</v>
      </c>
      <c r="T21" s="167">
        <f t="shared" si="5"/>
        <v>0</v>
      </c>
      <c r="U21" s="167">
        <f t="shared" si="6"/>
        <v>0</v>
      </c>
      <c r="V21" s="167">
        <f t="shared" si="7"/>
        <v>0</v>
      </c>
      <c r="W21" s="167">
        <f t="shared" si="8"/>
        <v>0</v>
      </c>
      <c r="X21" s="159"/>
      <c r="Y21" s="162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  <c r="AK21" s="245" t="str">
        <f>IFERROR(VLOOKUP(F21,Ит.пр!F$6:I$17,4,0),"")</f>
        <v/>
      </c>
      <c r="AL21" s="245" t="str">
        <f>IFERROR(VLOOKUP(F21,Ит.пр!F$6:J$17,5,0),"")</f>
        <v/>
      </c>
    </row>
    <row r="22" spans="1:38" ht="21.95" customHeight="1">
      <c r="A22" s="205" t="s">
        <v>88</v>
      </c>
      <c r="B22" s="206"/>
      <c r="C22" s="207"/>
      <c r="D22" s="208"/>
      <c r="E22" s="209"/>
      <c r="F22" s="208"/>
      <c r="G22" s="210"/>
      <c r="H22" s="211"/>
      <c r="I22" s="212"/>
      <c r="J22" s="213">
        <v>1</v>
      </c>
      <c r="K22" s="201">
        <f t="shared" si="10"/>
        <v>0</v>
      </c>
      <c r="L22" s="201">
        <f t="shared" si="11"/>
        <v>0</v>
      </c>
      <c r="M22" s="214" t="str">
        <f t="array" ref="M22">IFERROR(INDEX(субъект,MATCH(SUM(COUNTIF(M$6:M21,субъект)),COUNTIF(субъект,"&lt;"&amp;субъект),0)),"")</f>
        <v/>
      </c>
      <c r="N22" s="214" t="str">
        <f t="array" ref="N22">IFERROR(INDEX(разряд,MATCH(SUM(COUNTIF(N$6:N21,разряд)),COUNTIF(разряд,"&lt;"&amp;разряд),0)),"")</f>
        <v/>
      </c>
      <c r="O22" s="215">
        <v>16</v>
      </c>
      <c r="P22" s="160" t="str">
        <f t="shared" si="1"/>
        <v/>
      </c>
      <c r="Q22" s="163">
        <f t="shared" si="2"/>
        <v>0</v>
      </c>
      <c r="R22" s="163">
        <f t="shared" si="3"/>
        <v>0</v>
      </c>
      <c r="S22" s="216">
        <f t="shared" si="4"/>
        <v>0</v>
      </c>
      <c r="T22" s="167">
        <f t="shared" si="5"/>
        <v>0</v>
      </c>
      <c r="U22" s="167">
        <f t="shared" si="6"/>
        <v>0</v>
      </c>
      <c r="V22" s="167">
        <f t="shared" si="7"/>
        <v>0</v>
      </c>
      <c r="W22" s="167">
        <f t="shared" si="8"/>
        <v>0</v>
      </c>
      <c r="X22" s="159"/>
      <c r="Y22" s="162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  <c r="AK22" s="245" t="str">
        <f>IFERROR(VLOOKUP(F22,Ит.пр!F$6:I$17,4,0),"")</f>
        <v/>
      </c>
      <c r="AL22" s="245" t="str">
        <f>IFERROR(VLOOKUP(F22,Ит.пр!F$6:J$17,5,0),"")</f>
        <v/>
      </c>
    </row>
    <row r="23" spans="1:38">
      <c r="A23" s="86" t="s">
        <v>46</v>
      </c>
      <c r="D23" s="200"/>
      <c r="E23" s="200"/>
      <c r="F23" s="200"/>
      <c r="G23" s="200"/>
      <c r="H23" s="200"/>
      <c r="I23" s="4"/>
      <c r="J23" s="310"/>
      <c r="K23" s="311"/>
      <c r="L23" s="312"/>
      <c r="M23" s="197"/>
      <c r="N23" s="197"/>
      <c r="O23" s="4"/>
      <c r="AK23">
        <f>SUM(AK7:AK22)</f>
        <v>650</v>
      </c>
    </row>
    <row r="24" spans="1:38">
      <c r="D24" s="200"/>
      <c r="E24" s="200"/>
      <c r="F24" s="200"/>
      <c r="G24" s="200"/>
      <c r="H24" s="200"/>
      <c r="J24" s="310"/>
      <c r="K24" s="311"/>
      <c r="L24" s="312"/>
      <c r="M24" s="197"/>
      <c r="N24" s="197"/>
      <c r="O24" s="4"/>
    </row>
    <row r="25" spans="1:38">
      <c r="A25" s="86" t="s">
        <v>47</v>
      </c>
      <c r="D25" s="200"/>
      <c r="E25" s="200"/>
      <c r="F25" s="200"/>
      <c r="G25" s="200"/>
      <c r="H25" s="200"/>
      <c r="J25" s="310"/>
      <c r="K25" s="311"/>
      <c r="L25" s="312"/>
      <c r="M25" s="197"/>
      <c r="N25" s="197"/>
      <c r="O25" s="4"/>
    </row>
    <row r="26" spans="1:38">
      <c r="D26" s="200"/>
      <c r="E26" s="200"/>
      <c r="F26" s="200"/>
      <c r="G26" s="200"/>
      <c r="H26" s="200"/>
      <c r="J26" s="310"/>
      <c r="K26" s="311"/>
      <c r="L26" s="312"/>
      <c r="M26" s="197"/>
      <c r="N26" s="197"/>
      <c r="O26" s="4"/>
    </row>
    <row r="27" spans="1:38">
      <c r="A27" s="86" t="s">
        <v>48</v>
      </c>
      <c r="D27" s="200"/>
      <c r="E27" s="200"/>
      <c r="F27" s="200"/>
      <c r="G27" s="200"/>
      <c r="H27" s="200"/>
      <c r="J27" s="310"/>
      <c r="K27" s="311"/>
      <c r="L27" s="312"/>
      <c r="M27" s="197"/>
      <c r="N27" s="197"/>
      <c r="O27" s="4"/>
    </row>
    <row r="28" spans="1:38">
      <c r="D28" s="200"/>
      <c r="E28" s="200"/>
      <c r="F28" s="200"/>
      <c r="G28" s="200"/>
      <c r="H28" s="200"/>
      <c r="J28" s="310"/>
      <c r="K28" s="311"/>
      <c r="L28" s="312"/>
      <c r="M28" s="197"/>
      <c r="N28" s="197"/>
      <c r="O28" s="4"/>
    </row>
    <row r="29" spans="1:38">
      <c r="A29" s="86" t="s">
        <v>49</v>
      </c>
      <c r="D29" s="200"/>
      <c r="E29" s="200"/>
      <c r="F29" s="200"/>
      <c r="G29" s="200"/>
      <c r="H29" s="200"/>
      <c r="J29" s="310"/>
      <c r="K29" s="311"/>
      <c r="L29" s="312"/>
      <c r="M29" s="197"/>
      <c r="N29" s="197"/>
      <c r="O29" s="4"/>
    </row>
    <row r="30" spans="1:38">
      <c r="A30" s="200"/>
      <c r="B30" s="200"/>
      <c r="C30" s="200"/>
      <c r="D30" s="200"/>
      <c r="E30" s="200"/>
      <c r="F30" s="200"/>
      <c r="G30" s="200"/>
      <c r="H30" s="200"/>
      <c r="J30" s="310"/>
      <c r="K30" s="311"/>
      <c r="L30" s="312"/>
      <c r="M30" s="197"/>
      <c r="N30" s="197"/>
      <c r="O30" s="4"/>
    </row>
    <row r="81" spans="9:9">
      <c r="I81" s="200"/>
    </row>
    <row r="82" spans="9:9">
      <c r="I82" s="200"/>
    </row>
    <row r="83" spans="9:9">
      <c r="I83" s="200"/>
    </row>
    <row r="84" spans="9:9">
      <c r="I84" s="200"/>
    </row>
    <row r="85" spans="9:9">
      <c r="I85" s="200"/>
    </row>
    <row r="86" spans="9:9">
      <c r="I86" s="200"/>
    </row>
    <row r="87" spans="9:9">
      <c r="I87" s="200"/>
    </row>
    <row r="88" spans="9:9">
      <c r="I88" s="200"/>
    </row>
    <row r="89" spans="9:9">
      <c r="I89" s="200"/>
    </row>
    <row r="90" spans="9:9">
      <c r="I90" s="200"/>
    </row>
    <row r="91" spans="9:9">
      <c r="I91" s="200"/>
    </row>
    <row r="92" spans="9:9">
      <c r="I92" s="200"/>
    </row>
    <row r="93" spans="9:9">
      <c r="I93" s="200"/>
    </row>
    <row r="94" spans="9:9">
      <c r="I94" s="200"/>
    </row>
    <row r="95" spans="9:9">
      <c r="I95" s="200"/>
    </row>
    <row r="96" spans="9:9">
      <c r="I96" s="200"/>
    </row>
    <row r="97" spans="9:9">
      <c r="I97" s="200"/>
    </row>
    <row r="98" spans="9:9">
      <c r="I98" s="200"/>
    </row>
    <row r="99" spans="9:9">
      <c r="I99" s="200"/>
    </row>
    <row r="100" spans="9:9">
      <c r="I100" s="200"/>
    </row>
    <row r="101" spans="9:9">
      <c r="I101" s="200"/>
    </row>
    <row r="102" spans="9:9">
      <c r="I102" s="200"/>
    </row>
    <row r="103" spans="9:9">
      <c r="I103" s="200"/>
    </row>
    <row r="104" spans="9:9">
      <c r="I104" s="200"/>
    </row>
    <row r="105" spans="9:9">
      <c r="I105" s="200"/>
    </row>
    <row r="106" spans="9:9">
      <c r="I106" s="200"/>
    </row>
    <row r="107" spans="9:9">
      <c r="I107" s="200"/>
    </row>
    <row r="108" spans="9:9">
      <c r="I108" s="200"/>
    </row>
    <row r="109" spans="9:9">
      <c r="I109" s="200"/>
    </row>
    <row r="110" spans="9:9">
      <c r="I110" s="200"/>
    </row>
    <row r="111" spans="9:9">
      <c r="I111" s="200"/>
    </row>
    <row r="112" spans="9:9">
      <c r="I112" s="200"/>
    </row>
    <row r="113" spans="9:9">
      <c r="I113" s="200"/>
    </row>
    <row r="114" spans="9:9">
      <c r="I114" s="200"/>
    </row>
    <row r="115" spans="9:9">
      <c r="I115" s="200"/>
    </row>
    <row r="116" spans="9:9">
      <c r="I116" s="200"/>
    </row>
    <row r="117" spans="9:9">
      <c r="I117" s="200"/>
    </row>
    <row r="118" spans="9:9">
      <c r="I118" s="200"/>
    </row>
    <row r="119" spans="9:9">
      <c r="I119" s="200"/>
    </row>
    <row r="120" spans="9:9">
      <c r="I120" s="200"/>
    </row>
    <row r="121" spans="9:9">
      <c r="I121" s="200"/>
    </row>
    <row r="122" spans="9:9">
      <c r="I122" s="200"/>
    </row>
    <row r="123" spans="9:9">
      <c r="I123" s="200"/>
    </row>
    <row r="124" spans="9:9">
      <c r="I124" s="200"/>
    </row>
    <row r="125" spans="9:9">
      <c r="I125" s="200"/>
    </row>
    <row r="126" spans="9:9">
      <c r="I126" s="200"/>
    </row>
    <row r="127" spans="9:9">
      <c r="I127" s="200"/>
    </row>
    <row r="128" spans="9:9">
      <c r="I128" s="200"/>
    </row>
    <row r="129" spans="9:9">
      <c r="I129" s="200"/>
    </row>
    <row r="130" spans="9:9">
      <c r="I130" s="200"/>
    </row>
    <row r="131" spans="9:9">
      <c r="I131" s="200"/>
    </row>
    <row r="132" spans="9:9">
      <c r="I132" s="200"/>
    </row>
    <row r="133" spans="9:9">
      <c r="I133" s="200"/>
    </row>
    <row r="134" spans="9:9">
      <c r="I134" s="200"/>
    </row>
    <row r="135" spans="9:9">
      <c r="I135" s="200"/>
    </row>
    <row r="136" spans="9:9">
      <c r="I136" s="200"/>
    </row>
    <row r="137" spans="9:9">
      <c r="I137" s="200"/>
    </row>
    <row r="138" spans="9:9">
      <c r="I138" s="200"/>
    </row>
    <row r="139" spans="9:9">
      <c r="I139" s="200"/>
    </row>
    <row r="140" spans="9:9">
      <c r="I140" s="200"/>
    </row>
    <row r="141" spans="9:9">
      <c r="I141" s="200"/>
    </row>
    <row r="142" spans="9:9">
      <c r="I142" s="200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1190625</xdr:colOff>
                    <xdr:row>3</xdr:row>
                    <xdr:rowOff>28575</xdr:rowOff>
                  </from>
                  <to>
                    <xdr:col>5</xdr:col>
                    <xdr:colOff>1323975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28575</xdr:rowOff>
                  </from>
                  <to>
                    <xdr:col>1</xdr:col>
                    <xdr:colOff>314325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30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28515625" customWidth="1"/>
    <col min="4" max="4" width="15.140625" customWidth="1"/>
    <col min="5" max="17" width="4.7109375" customWidth="1"/>
    <col min="18" max="18" width="14" customWidth="1"/>
    <col min="19" max="19" width="7.7109375" customWidth="1"/>
    <col min="20" max="20" width="15.140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17" t="s">
        <v>22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109"/>
      <c r="W1" s="109"/>
      <c r="X1" s="111"/>
      <c r="Y1" s="109"/>
      <c r="Z1" s="109"/>
      <c r="AA1" s="109"/>
      <c r="AB1" s="109"/>
    </row>
    <row r="2" spans="1:29" ht="18.95" customHeight="1" thickBot="1">
      <c r="A2" s="318" t="s">
        <v>23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109"/>
      <c r="W2" s="109"/>
      <c r="X2" s="111"/>
      <c r="Y2" s="109"/>
      <c r="Z2" s="109"/>
      <c r="AA2" s="109"/>
      <c r="AB2" s="109"/>
    </row>
    <row r="3" spans="1:29" ht="39.950000000000003" customHeight="1" thickBot="1">
      <c r="A3" s="109"/>
      <c r="B3" s="109"/>
      <c r="C3" s="343" t="str">
        <f>пр.взв!B2</f>
        <v>Всероссийские соревнования по спортивному и боевому самбо среди мужчин на призы УФСИН России</v>
      </c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5"/>
      <c r="S3" s="109"/>
      <c r="T3" s="109"/>
      <c r="U3" s="109"/>
      <c r="V3" s="109"/>
      <c r="W3" s="109"/>
      <c r="X3" s="111"/>
      <c r="Y3" s="109"/>
      <c r="Z3" s="109"/>
      <c r="AA3" s="109"/>
      <c r="AB3" s="109"/>
    </row>
    <row r="4" spans="1:29" ht="15.75" customHeight="1" thickBot="1">
      <c r="A4" s="116"/>
      <c r="B4" s="116"/>
      <c r="C4" s="346" t="str">
        <f>пр.взв!A3</f>
        <v>20-22 апреля 2019 г           г.Тверь</v>
      </c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116"/>
      <c r="T4" s="109"/>
      <c r="U4" s="109"/>
      <c r="V4" s="109"/>
      <c r="W4" s="109"/>
      <c r="X4" s="111"/>
      <c r="Y4" s="109"/>
      <c r="Z4" s="109"/>
      <c r="AA4" s="109"/>
      <c r="AB4" s="109"/>
    </row>
    <row r="5" spans="1:29" ht="18" customHeight="1" thickBot="1">
      <c r="A5" s="109"/>
      <c r="B5" s="109"/>
      <c r="C5" s="109"/>
      <c r="D5" s="109"/>
      <c r="E5" s="109"/>
      <c r="F5" s="109"/>
      <c r="G5" s="109"/>
      <c r="H5" s="109"/>
      <c r="I5" s="117"/>
      <c r="J5" s="347" t="str">
        <f>пр.взв!D4</f>
        <v>В.к.82б кг.</v>
      </c>
      <c r="K5" s="348"/>
      <c r="L5" s="349"/>
      <c r="M5" s="350" t="str">
        <f>Y5&amp;" "&amp;Z5</f>
        <v>12 участников</v>
      </c>
      <c r="N5" s="351"/>
      <c r="O5" s="352"/>
      <c r="P5" s="109"/>
      <c r="Q5" s="109"/>
      <c r="R5" s="53"/>
      <c r="S5" s="109"/>
      <c r="T5" s="109"/>
      <c r="U5" s="109"/>
      <c r="V5" s="109"/>
      <c r="W5" s="118"/>
      <c r="X5" s="110"/>
      <c r="Y5" s="110">
        <f>пр.взв!AH7</f>
        <v>12</v>
      </c>
      <c r="Z5" s="239" t="s">
        <v>90</v>
      </c>
      <c r="AA5" s="111"/>
      <c r="AB5" s="111"/>
    </row>
    <row r="6" spans="1:29" ht="16.5" customHeight="1" thickBot="1">
      <c r="A6" s="335" t="s">
        <v>0</v>
      </c>
      <c r="B6" s="335"/>
      <c r="C6" s="220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19"/>
      <c r="S6" s="119"/>
      <c r="T6" s="109"/>
      <c r="U6" s="119" t="s">
        <v>1</v>
      </c>
      <c r="V6" s="109"/>
      <c r="W6" s="120"/>
      <c r="X6" s="112"/>
      <c r="Y6" s="112"/>
      <c r="Z6" s="110"/>
      <c r="AA6" s="111"/>
      <c r="AB6" s="111"/>
    </row>
    <row r="7" spans="1:29" ht="12.75" customHeight="1" thickBot="1">
      <c r="A7" s="319">
        <v>1</v>
      </c>
      <c r="B7" s="321" t="str">
        <f>IFERROR(VLOOKUP(A7,пр.взв!$B$7:$H$22,2,0),"")</f>
        <v>Цупров Максим Русланович</v>
      </c>
      <c r="C7" s="323" t="str">
        <f>IFERROR(VLOOKUP(A7,пр.взв!$B$7:$H$22,3,0),"")</f>
        <v>01.09.99, кмс</v>
      </c>
      <c r="D7" s="323" t="str">
        <f>IFERROR(VLOOKUP(A7,пр.взв!$B$7:$H$22,5,0),"")</f>
        <v>Тверская, Тверь</v>
      </c>
      <c r="E7" s="121"/>
      <c r="F7" s="218"/>
      <c r="G7" s="218"/>
      <c r="H7" s="218"/>
      <c r="I7" s="122" t="s">
        <v>25</v>
      </c>
      <c r="J7" s="218"/>
      <c r="K7" s="218"/>
      <c r="L7" s="218"/>
      <c r="M7" s="123"/>
      <c r="N7" s="123"/>
      <c r="O7" s="123"/>
      <c r="P7" s="123"/>
      <c r="Q7" s="124"/>
      <c r="R7" s="323" t="str">
        <f>IFERROR(VLOOKUP(U7,пр.взв!$B$7:$H$22,2,0),"")</f>
        <v>Золотцев Максим Русланович</v>
      </c>
      <c r="S7" s="334" t="str">
        <f>IFERROR(VLOOKUP(U7,пр.взв!$B$7:$H$22,3,0),"")</f>
        <v>16.12.98, кмс</v>
      </c>
      <c r="T7" s="334" t="str">
        <f>IFERROR(VLOOKUP(U7,пр.взв!$B$7:$H$22,5,0),"")</f>
        <v>Тверская, Тверь</v>
      </c>
      <c r="U7" s="314">
        <v>2</v>
      </c>
      <c r="V7" s="109"/>
      <c r="W7" s="120"/>
      <c r="X7" s="112"/>
      <c r="Y7" s="112"/>
      <c r="Z7" s="110"/>
      <c r="AA7" s="110"/>
      <c r="AB7" s="110"/>
      <c r="AC7" s="4"/>
    </row>
    <row r="8" spans="1:29" ht="12.75" customHeight="1">
      <c r="A8" s="320"/>
      <c r="B8" s="322"/>
      <c r="C8" s="324"/>
      <c r="D8" s="324"/>
      <c r="E8" s="125">
        <v>1</v>
      </c>
      <c r="F8" s="123"/>
      <c r="G8" s="123"/>
      <c r="H8" s="126">
        <v>7</v>
      </c>
      <c r="I8" s="336" t="str">
        <f>IFERROR(VLOOKUP(H8,пр.взв!$B$7:$I$22,2,0),"")</f>
        <v>Саламатников Александр Николаевич</v>
      </c>
      <c r="J8" s="337"/>
      <c r="K8" s="337"/>
      <c r="L8" s="337"/>
      <c r="M8" s="338"/>
      <c r="N8" s="123"/>
      <c r="O8" s="123"/>
      <c r="P8" s="123"/>
      <c r="Q8" s="125">
        <v>10</v>
      </c>
      <c r="R8" s="324"/>
      <c r="S8" s="330"/>
      <c r="T8" s="330"/>
      <c r="U8" s="315"/>
      <c r="V8" s="109"/>
      <c r="W8" s="120"/>
      <c r="X8" s="112"/>
      <c r="Y8" s="112"/>
      <c r="Z8" s="110"/>
      <c r="AA8" s="110"/>
      <c r="AB8" s="110"/>
      <c r="AC8" s="4"/>
    </row>
    <row r="9" spans="1:29" ht="12.75" customHeight="1" thickBot="1">
      <c r="A9" s="320">
        <v>9</v>
      </c>
      <c r="B9" s="328" t="str">
        <f>IFERROR(VLOOKUP(A9,пр.взв!$B$7:$H$22,2,0),"")</f>
        <v>Рочев Антон Александрович</v>
      </c>
      <c r="C9" s="328" t="str">
        <f>IFERROR(VLOOKUP(A9,пр.взв!$B$7:$H$22,3,0),"")</f>
        <v>26.02.90, кмс</v>
      </c>
      <c r="D9" s="330" t="str">
        <f>IFERROR(VLOOKUP(A9,пр.взв!$B$7:$H$22,5,0),"")</f>
        <v>Кировская, Киров</v>
      </c>
      <c r="E9" s="127" t="s">
        <v>141</v>
      </c>
      <c r="F9" s="221"/>
      <c r="G9" s="123"/>
      <c r="H9" s="218"/>
      <c r="I9" s="339"/>
      <c r="J9" s="340"/>
      <c r="K9" s="340"/>
      <c r="L9" s="340"/>
      <c r="M9" s="341"/>
      <c r="N9" s="123"/>
      <c r="O9" s="123"/>
      <c r="P9" s="128"/>
      <c r="Q9" s="127" t="s">
        <v>141</v>
      </c>
      <c r="R9" s="328" t="str">
        <f>IFERROR(VLOOKUP(U9,пр.взв!$B$7:$H$22,2,0),"")</f>
        <v>Магомедханов Самур Исламович</v>
      </c>
      <c r="S9" s="328" t="str">
        <f>IFERROR(VLOOKUP(U9,пр.взв!$B$7:$H$22,3,0),"")</f>
        <v>06.01.00, кмс</v>
      </c>
      <c r="T9" s="328" t="str">
        <f>IFERROR(VLOOKUP(U9,пр.взв!$B$7:$H$22,5,0),"")</f>
        <v>Вологодская, Вологда</v>
      </c>
      <c r="U9" s="315">
        <v>10</v>
      </c>
      <c r="V9" s="109"/>
      <c r="W9" s="120"/>
      <c r="X9" s="112"/>
      <c r="Y9" s="112"/>
      <c r="Z9" s="110"/>
      <c r="AA9" s="110"/>
      <c r="AB9" s="110"/>
      <c r="AC9" s="4"/>
    </row>
    <row r="10" spans="1:29" ht="12.75" customHeight="1" thickBot="1">
      <c r="A10" s="327"/>
      <c r="B10" s="329"/>
      <c r="C10" s="329"/>
      <c r="D10" s="324"/>
      <c r="E10" s="129"/>
      <c r="F10" s="222"/>
      <c r="G10" s="125">
        <v>5</v>
      </c>
      <c r="H10" s="218"/>
      <c r="I10" s="124"/>
      <c r="J10" s="124"/>
      <c r="K10" s="223"/>
      <c r="L10" s="124"/>
      <c r="M10" s="123"/>
      <c r="N10" s="123"/>
      <c r="O10" s="125">
        <v>6</v>
      </c>
      <c r="P10" s="130"/>
      <c r="Q10" s="124"/>
      <c r="R10" s="329"/>
      <c r="S10" s="329"/>
      <c r="T10" s="329"/>
      <c r="U10" s="316"/>
      <c r="V10" s="109"/>
      <c r="W10" s="120"/>
      <c r="X10" s="113"/>
      <c r="Y10" s="112"/>
      <c r="Z10" s="110"/>
      <c r="AA10" s="110"/>
      <c r="AB10" s="110"/>
      <c r="AC10" s="4"/>
    </row>
    <row r="11" spans="1:29" ht="12.75" customHeight="1" thickBot="1">
      <c r="A11" s="319">
        <v>5</v>
      </c>
      <c r="B11" s="321" t="str">
        <f>IFERROR(VLOOKUP(A11,пр.взв!$B$7:$H$22,2,0),"")</f>
        <v>Жарков Денис Сергееич</v>
      </c>
      <c r="C11" s="323" t="str">
        <f>IFERROR(VLOOKUP(A11,пр.взв!$B$7:$H$22,3,0),"")</f>
        <v>04.12.95, кмс</v>
      </c>
      <c r="D11" s="323" t="str">
        <f>IFERROR(VLOOKUP(A11,пр.взв!$B$7:$H$22,5,0),"")</f>
        <v>Ярославская, Углич</v>
      </c>
      <c r="E11" s="121"/>
      <c r="F11" s="222"/>
      <c r="G11" s="127" t="s">
        <v>141</v>
      </c>
      <c r="H11" s="131"/>
      <c r="I11" s="218"/>
      <c r="J11" s="124"/>
      <c r="K11" s="124"/>
      <c r="L11" s="124"/>
      <c r="M11" s="123"/>
      <c r="N11" s="128"/>
      <c r="O11" s="127" t="s">
        <v>141</v>
      </c>
      <c r="P11" s="130"/>
      <c r="Q11" s="124"/>
      <c r="R11" s="334" t="str">
        <f>IFERROR(VLOOKUP(U11,пр.взв!$B$7:$H$22,2,0),"")</f>
        <v>Алешкин Илья Сергеевич</v>
      </c>
      <c r="S11" s="334" t="str">
        <f>IFERROR(VLOOKUP(U11,пр.взв!$B$7:$H$22,3,0),"")</f>
        <v>07.05.97, кмс</v>
      </c>
      <c r="T11" s="334" t="str">
        <f>IFERROR(VLOOKUP(U11,пр.взв!$B$7:$H$22,5,0),"")</f>
        <v>Москва, МГФСО</v>
      </c>
      <c r="U11" s="325">
        <v>6</v>
      </c>
      <c r="V11" s="109"/>
      <c r="W11" s="120"/>
      <c r="X11" s="113"/>
      <c r="Y11" s="112"/>
      <c r="Z11" s="110"/>
      <c r="AA11" s="110"/>
      <c r="AB11" s="110"/>
      <c r="AC11" s="4"/>
    </row>
    <row r="12" spans="1:29" ht="12.75" customHeight="1">
      <c r="A12" s="320"/>
      <c r="B12" s="322"/>
      <c r="C12" s="324"/>
      <c r="D12" s="324"/>
      <c r="E12" s="125">
        <v>5</v>
      </c>
      <c r="F12" s="224"/>
      <c r="G12" s="123"/>
      <c r="H12" s="132"/>
      <c r="I12" s="218"/>
      <c r="J12" s="366" t="s">
        <v>19</v>
      </c>
      <c r="K12" s="366"/>
      <c r="L12" s="366"/>
      <c r="M12" s="123"/>
      <c r="N12" s="130"/>
      <c r="O12" s="123"/>
      <c r="P12" s="217"/>
      <c r="Q12" s="125">
        <v>6</v>
      </c>
      <c r="R12" s="330"/>
      <c r="S12" s="330"/>
      <c r="T12" s="330"/>
      <c r="U12" s="315"/>
      <c r="V12" s="109"/>
      <c r="W12" s="120"/>
      <c r="X12" s="113"/>
      <c r="Y12" s="112"/>
      <c r="Z12" s="110"/>
      <c r="AA12" s="110"/>
      <c r="AB12" s="110"/>
      <c r="AC12" s="4"/>
    </row>
    <row r="13" spans="1:29" ht="12.75" customHeight="1" thickBot="1">
      <c r="A13" s="320">
        <v>13</v>
      </c>
      <c r="B13" s="328" t="str">
        <f>IFERROR(VLOOKUP(A13,пр.взв!$B$7:$H$22,2,0),"")</f>
        <v/>
      </c>
      <c r="C13" s="328" t="str">
        <f>IFERROR(VLOOKUP(A13,пр.взв!$B$7:$H$22,3,0),"")</f>
        <v/>
      </c>
      <c r="D13" s="330" t="str">
        <f>IFERROR(VLOOKUP(A13,пр.взв!$B$7:$H$22,5,0),"")</f>
        <v/>
      </c>
      <c r="E13" s="127"/>
      <c r="F13" s="123"/>
      <c r="G13" s="123"/>
      <c r="H13" s="132"/>
      <c r="I13" s="133"/>
      <c r="J13" s="134"/>
      <c r="K13" s="134"/>
      <c r="L13" s="218"/>
      <c r="M13" s="123"/>
      <c r="N13" s="130"/>
      <c r="O13" s="123"/>
      <c r="P13" s="123"/>
      <c r="Q13" s="127"/>
      <c r="R13" s="328" t="str">
        <f>IFERROR(VLOOKUP(U13,пр.взв!$B$7:$H$22,2,0),"")</f>
        <v/>
      </c>
      <c r="S13" s="328" t="str">
        <f>IFERROR(VLOOKUP(U13,пр.взв!$B$7:$H$22,3,0),"")</f>
        <v/>
      </c>
      <c r="T13" s="328" t="str">
        <f>IFERROR(VLOOKUP(U13,пр.взв!$B$7:$H$22,5,0),"")</f>
        <v/>
      </c>
      <c r="U13" s="315">
        <v>14</v>
      </c>
      <c r="V13" s="109"/>
      <c r="W13" s="120"/>
      <c r="X13" s="113"/>
      <c r="Y13" s="112"/>
      <c r="Z13" s="110"/>
      <c r="AA13" s="110"/>
      <c r="AB13" s="110"/>
      <c r="AC13" s="4"/>
    </row>
    <row r="14" spans="1:29" ht="12.75" customHeight="1" thickBot="1">
      <c r="A14" s="327"/>
      <c r="B14" s="329"/>
      <c r="C14" s="329"/>
      <c r="D14" s="324"/>
      <c r="E14" s="129"/>
      <c r="F14" s="342"/>
      <c r="G14" s="342"/>
      <c r="H14" s="132"/>
      <c r="I14" s="125">
        <v>7</v>
      </c>
      <c r="J14" s="218"/>
      <c r="K14" s="218"/>
      <c r="L14" s="218"/>
      <c r="M14" s="125">
        <v>6</v>
      </c>
      <c r="N14" s="133"/>
      <c r="O14" s="123"/>
      <c r="P14" s="123"/>
      <c r="Q14" s="124"/>
      <c r="R14" s="329"/>
      <c r="S14" s="329"/>
      <c r="T14" s="329"/>
      <c r="U14" s="326"/>
      <c r="V14" s="109"/>
      <c r="W14" s="120"/>
      <c r="X14" s="113"/>
      <c r="Y14" s="112"/>
      <c r="Z14" s="110"/>
      <c r="AA14" s="110"/>
      <c r="AB14" s="110"/>
      <c r="AC14" s="4"/>
    </row>
    <row r="15" spans="1:29" ht="12.75" customHeight="1" thickBot="1">
      <c r="A15" s="319">
        <v>3</v>
      </c>
      <c r="B15" s="321" t="str">
        <f>IFERROR(VLOOKUP(A15,пр.взв!$B$7:$H$22,2,0),"")</f>
        <v>Арцыбашев Иван Сергеевич</v>
      </c>
      <c r="C15" s="323" t="str">
        <f>IFERROR(VLOOKUP(A15,пр.взв!$B$7:$H$22,3,0),"")</f>
        <v>26.09.95, кмс</v>
      </c>
      <c r="D15" s="323" t="str">
        <f>IFERROR(VLOOKUP(A15,пр.взв!$B$7:$H$22,5,0),"")</f>
        <v>Тверская, Тверь</v>
      </c>
      <c r="E15" s="121"/>
      <c r="F15" s="123"/>
      <c r="G15" s="123"/>
      <c r="H15" s="132"/>
      <c r="I15" s="127" t="s">
        <v>141</v>
      </c>
      <c r="J15" s="218"/>
      <c r="K15" s="218"/>
      <c r="L15" s="218"/>
      <c r="M15" s="127" t="s">
        <v>141</v>
      </c>
      <c r="N15" s="130"/>
      <c r="O15" s="123"/>
      <c r="P15" s="123"/>
      <c r="Q15" s="124"/>
      <c r="R15" s="334" t="str">
        <f>IFERROR(VLOOKUP(U15,пр.взв!$B$7:$H$22,2,0),"")</f>
        <v>Косилов Даниил Эдуардович</v>
      </c>
      <c r="S15" s="334" t="str">
        <f>IFERROR(VLOOKUP(U15,пр.взв!$B$7:$H$22,3,0),"")</f>
        <v>08.02.95, кмс</v>
      </c>
      <c r="T15" s="334" t="str">
        <f>IFERROR(VLOOKUP(U15,пр.взв!$B$7:$H$22,5,0),"")</f>
        <v>Ярославская, Ярославль</v>
      </c>
      <c r="U15" s="314">
        <v>4</v>
      </c>
      <c r="V15" s="109"/>
      <c r="W15" s="120"/>
      <c r="X15" s="113"/>
      <c r="Y15" s="112"/>
      <c r="Z15" s="110"/>
      <c r="AA15" s="110"/>
      <c r="AB15" s="110"/>
      <c r="AC15" s="4"/>
    </row>
    <row r="16" spans="1:29" ht="12.75" customHeight="1">
      <c r="A16" s="320"/>
      <c r="B16" s="322"/>
      <c r="C16" s="324"/>
      <c r="D16" s="324"/>
      <c r="E16" s="125">
        <v>11</v>
      </c>
      <c r="F16" s="123"/>
      <c r="G16" s="123"/>
      <c r="H16" s="132"/>
      <c r="I16" s="218"/>
      <c r="J16" s="218"/>
      <c r="K16" s="218"/>
      <c r="L16" s="218"/>
      <c r="M16" s="123"/>
      <c r="N16" s="130"/>
      <c r="O16" s="123"/>
      <c r="P16" s="123"/>
      <c r="Q16" s="125">
        <v>4</v>
      </c>
      <c r="R16" s="330"/>
      <c r="S16" s="330"/>
      <c r="T16" s="330"/>
      <c r="U16" s="315"/>
      <c r="V16" s="109"/>
      <c r="W16" s="120"/>
      <c r="X16" s="113"/>
      <c r="Y16" s="112"/>
      <c r="Z16" s="110"/>
      <c r="AA16" s="110"/>
      <c r="AB16" s="110"/>
      <c r="AC16" s="4"/>
    </row>
    <row r="17" spans="1:29" ht="12.75" customHeight="1" thickBot="1">
      <c r="A17" s="320">
        <v>11</v>
      </c>
      <c r="B17" s="328" t="str">
        <f>IFERROR(VLOOKUP(A17,пр.взв!$B$7:$H$22,2,0),"")</f>
        <v>Петросян Карен Агаронович</v>
      </c>
      <c r="C17" s="328" t="str">
        <f>IFERROR(VLOOKUP(A17,пр.взв!$B$7:$H$22,3,0),"")</f>
        <v>20.03.01, кмс</v>
      </c>
      <c r="D17" s="330" t="str">
        <f>IFERROR(VLOOKUP(A17,пр.взв!$B$7:$H$22,5,0),"")</f>
        <v>Тверская, Тверь</v>
      </c>
      <c r="E17" s="127" t="s">
        <v>141</v>
      </c>
      <c r="F17" s="221"/>
      <c r="G17" s="123"/>
      <c r="H17" s="132"/>
      <c r="I17" s="218"/>
      <c r="J17" s="218"/>
      <c r="K17" s="218"/>
      <c r="L17" s="218"/>
      <c r="M17" s="123"/>
      <c r="N17" s="130"/>
      <c r="O17" s="123"/>
      <c r="P17" s="128"/>
      <c r="Q17" s="127" t="s">
        <v>141</v>
      </c>
      <c r="R17" s="328" t="str">
        <f>IFERROR(VLOOKUP(U17,пр.взв!$B$7:$H$22,2,0),"")</f>
        <v>Щеголев Денис Юрьевич</v>
      </c>
      <c r="S17" s="328" t="str">
        <f>IFERROR(VLOOKUP(U17,пр.взв!$B$7:$H$22,3,0),"")</f>
        <v>01.01.93, кмс</v>
      </c>
      <c r="T17" s="328" t="str">
        <f>IFERROR(VLOOKUP(U17,пр.взв!$B$7:$H$22,5,0),"")</f>
        <v>Тверская, Тверь</v>
      </c>
      <c r="U17" s="315">
        <v>12</v>
      </c>
      <c r="V17" s="109"/>
      <c r="W17" s="120"/>
      <c r="X17" s="113"/>
      <c r="Y17" s="112"/>
      <c r="Z17" s="110"/>
      <c r="AA17" s="110"/>
      <c r="AB17" s="110"/>
      <c r="AC17" s="4"/>
    </row>
    <row r="18" spans="1:29" ht="12.75" customHeight="1" thickBot="1">
      <c r="A18" s="327"/>
      <c r="B18" s="329"/>
      <c r="C18" s="329"/>
      <c r="D18" s="324"/>
      <c r="E18" s="129"/>
      <c r="F18" s="222"/>
      <c r="G18" s="125">
        <v>7</v>
      </c>
      <c r="H18" s="135"/>
      <c r="I18" s="122" t="s">
        <v>26</v>
      </c>
      <c r="J18" s="218"/>
      <c r="K18" s="218"/>
      <c r="L18" s="218"/>
      <c r="M18" s="123"/>
      <c r="N18" s="217"/>
      <c r="O18" s="125">
        <v>4</v>
      </c>
      <c r="P18" s="130"/>
      <c r="Q18" s="124"/>
      <c r="R18" s="329"/>
      <c r="S18" s="329"/>
      <c r="T18" s="329"/>
      <c r="U18" s="316"/>
      <c r="V18" s="109"/>
      <c r="W18" s="120"/>
      <c r="X18" s="113"/>
      <c r="Y18" s="112"/>
      <c r="Z18" s="110"/>
      <c r="AA18" s="111"/>
      <c r="AB18" s="111"/>
    </row>
    <row r="19" spans="1:29" ht="12.75" customHeight="1" thickBot="1">
      <c r="A19" s="319">
        <v>7</v>
      </c>
      <c r="B19" s="321" t="str">
        <f>IFERROR(VLOOKUP(A19,пр.взв!$B$7:$H$22,2,0),"")</f>
        <v>Саламатников Александр Николаевич</v>
      </c>
      <c r="C19" s="323" t="str">
        <f>IFERROR(VLOOKUP(A19,пр.взв!$B$7:$H$22,3,0),"")</f>
        <v>19.03.93, мс</v>
      </c>
      <c r="D19" s="323" t="str">
        <f>IFERROR(VLOOKUP(A19,пр.взв!$B$7:$H$22,5,0),"")</f>
        <v>Москва, ГБУ СШ "Битца"</v>
      </c>
      <c r="E19" s="121"/>
      <c r="F19" s="136"/>
      <c r="G19" s="127" t="s">
        <v>141</v>
      </c>
      <c r="H19" s="126"/>
      <c r="I19" s="124"/>
      <c r="J19" s="124"/>
      <c r="K19" s="124"/>
      <c r="L19" s="124"/>
      <c r="M19" s="124"/>
      <c r="N19" s="123"/>
      <c r="O19" s="127" t="s">
        <v>141</v>
      </c>
      <c r="P19" s="130"/>
      <c r="Q19" s="124"/>
      <c r="R19" s="334" t="str">
        <f>IFERROR(VLOOKUP(U19,пр.взв!$B$7:$H$22,2,0),"")</f>
        <v>Блинов Антон Андреевич</v>
      </c>
      <c r="S19" s="334" t="str">
        <f>IFERROR(VLOOKUP(U19,пр.взв!$B$7:$H$22,3,0),"")</f>
        <v>22.09.90, кмс</v>
      </c>
      <c r="T19" s="334" t="str">
        <f>IFERROR(VLOOKUP(U19,пр.взв!$B$7:$H$22,5,0),"")</f>
        <v>Кировская, Киров</v>
      </c>
      <c r="U19" s="332">
        <v>8</v>
      </c>
      <c r="V19" s="109"/>
      <c r="W19" s="118"/>
      <c r="X19" s="114"/>
      <c r="Y19" s="110"/>
      <c r="Z19" s="110"/>
      <c r="AA19" s="111"/>
      <c r="AB19" s="111"/>
    </row>
    <row r="20" spans="1:29" ht="12.75" customHeight="1">
      <c r="A20" s="320"/>
      <c r="B20" s="322"/>
      <c r="C20" s="324"/>
      <c r="D20" s="324"/>
      <c r="E20" s="125">
        <v>7</v>
      </c>
      <c r="F20" s="137"/>
      <c r="G20" s="129"/>
      <c r="H20" s="126">
        <f>AA29</f>
        <v>6</v>
      </c>
      <c r="I20" s="368" t="str">
        <f>IFERROR(VLOOKUP(H20,пр.взв!$B$7:$I$22,2,0),"")</f>
        <v>Алешкин Илья Сергеевич</v>
      </c>
      <c r="J20" s="369"/>
      <c r="K20" s="369"/>
      <c r="L20" s="369"/>
      <c r="M20" s="370"/>
      <c r="N20" s="123"/>
      <c r="O20" s="123"/>
      <c r="P20" s="138"/>
      <c r="Q20" s="125">
        <v>8</v>
      </c>
      <c r="R20" s="330"/>
      <c r="S20" s="330"/>
      <c r="T20" s="330"/>
      <c r="U20" s="325"/>
      <c r="V20" s="109"/>
      <c r="W20" s="109"/>
      <c r="X20" s="111"/>
      <c r="Y20" s="111"/>
      <c r="Z20" s="111"/>
      <c r="AA20" s="111"/>
      <c r="AB20" s="111"/>
    </row>
    <row r="21" spans="1:29" ht="12.75" customHeight="1" thickBot="1">
      <c r="A21" s="320">
        <v>15</v>
      </c>
      <c r="B21" s="328" t="str">
        <f>IFERROR(VLOOKUP(A21,пр.взв!$B$7:$H$22,2,0),"")</f>
        <v/>
      </c>
      <c r="C21" s="328" t="str">
        <f>IFERROR(VLOOKUP(A21,пр.взв!$B$7:$H$22,3,0),"")</f>
        <v/>
      </c>
      <c r="D21" s="330" t="str">
        <f>IFERROR(VLOOKUP(A21,пр.взв!$B$7:$H$22,5,0),"")</f>
        <v/>
      </c>
      <c r="E21" s="127"/>
      <c r="F21" s="129"/>
      <c r="G21" s="129"/>
      <c r="H21" s="219"/>
      <c r="I21" s="371"/>
      <c r="J21" s="372"/>
      <c r="K21" s="372"/>
      <c r="L21" s="372"/>
      <c r="M21" s="373"/>
      <c r="N21" s="123"/>
      <c r="O21" s="123"/>
      <c r="P21" s="123"/>
      <c r="Q21" s="127"/>
      <c r="R21" s="328" t="str">
        <f>IFERROR(VLOOKUP(U21,пр.взв!$B$7:$H$22,2,0),"")</f>
        <v/>
      </c>
      <c r="S21" s="328" t="str">
        <f>IFERROR(VLOOKUP(U21,пр.взв!$B$7:$H$22,3,0),"")</f>
        <v/>
      </c>
      <c r="T21" s="328" t="str">
        <f>IFERROR(VLOOKUP(U21,пр.взв!$B$7:$H$22,5,0),"")</f>
        <v/>
      </c>
      <c r="U21" s="326">
        <v>16</v>
      </c>
      <c r="V21" s="109"/>
      <c r="W21" s="109"/>
      <c r="X21" s="111"/>
      <c r="Y21" s="111"/>
      <c r="Z21" s="111"/>
      <c r="AA21" s="111"/>
      <c r="AB21" s="111"/>
    </row>
    <row r="22" spans="1:29" ht="12.75" customHeight="1" thickBot="1">
      <c r="A22" s="327"/>
      <c r="B22" s="329"/>
      <c r="C22" s="329"/>
      <c r="D22" s="331"/>
      <c r="E22" s="129"/>
      <c r="F22" s="121"/>
      <c r="G22" s="121"/>
      <c r="H22" s="124"/>
      <c r="I22" s="124"/>
      <c r="J22" s="124"/>
      <c r="K22" s="124"/>
      <c r="L22" s="124"/>
      <c r="M22" s="124"/>
      <c r="N22" s="124"/>
      <c r="O22" s="218"/>
      <c r="P22" s="218"/>
      <c r="Q22" s="124"/>
      <c r="R22" s="329"/>
      <c r="S22" s="329"/>
      <c r="T22" s="329"/>
      <c r="U22" s="333"/>
      <c r="V22" s="109"/>
      <c r="W22" s="109"/>
      <c r="X22" s="111"/>
      <c r="Y22" s="111"/>
      <c r="Z22" s="111"/>
      <c r="AA22" s="111"/>
      <c r="AB22" s="111"/>
    </row>
    <row r="23" spans="1:29" s="5" customFormat="1" ht="12.75" customHeight="1">
      <c r="A23" s="270"/>
      <c r="B23" s="270"/>
      <c r="C23" s="270"/>
      <c r="D23" s="253"/>
      <c r="E23" s="271"/>
      <c r="F23" s="271"/>
      <c r="G23" s="271"/>
      <c r="H23" s="367" t="s">
        <v>24</v>
      </c>
      <c r="I23" s="367"/>
      <c r="J23" s="367"/>
      <c r="K23" s="367"/>
      <c r="L23" s="367"/>
      <c r="M23" s="367"/>
      <c r="N23" s="367"/>
      <c r="O23" s="272"/>
      <c r="P23" s="272"/>
      <c r="Q23" s="273"/>
      <c r="R23" s="140"/>
      <c r="S23" s="140"/>
      <c r="T23" s="140"/>
      <c r="U23" s="252"/>
      <c r="V23" s="252"/>
      <c r="W23" s="253"/>
      <c r="X23" s="254"/>
      <c r="Y23" s="254"/>
      <c r="Z23" s="254"/>
      <c r="AA23" s="254"/>
      <c r="AB23" s="254"/>
    </row>
    <row r="24" spans="1:29" s="5" customFormat="1" ht="13.5" customHeight="1">
      <c r="A24" s="252"/>
      <c r="B24" s="253"/>
      <c r="C24" s="253"/>
      <c r="D24" s="141"/>
      <c r="E24" s="252"/>
      <c r="F24" s="252"/>
      <c r="G24" s="252"/>
      <c r="H24" s="252"/>
      <c r="I24" s="252"/>
      <c r="J24" s="253"/>
      <c r="K24" s="253"/>
      <c r="L24" s="253"/>
      <c r="M24" s="253"/>
      <c r="N24" s="253"/>
      <c r="O24" s="141"/>
      <c r="P24" s="253"/>
      <c r="Q24" s="253"/>
      <c r="R24" s="253"/>
      <c r="S24" s="253"/>
      <c r="T24" s="253"/>
      <c r="U24" s="141"/>
      <c r="V24" s="253"/>
      <c r="W24" s="252"/>
      <c r="X24" s="254"/>
      <c r="Y24" s="255" t="s">
        <v>65</v>
      </c>
      <c r="Z24" s="255" t="s">
        <v>66</v>
      </c>
      <c r="AA24" s="255" t="s">
        <v>66</v>
      </c>
      <c r="AB24" s="254"/>
    </row>
    <row r="25" spans="1:29" s="5" customFormat="1" ht="13.5" customHeight="1">
      <c r="A25" s="142">
        <f>Y29</f>
        <v>13</v>
      </c>
      <c r="B25" s="354" t="str">
        <f>IFERROR(VLOOKUP(A25,пр.взв!$B$7:$H$22,2,0),"")</f>
        <v/>
      </c>
      <c r="C25" s="253"/>
      <c r="D25" s="253"/>
      <c r="E25" s="252"/>
      <c r="F25" s="252"/>
      <c r="G25" s="252"/>
      <c r="H25" s="252"/>
      <c r="I25" s="143">
        <f>Y30</f>
        <v>14</v>
      </c>
      <c r="J25" s="354" t="str">
        <f>IFERROR(VLOOKUP(I25,пр.взв!$B$7:$H$22,2,0),"")</f>
        <v/>
      </c>
      <c r="K25" s="354"/>
      <c r="L25" s="354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2"/>
      <c r="X25" s="254"/>
      <c r="Y25" s="256">
        <f>IF(G10=""," ",IF(G10=E8,E12,E8))</f>
        <v>1</v>
      </c>
      <c r="Z25" s="255">
        <f>IF(A25=""," ",IF(A25=C26,A27,A25))</f>
        <v>13</v>
      </c>
      <c r="AA25" s="255" t="str">
        <f>IF(D29=""," ",IF(D29=E32,C35,D29))</f>
        <v xml:space="preserve"> </v>
      </c>
      <c r="AB25" s="254"/>
    </row>
    <row r="26" spans="1:29" s="5" customFormat="1" ht="13.5" customHeight="1">
      <c r="A26" s="141"/>
      <c r="B26" s="356"/>
      <c r="C26" s="249">
        <v>1</v>
      </c>
      <c r="D26" s="257"/>
      <c r="E26" s="258"/>
      <c r="F26" s="258"/>
      <c r="G26" s="258"/>
      <c r="H26" s="258"/>
      <c r="I26" s="144"/>
      <c r="J26" s="354"/>
      <c r="K26" s="354"/>
      <c r="L26" s="354"/>
      <c r="M26" s="250">
        <v>10</v>
      </c>
      <c r="N26" s="257"/>
      <c r="O26" s="257"/>
      <c r="P26" s="257"/>
      <c r="Q26" s="257"/>
      <c r="R26" s="145"/>
      <c r="S26" s="257"/>
      <c r="T26" s="257"/>
      <c r="U26" s="141"/>
      <c r="V26" s="253"/>
      <c r="W26" s="252"/>
      <c r="X26" s="254"/>
      <c r="Y26" s="256">
        <f>IF(O10=""," ",IF(O10=Q8,Q12,Q8))</f>
        <v>10</v>
      </c>
      <c r="Z26" s="255">
        <f>IF(I25=""," ",IF(I25=M26,I27,I25))</f>
        <v>14</v>
      </c>
      <c r="AA26" s="255">
        <f>IF(N29=""," ",IF(N29=Q32,M35,N29))</f>
        <v>5</v>
      </c>
      <c r="AB26" s="254"/>
    </row>
    <row r="27" spans="1:29" s="5" customFormat="1" ht="13.5" customHeight="1">
      <c r="A27" s="146">
        <f>Y25</f>
        <v>1</v>
      </c>
      <c r="B27" s="354" t="str">
        <f>IFERROR(VLOOKUP(A27,пр.взв!$B$7:$H$22,2,0),"")</f>
        <v>Цупров Максим Русланович</v>
      </c>
      <c r="C27" s="274"/>
      <c r="D27" s="257"/>
      <c r="E27" s="260"/>
      <c r="F27" s="260"/>
      <c r="G27" s="260"/>
      <c r="H27" s="260"/>
      <c r="I27" s="147">
        <f>Y26</f>
        <v>10</v>
      </c>
      <c r="J27" s="354" t="str">
        <f>IFERROR(VLOOKUP(I27,пр.взв!$B$7:$H$22,2,0),"")</f>
        <v>Магомедханов Самур Исламович</v>
      </c>
      <c r="K27" s="354"/>
      <c r="L27" s="354"/>
      <c r="M27" s="278"/>
      <c r="N27" s="261"/>
      <c r="O27" s="261"/>
      <c r="P27" s="261"/>
      <c r="Q27" s="261"/>
      <c r="R27" s="257"/>
      <c r="S27" s="257"/>
      <c r="T27" s="257"/>
      <c r="U27" s="253"/>
      <c r="V27" s="253"/>
      <c r="W27" s="252"/>
      <c r="X27" s="254"/>
      <c r="Y27" s="256">
        <f>IF(G18=""," ",IF(G18=E16,E20,E16))</f>
        <v>11</v>
      </c>
      <c r="Z27" s="255">
        <f>IF(A31=""," ",IF(A31=C32,A33,A31))</f>
        <v>15</v>
      </c>
      <c r="AA27" s="255">
        <f>IF(C32=""," ",IF(C32=D29,C26,C32))</f>
        <v>11</v>
      </c>
      <c r="AB27" s="254"/>
    </row>
    <row r="28" spans="1:29" s="5" customFormat="1" ht="13.5" customHeight="1">
      <c r="A28" s="146"/>
      <c r="B28" s="354"/>
      <c r="C28" s="148"/>
      <c r="D28" s="250">
        <v>11</v>
      </c>
      <c r="E28" s="261"/>
      <c r="F28" s="261"/>
      <c r="G28" s="260"/>
      <c r="H28" s="260"/>
      <c r="I28" s="147"/>
      <c r="J28" s="354"/>
      <c r="K28" s="354"/>
      <c r="L28" s="354"/>
      <c r="M28" s="148"/>
      <c r="N28" s="261"/>
      <c r="O28" s="261"/>
      <c r="P28" s="261"/>
      <c r="Q28" s="261"/>
      <c r="R28" s="257"/>
      <c r="S28" s="149"/>
      <c r="T28" s="257"/>
      <c r="U28" s="253"/>
      <c r="V28" s="253"/>
      <c r="W28" s="252"/>
      <c r="X28" s="254"/>
      <c r="Y28" s="256">
        <f>IF(O18=""," ",IF(O18=Q16,Q20,Q16))</f>
        <v>8</v>
      </c>
      <c r="Z28" s="255">
        <f>IF(I31=""," ",IF(I31=M32,I33,I31))</f>
        <v>8</v>
      </c>
      <c r="AA28" s="255">
        <f>IF(M32=""," ",IF(M32=N29,M26,M32))</f>
        <v>12</v>
      </c>
      <c r="AB28" s="254"/>
    </row>
    <row r="29" spans="1:29" s="5" customFormat="1" ht="13.5" customHeight="1">
      <c r="A29" s="146"/>
      <c r="B29" s="259"/>
      <c r="C29" s="148"/>
      <c r="D29" s="221"/>
      <c r="E29" s="261"/>
      <c r="F29" s="261"/>
      <c r="G29" s="260"/>
      <c r="H29" s="260"/>
      <c r="I29" s="147"/>
      <c r="J29" s="262"/>
      <c r="K29" s="259"/>
      <c r="L29" s="263"/>
      <c r="M29" s="148"/>
      <c r="N29" s="363">
        <v>10</v>
      </c>
      <c r="O29" s="363"/>
      <c r="P29" s="363"/>
      <c r="Q29" s="261"/>
      <c r="R29" s="257"/>
      <c r="S29" s="257"/>
      <c r="T29" s="257"/>
      <c r="U29" s="253"/>
      <c r="V29" s="253"/>
      <c r="W29" s="252"/>
      <c r="X29" s="254"/>
      <c r="Y29" s="256">
        <f>IF(G10=""," ",IF(G10=A7,A9,IF(G10=A9,A7,IF(G10=A11,A13,A11))))</f>
        <v>13</v>
      </c>
      <c r="Z29" s="255">
        <f>IF(AND(OR(A7=G10,A9=G10),A11=E12),A13,IF(AND(OR(A7=G10,A9=G10),A13=E12),A11,IF(A7=E8,A9,A7)))</f>
        <v>9</v>
      </c>
      <c r="AA29" s="255">
        <f>IF(H8="","",IF(H8=I14,M14,I14))</f>
        <v>6</v>
      </c>
      <c r="AB29" s="254"/>
    </row>
    <row r="30" spans="1:29" s="5" customFormat="1" ht="13.5" customHeight="1">
      <c r="A30" s="146"/>
      <c r="B30" s="150"/>
      <c r="C30" s="148"/>
      <c r="D30" s="276"/>
      <c r="E30" s="261"/>
      <c r="F30" s="252" t="s">
        <v>42</v>
      </c>
      <c r="G30" s="260"/>
      <c r="H30" s="260"/>
      <c r="I30" s="147"/>
      <c r="J30" s="262"/>
      <c r="K30" s="150"/>
      <c r="L30" s="263"/>
      <c r="M30" s="148"/>
      <c r="N30" s="261"/>
      <c r="O30" s="259"/>
      <c r="P30" s="279"/>
      <c r="Q30" s="261"/>
      <c r="R30" s="252" t="s">
        <v>42</v>
      </c>
      <c r="S30" s="257"/>
      <c r="T30" s="257"/>
      <c r="U30" s="253"/>
      <c r="V30" s="253"/>
      <c r="W30" s="252"/>
      <c r="X30" s="254"/>
      <c r="Y30" s="256">
        <f>IF(O10=""," ",IF(O10=U7,U9,IF(O10=U9,U7,IF(O10=U11,U13,U11))))</f>
        <v>14</v>
      </c>
      <c r="Z30" s="255">
        <f>IF(AND(U7=O10,U11=Q12),U13,IF(AND(U7=O10,U13=Q12),U11,IF(AND(U9=O10,U11=Q12),U13,IF(AND(U9=O10,U13=Q12),U11,IF(U7=Q8,U9,U7)))))</f>
        <v>2</v>
      </c>
      <c r="AA30" s="255"/>
      <c r="AB30" s="254"/>
    </row>
    <row r="31" spans="1:29" s="5" customFormat="1" ht="13.5" customHeight="1" thickBot="1">
      <c r="A31" s="151">
        <f>Y31</f>
        <v>15</v>
      </c>
      <c r="B31" s="354" t="str">
        <f>IFERROR(VLOOKUP(A31,пр.взв!$B$7:$H$22,2,0),"")</f>
        <v/>
      </c>
      <c r="C31" s="148"/>
      <c r="D31" s="276"/>
      <c r="E31" s="264"/>
      <c r="F31" s="261"/>
      <c r="G31" s="261"/>
      <c r="H31" s="261"/>
      <c r="I31" s="152">
        <f>Y32</f>
        <v>12</v>
      </c>
      <c r="J31" s="354" t="str">
        <f>IFERROR(VLOOKUP(I31,пр.взв!$B$7:$H$22,2,0),"")</f>
        <v>Щеголев Денис Юрьевич</v>
      </c>
      <c r="K31" s="354"/>
      <c r="L31" s="354"/>
      <c r="M31" s="148"/>
      <c r="N31" s="261"/>
      <c r="O31" s="261"/>
      <c r="P31" s="280"/>
      <c r="Q31" s="261"/>
      <c r="R31" s="257"/>
      <c r="S31" s="257"/>
      <c r="T31" s="257"/>
      <c r="U31" s="253"/>
      <c r="V31" s="253"/>
      <c r="W31" s="252"/>
      <c r="X31" s="254"/>
      <c r="Y31" s="256">
        <f>IF(G18=""," ",IF(G18=A15,A17,IF(G18=A17,A15,IF(G18=A19,A21,A19))))</f>
        <v>15</v>
      </c>
      <c r="Z31" s="255">
        <f>IF(AND(OR(A15=G18,A17=G18),A19=E20),A21,IF(AND(OR(A15=G18,A17=G18),A21=E20),A19,IF(A15=E16,A17,A15)))</f>
        <v>3</v>
      </c>
      <c r="AA31" s="255"/>
      <c r="AB31" s="254"/>
    </row>
    <row r="32" spans="1:29" s="5" customFormat="1" ht="13.5" customHeight="1">
      <c r="A32" s="151"/>
      <c r="B32" s="356"/>
      <c r="C32" s="275">
        <v>11</v>
      </c>
      <c r="D32" s="276"/>
      <c r="E32" s="251">
        <v>4</v>
      </c>
      <c r="F32" s="357" t="str">
        <f>IFERROR(VLOOKUP(E32,пр.взв!$B$7:$H$22,2,0),"")</f>
        <v>Косилов Даниил Эдуардович</v>
      </c>
      <c r="G32" s="358"/>
      <c r="H32" s="359"/>
      <c r="I32" s="153"/>
      <c r="J32" s="354"/>
      <c r="K32" s="354"/>
      <c r="L32" s="354"/>
      <c r="M32" s="275">
        <v>12</v>
      </c>
      <c r="N32" s="265"/>
      <c r="O32" s="265"/>
      <c r="P32" s="280"/>
      <c r="Q32" s="251">
        <v>10</v>
      </c>
      <c r="R32" s="364" t="str">
        <f>IFERROR(VLOOKUP(Q32,пр.взв!$B$7:$H$22,2,0),"")</f>
        <v>Магомедханов Самур Исламович</v>
      </c>
      <c r="S32" s="265"/>
      <c r="T32" s="265"/>
      <c r="U32" s="265"/>
      <c r="V32" s="253"/>
      <c r="W32" s="252"/>
      <c r="X32" s="254"/>
      <c r="Y32" s="256">
        <f>IF(O18=""," ",IF(O18=U15,U17,IF(O18=U17,U15,IF(O18=U19,U21,U19))))</f>
        <v>12</v>
      </c>
      <c r="Z32" s="255">
        <f>IF(AND(U15=O18,U19=Q20),U21,IF(AND(U15=O18,U21=Q20),U19,IF(AND(U17=O18,U19=Q20),U21,IF(AND(U17=O18,U21=Q20),U19,IF(U15=Q16,U17,U15)))))</f>
        <v>16</v>
      </c>
      <c r="AA32" s="255"/>
      <c r="AB32" s="254"/>
    </row>
    <row r="33" spans="1:28" s="5" customFormat="1" ht="13.5" customHeight="1" thickBot="1">
      <c r="A33" s="151">
        <f>Y27</f>
        <v>11</v>
      </c>
      <c r="B33" s="354" t="str">
        <f>IFERROR(VLOOKUP(A33,пр.взв!$B$7:$H$22,2,0),"")</f>
        <v>Петросян Карен Агаронович</v>
      </c>
      <c r="C33" s="259"/>
      <c r="D33" s="276"/>
      <c r="E33" s="266"/>
      <c r="F33" s="360"/>
      <c r="G33" s="361"/>
      <c r="H33" s="362"/>
      <c r="I33" s="153">
        <f>Y28</f>
        <v>8</v>
      </c>
      <c r="J33" s="354" t="str">
        <f>IFERROR(VLOOKUP(I33,пр.взв!$B$7:$H$22,2,0),"")</f>
        <v>Блинов Антон Андреевич</v>
      </c>
      <c r="K33" s="354"/>
      <c r="L33" s="354"/>
      <c r="M33" s="154"/>
      <c r="N33" s="265"/>
      <c r="O33" s="265"/>
      <c r="P33" s="280"/>
      <c r="Q33" s="259"/>
      <c r="R33" s="365"/>
      <c r="S33" s="265"/>
      <c r="T33" s="265"/>
      <c r="U33" s="265"/>
      <c r="V33" s="253"/>
      <c r="W33" s="252"/>
      <c r="X33" s="254"/>
      <c r="Y33" s="267">
        <f>IF(I14="","",IF(G10=I14,G18,G10))</f>
        <v>5</v>
      </c>
      <c r="Z33" s="254"/>
      <c r="AA33" s="254"/>
      <c r="AB33" s="254"/>
    </row>
    <row r="34" spans="1:28" s="5" customFormat="1" ht="13.5" customHeight="1">
      <c r="A34" s="268"/>
      <c r="B34" s="354"/>
      <c r="C34" s="257"/>
      <c r="D34" s="277"/>
      <c r="E34" s="261"/>
      <c r="F34" s="261"/>
      <c r="G34" s="261"/>
      <c r="H34" s="261"/>
      <c r="I34" s="153"/>
      <c r="J34" s="354"/>
      <c r="K34" s="354"/>
      <c r="L34" s="354"/>
      <c r="M34" s="261"/>
      <c r="N34" s="261"/>
      <c r="O34" s="261"/>
      <c r="P34" s="281"/>
      <c r="Q34" s="261"/>
      <c r="R34" s="257"/>
      <c r="S34" s="257"/>
      <c r="T34" s="257"/>
      <c r="U34" s="253"/>
      <c r="V34" s="253"/>
      <c r="W34" s="252"/>
      <c r="X34" s="254"/>
      <c r="Y34" s="267">
        <f>IF(M14="","",IF(O10=M14,O18,O10))</f>
        <v>4</v>
      </c>
      <c r="Z34" s="254"/>
      <c r="AA34" s="254"/>
      <c r="AB34" s="254"/>
    </row>
    <row r="35" spans="1:28" s="5" customFormat="1" ht="13.5" customHeight="1">
      <c r="A35" s="253"/>
      <c r="B35" s="257"/>
      <c r="C35" s="152">
        <f>Y34</f>
        <v>4</v>
      </c>
      <c r="D35" s="354" t="str">
        <f>IFERROR(VLOOKUP(C35,пр.взв!$B$7:$H$22,2,0),"")</f>
        <v>Косилов Даниил Эдуардович</v>
      </c>
      <c r="E35" s="261"/>
      <c r="F35" s="261"/>
      <c r="G35" s="261"/>
      <c r="H35" s="261"/>
      <c r="I35" s="264"/>
      <c r="J35" s="261"/>
      <c r="K35" s="261"/>
      <c r="L35" s="261"/>
      <c r="M35" s="152">
        <f>Y33</f>
        <v>5</v>
      </c>
      <c r="N35" s="354" t="str">
        <f>IFERROR(VLOOKUP(M35,пр.взв!$B$7:$H$22,2,0),"")</f>
        <v>Жарков Денис Сергееич</v>
      </c>
      <c r="O35" s="355"/>
      <c r="P35" s="355"/>
      <c r="Q35" s="261"/>
      <c r="R35" s="257"/>
      <c r="S35" s="257"/>
      <c r="T35" s="257"/>
      <c r="U35" s="253"/>
      <c r="V35" s="253"/>
      <c r="W35" s="252"/>
      <c r="X35" s="254"/>
      <c r="Y35" s="254"/>
      <c r="Z35" s="254"/>
      <c r="AA35" s="254"/>
      <c r="AB35" s="254"/>
    </row>
    <row r="36" spans="1:28" s="5" customFormat="1" ht="13.5" customHeight="1">
      <c r="A36" s="252"/>
      <c r="B36" s="257"/>
      <c r="C36" s="269"/>
      <c r="D36" s="356"/>
      <c r="E36" s="261"/>
      <c r="F36" s="261"/>
      <c r="G36" s="261"/>
      <c r="H36" s="261"/>
      <c r="I36" s="261"/>
      <c r="J36" s="261"/>
      <c r="K36" s="261"/>
      <c r="L36" s="261"/>
      <c r="M36" s="261"/>
      <c r="N36" s="355"/>
      <c r="O36" s="355"/>
      <c r="P36" s="355"/>
      <c r="Q36" s="261"/>
      <c r="R36" s="257"/>
      <c r="S36" s="257"/>
      <c r="T36" s="257"/>
      <c r="U36" s="253"/>
      <c r="V36" s="253"/>
      <c r="W36" s="252"/>
      <c r="X36" s="254"/>
      <c r="Y36" s="254"/>
      <c r="Z36" s="254"/>
      <c r="AA36" s="254"/>
      <c r="AB36" s="254"/>
    </row>
    <row r="37" spans="1:28">
      <c r="A37" s="225"/>
      <c r="B37" s="226"/>
      <c r="C37" s="226"/>
      <c r="D37" s="227"/>
      <c r="E37" s="228"/>
      <c r="F37" s="228"/>
      <c r="G37" s="228"/>
      <c r="H37" s="229"/>
      <c r="I37" s="229"/>
      <c r="J37" s="229"/>
      <c r="K37" s="228"/>
      <c r="L37" s="228"/>
      <c r="M37" s="228"/>
      <c r="N37" s="228"/>
      <c r="O37" s="228"/>
      <c r="P37" s="228"/>
      <c r="Q37" s="228"/>
      <c r="R37" s="226"/>
      <c r="S37" s="226"/>
      <c r="T37" s="226"/>
      <c r="U37" s="226"/>
      <c r="V37" s="226"/>
      <c r="W37" s="109"/>
      <c r="X37" s="111"/>
      <c r="Y37" s="111"/>
      <c r="Z37" s="111"/>
      <c r="AA37" s="111"/>
      <c r="AB37" s="111"/>
    </row>
    <row r="38" spans="1:28" ht="16.5">
      <c r="A38" s="353" t="str">
        <f>[1]реквизиты!$A$6</f>
        <v>Гл. судья, судья ВК</v>
      </c>
      <c r="B38" s="353"/>
      <c r="C38" s="353"/>
      <c r="D38" s="109"/>
      <c r="E38" s="230"/>
      <c r="F38" s="230"/>
      <c r="G38" s="231"/>
      <c r="H38" s="109"/>
      <c r="I38" s="109"/>
      <c r="J38" s="232" t="str">
        <f>[1]реквизиты!$G$6</f>
        <v xml:space="preserve">Н.Н.Малышев </v>
      </c>
      <c r="K38" s="86"/>
      <c r="L38" s="4"/>
      <c r="M38" s="4"/>
      <c r="N38" s="233" t="str">
        <f>[1]реквизиты!$G$7</f>
        <v>/Дубна /</v>
      </c>
      <c r="O38" s="234"/>
      <c r="P38" s="139"/>
      <c r="Q38" s="139"/>
      <c r="R38" s="118"/>
      <c r="S38" s="118"/>
      <c r="T38" s="118"/>
      <c r="U38" s="118"/>
      <c r="V38" s="118"/>
      <c r="W38" s="109"/>
      <c r="X38" s="111"/>
      <c r="Y38" s="111"/>
      <c r="Z38" s="111"/>
      <c r="AA38" s="111"/>
      <c r="AB38" s="111"/>
    </row>
    <row r="39" spans="1:28">
      <c r="A39" s="140"/>
      <c r="B39" s="140"/>
      <c r="C39" s="140"/>
      <c r="D39" s="118"/>
      <c r="E39" s="139"/>
      <c r="F39" s="139"/>
      <c r="G39" s="139"/>
      <c r="H39" s="139"/>
      <c r="I39" s="139"/>
      <c r="K39" s="86"/>
      <c r="L39" s="4"/>
      <c r="M39" s="4"/>
      <c r="N39" s="187"/>
      <c r="O39" s="124"/>
      <c r="P39" s="124"/>
      <c r="Q39" s="124"/>
      <c r="R39" s="109"/>
      <c r="S39" s="109"/>
      <c r="T39" s="109"/>
      <c r="U39" s="109"/>
      <c r="V39" s="109"/>
      <c r="W39" s="109"/>
      <c r="X39" s="111"/>
      <c r="Y39" s="111"/>
      <c r="Z39" s="111"/>
      <c r="AA39" s="111"/>
      <c r="AB39" s="111"/>
    </row>
    <row r="40" spans="1:28" ht="16.5">
      <c r="A40" s="235" t="str">
        <f>[1]реквизиты!$A$8</f>
        <v>Гл. секретарь, судья ВК</v>
      </c>
      <c r="B40" s="156"/>
      <c r="C40" s="157"/>
      <c r="D40" s="236"/>
      <c r="E40" s="237"/>
      <c r="F40" s="231"/>
      <c r="G40" s="231"/>
      <c r="H40" s="118"/>
      <c r="I40" s="118"/>
      <c r="J40" s="232" t="str">
        <f>[1]реквизиты!$G$8</f>
        <v>А.С.Тимошин</v>
      </c>
      <c r="K40" s="86"/>
      <c r="L40" s="188"/>
      <c r="M40" s="188"/>
      <c r="N40" s="313" t="str">
        <f>[1]реквизиты!$G$9</f>
        <v>/Рыбинск/</v>
      </c>
      <c r="O40" s="313"/>
      <c r="P40" s="313"/>
      <c r="Q40" s="109"/>
      <c r="R40" s="109"/>
      <c r="S40" s="109"/>
      <c r="T40" s="109"/>
      <c r="U40" s="109"/>
      <c r="V40" s="109"/>
      <c r="W40" s="109"/>
      <c r="X40" s="111"/>
      <c r="Y40" s="111"/>
      <c r="Z40" s="111"/>
      <c r="AA40" s="111"/>
      <c r="AB40" s="111"/>
    </row>
    <row r="41" spans="1:28" ht="15">
      <c r="A41" s="109"/>
      <c r="B41" s="109"/>
      <c r="C41" s="109"/>
      <c r="D41" s="155"/>
      <c r="E41" s="155"/>
      <c r="F41" s="155"/>
      <c r="G41" s="236"/>
      <c r="H41" s="236"/>
      <c r="I41" s="118"/>
      <c r="Q41" s="118"/>
      <c r="R41" s="220"/>
      <c r="S41" s="124"/>
      <c r="T41" s="124"/>
      <c r="U41" s="109"/>
      <c r="V41" s="109"/>
      <c r="W41" s="109"/>
      <c r="X41" s="111"/>
    </row>
    <row r="42" spans="1:28" ht="15">
      <c r="D42" s="63"/>
      <c r="E42" s="63"/>
      <c r="F42" s="64"/>
      <c r="G42" s="187"/>
      <c r="H42" s="187"/>
      <c r="I42" s="4"/>
      <c r="J42" s="4"/>
      <c r="K42" s="4"/>
      <c r="L42" s="4"/>
      <c r="M42" s="59"/>
      <c r="N42" s="59"/>
      <c r="O42" s="59"/>
      <c r="P42" s="59"/>
      <c r="Q42" s="187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89</v>
      </c>
      <c r="C44" s="49"/>
      <c r="D44" s="63"/>
      <c r="E44" s="63"/>
      <c r="F44" s="63"/>
      <c r="G44" s="86"/>
      <c r="H44" s="86"/>
      <c r="M44" s="238" t="s">
        <v>89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2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1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P7" sqref="P7:P22"/>
    </sheetView>
  </sheetViews>
  <sheetFormatPr defaultRowHeight="12.75"/>
  <cols>
    <col min="1" max="2" width="4.140625" customWidth="1"/>
    <col min="3" max="3" width="22.7109375" customWidth="1"/>
    <col min="5" max="5" width="8.28515625" hidden="1" customWidth="1"/>
    <col min="6" max="6" width="21.57031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hidden="1" customWidth="1"/>
    <col min="16" max="16" width="20.85546875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39" t="s">
        <v>37</v>
      </c>
      <c r="C1" s="439"/>
      <c r="D1" s="439"/>
      <c r="E1" s="439"/>
      <c r="F1" s="439"/>
      <c r="G1" s="439"/>
      <c r="H1" s="439"/>
      <c r="I1" s="439"/>
      <c r="J1" s="439"/>
      <c r="L1" s="439" t="s">
        <v>37</v>
      </c>
      <c r="M1" s="439"/>
      <c r="N1" s="439"/>
      <c r="O1" s="439"/>
      <c r="P1" s="439"/>
      <c r="Q1" s="439"/>
      <c r="R1" s="439"/>
      <c r="S1" s="439"/>
      <c r="T1" s="439"/>
    </row>
    <row r="2" spans="1:20" ht="15.75" customHeight="1">
      <c r="B2" s="440" t="str">
        <f>пр.взв!D4</f>
        <v>В.к.82б кг.</v>
      </c>
      <c r="C2" s="441"/>
      <c r="D2" s="441"/>
      <c r="E2" s="441"/>
      <c r="F2" s="441"/>
      <c r="G2" s="441"/>
      <c r="H2" s="441"/>
      <c r="I2" s="441"/>
      <c r="J2" s="441"/>
      <c r="L2" s="440" t="str">
        <f>B2</f>
        <v>В.к.82б кг.</v>
      </c>
      <c r="M2" s="441"/>
      <c r="N2" s="441"/>
      <c r="O2" s="441"/>
      <c r="P2" s="441"/>
      <c r="Q2" s="441"/>
      <c r="R2" s="441"/>
      <c r="S2" s="441"/>
      <c r="T2" s="441"/>
    </row>
    <row r="3" spans="1:20">
      <c r="B3">
        <v>0</v>
      </c>
      <c r="C3" s="5" t="s">
        <v>91</v>
      </c>
      <c r="L3">
        <f>B3</f>
        <v>0</v>
      </c>
      <c r="M3" s="5" t="s">
        <v>91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04" t="s">
        <v>39</v>
      </c>
      <c r="B5" s="442" t="s">
        <v>4</v>
      </c>
      <c r="C5" s="408" t="s">
        <v>5</v>
      </c>
      <c r="D5" s="412" t="s">
        <v>12</v>
      </c>
      <c r="E5" s="380" t="s">
        <v>13</v>
      </c>
      <c r="F5" s="381"/>
      <c r="G5" s="408" t="s">
        <v>14</v>
      </c>
      <c r="H5" s="427" t="s">
        <v>40</v>
      </c>
      <c r="I5" s="399" t="s">
        <v>15</v>
      </c>
      <c r="J5" s="401" t="s">
        <v>16</v>
      </c>
      <c r="K5" s="404" t="s">
        <v>39</v>
      </c>
      <c r="L5" s="442" t="s">
        <v>4</v>
      </c>
      <c r="M5" s="408" t="s">
        <v>5</v>
      </c>
      <c r="N5" s="412" t="s">
        <v>12</v>
      </c>
      <c r="O5" s="380" t="s">
        <v>13</v>
      </c>
      <c r="P5" s="381"/>
      <c r="Q5" s="408" t="s">
        <v>14</v>
      </c>
      <c r="R5" s="427" t="s">
        <v>40</v>
      </c>
      <c r="S5" s="399" t="s">
        <v>15</v>
      </c>
      <c r="T5" s="401" t="s">
        <v>16</v>
      </c>
    </row>
    <row r="6" spans="1:20" ht="13.5" customHeight="1" thickBot="1">
      <c r="A6" s="405"/>
      <c r="B6" s="443" t="s">
        <v>33</v>
      </c>
      <c r="C6" s="409"/>
      <c r="D6" s="413"/>
      <c r="E6" s="382"/>
      <c r="F6" s="383"/>
      <c r="G6" s="409"/>
      <c r="H6" s="428"/>
      <c r="I6" s="400"/>
      <c r="J6" s="402" t="s">
        <v>34</v>
      </c>
      <c r="K6" s="405"/>
      <c r="L6" s="443" t="s">
        <v>33</v>
      </c>
      <c r="M6" s="409"/>
      <c r="N6" s="413"/>
      <c r="O6" s="382"/>
      <c r="P6" s="383"/>
      <c r="Q6" s="409"/>
      <c r="R6" s="428"/>
      <c r="S6" s="400"/>
      <c r="T6" s="402" t="s">
        <v>34</v>
      </c>
    </row>
    <row r="7" spans="1:20" ht="12.75" customHeight="1">
      <c r="A7" s="414">
        <v>1</v>
      </c>
      <c r="B7" s="444">
        <v>1</v>
      </c>
      <c r="C7" s="387" t="str">
        <f>VLOOKUP(B7,пр.взв!B$7:E$22,2,FALSE)</f>
        <v>Цупров Максим Русланович</v>
      </c>
      <c r="D7" s="374" t="str">
        <f>VLOOKUP(B7,пр.взв!B$7:E$22,3,FALSE)</f>
        <v>01.09.99, кмс</v>
      </c>
      <c r="E7" s="375" t="str">
        <f>VLOOKUP(B7,пр.взв!B$7:E$22,4,FALSE)</f>
        <v>ЦФО</v>
      </c>
      <c r="F7" s="387" t="str">
        <f>VLOOKUP(B7,пр.взв!B$7:F$22,5,FALSE)</f>
        <v>Тверская, Тверь</v>
      </c>
      <c r="G7" s="434"/>
      <c r="H7" s="435"/>
      <c r="I7" s="431"/>
      <c r="J7" s="432"/>
      <c r="K7" s="414">
        <v>5</v>
      </c>
      <c r="L7" s="444">
        <v>2</v>
      </c>
      <c r="M7" s="446" t="str">
        <f>VLOOKUP(L7,пр.взв!B$7:F$22,2,FALSE)</f>
        <v>Золотцев Максим Русланович</v>
      </c>
      <c r="N7" s="375" t="str">
        <f>VLOOKUP(L7,пр.взв!B$7:F$22,3,FALSE)</f>
        <v>16.12.98, кмс</v>
      </c>
      <c r="O7" s="375" t="str">
        <f>VLOOKUP(L7,пр.взв!B$7:F$22,4,FALSE)</f>
        <v>ЦФО</v>
      </c>
      <c r="P7" s="387" t="str">
        <f>VLOOKUP(L7,пр.взв!B$7:F$22,5,FALSE)</f>
        <v>Тверская, Тверь</v>
      </c>
      <c r="Q7" s="434"/>
      <c r="R7" s="435"/>
      <c r="S7" s="431"/>
      <c r="T7" s="432"/>
    </row>
    <row r="8" spans="1:20" ht="12.75" customHeight="1">
      <c r="A8" s="415"/>
      <c r="B8" s="418"/>
      <c r="C8" s="445"/>
      <c r="D8" s="375"/>
      <c r="E8" s="420"/>
      <c r="F8" s="445"/>
      <c r="G8" s="420"/>
      <c r="H8" s="420"/>
      <c r="I8" s="422"/>
      <c r="J8" s="294"/>
      <c r="K8" s="415"/>
      <c r="L8" s="418"/>
      <c r="M8" s="447"/>
      <c r="N8" s="420"/>
      <c r="O8" s="420"/>
      <c r="P8" s="445"/>
      <c r="Q8" s="420"/>
      <c r="R8" s="420"/>
      <c r="S8" s="422"/>
      <c r="T8" s="294"/>
    </row>
    <row r="9" spans="1:20" ht="12.75" customHeight="1">
      <c r="A9" s="415"/>
      <c r="B9" s="418">
        <v>9</v>
      </c>
      <c r="C9" s="396" t="str">
        <f>VLOOKUP(B9,пр.взв!B$7:E$22,2,FALSE)</f>
        <v>Рочев Антон Александрович</v>
      </c>
      <c r="D9" s="384" t="str">
        <f>VLOOKUP(B9,пр.взв!B$7:E$22,3,FALSE)</f>
        <v>26.02.90, кмс</v>
      </c>
      <c r="E9" s="384" t="str">
        <f>VLOOKUP(B9,пр.взв!B$7:E$22,4,FALSE)</f>
        <v>ПФО</v>
      </c>
      <c r="F9" s="396" t="str">
        <f>VLOOKUP(B9,пр.взв!B$7:F$22,5,FALSE)</f>
        <v>Кировская, Киров</v>
      </c>
      <c r="G9" s="429"/>
      <c r="H9" s="429"/>
      <c r="I9" s="295"/>
      <c r="J9" s="295"/>
      <c r="K9" s="415"/>
      <c r="L9" s="418">
        <v>10</v>
      </c>
      <c r="M9" s="396" t="str">
        <f>VLOOKUP(L9,пр.взв!B$7:F$22,2,FALSE)</f>
        <v>Магомедханов Самур Исламович</v>
      </c>
      <c r="N9" s="384" t="str">
        <f>VLOOKUP(L9,пр.взв!B$7:F$22,3,FALSE)</f>
        <v>06.01.00, кмс</v>
      </c>
      <c r="O9" s="384" t="str">
        <f>VLOOKUP(L9,пр.взв!B$7:F$22,4,FALSE)</f>
        <v>СЗФО</v>
      </c>
      <c r="P9" s="396" t="str">
        <f>VLOOKUP(L9,пр.взв!B$7:F$22,5,FALSE)</f>
        <v>Вологодская, Вологда</v>
      </c>
      <c r="Q9" s="429"/>
      <c r="R9" s="429"/>
      <c r="S9" s="295"/>
      <c r="T9" s="295"/>
    </row>
    <row r="10" spans="1:20" ht="13.5" customHeight="1" thickBot="1">
      <c r="A10" s="416"/>
      <c r="B10" s="424"/>
      <c r="C10" s="397"/>
      <c r="D10" s="385"/>
      <c r="E10" s="385"/>
      <c r="F10" s="397"/>
      <c r="G10" s="430"/>
      <c r="H10" s="430"/>
      <c r="I10" s="433"/>
      <c r="J10" s="433"/>
      <c r="K10" s="416"/>
      <c r="L10" s="424"/>
      <c r="M10" s="397"/>
      <c r="N10" s="385"/>
      <c r="O10" s="385"/>
      <c r="P10" s="397"/>
      <c r="Q10" s="430"/>
      <c r="R10" s="430"/>
      <c r="S10" s="433"/>
      <c r="T10" s="433"/>
    </row>
    <row r="11" spans="1:20" ht="12.75" customHeight="1">
      <c r="A11" s="414">
        <v>2</v>
      </c>
      <c r="B11" s="448">
        <v>5</v>
      </c>
      <c r="C11" s="386" t="str">
        <f>VLOOKUP(B11,пр.взв!B$7:E$22,2,FALSE)</f>
        <v>Жарков Денис Сергееич</v>
      </c>
      <c r="D11" s="374" t="str">
        <f>VLOOKUP(B11,пр.взв!B$7:E$22,3,FALSE)</f>
        <v>04.12.95, кмс</v>
      </c>
      <c r="E11" s="374" t="str">
        <f>VLOOKUP(B11,пр.взв!B$7:E$22,4,FALSE)</f>
        <v>ЦФО</v>
      </c>
      <c r="F11" s="386" t="str">
        <f>VLOOKUP(B11,пр.взв!B$7:F$22,5,FALSE)</f>
        <v>Ярославская, Углич</v>
      </c>
      <c r="G11" s="425"/>
      <c r="H11" s="419"/>
      <c r="I11" s="421"/>
      <c r="J11" s="426"/>
      <c r="K11" s="414">
        <v>6</v>
      </c>
      <c r="L11" s="444">
        <v>6</v>
      </c>
      <c r="M11" s="386" t="str">
        <f>VLOOKUP(L11,пр.взв!B$7:F$22,2,FALSE)</f>
        <v>Алешкин Илья Сергеевич</v>
      </c>
      <c r="N11" s="374" t="str">
        <f>VLOOKUP(L11,пр.взв!B$7:F$22,3,FALSE)</f>
        <v>07.05.97, кмс</v>
      </c>
      <c r="O11" s="374" t="str">
        <f>VLOOKUP(L11,пр.взв!B$7:F$22,4,FALSE)</f>
        <v>М</v>
      </c>
      <c r="P11" s="386" t="str">
        <f>VLOOKUP(L11,пр.взв!B$7:F$22,5,FALSE)</f>
        <v>Москва, МГФСО</v>
      </c>
      <c r="Q11" s="425"/>
      <c r="R11" s="419"/>
      <c r="S11" s="421"/>
      <c r="T11" s="426"/>
    </row>
    <row r="12" spans="1:20" ht="12.75" customHeight="1">
      <c r="A12" s="415"/>
      <c r="B12" s="418"/>
      <c r="C12" s="387"/>
      <c r="D12" s="375"/>
      <c r="E12" s="375"/>
      <c r="F12" s="387"/>
      <c r="G12" s="420"/>
      <c r="H12" s="420"/>
      <c r="I12" s="422"/>
      <c r="J12" s="294"/>
      <c r="K12" s="415"/>
      <c r="L12" s="418"/>
      <c r="M12" s="387"/>
      <c r="N12" s="375"/>
      <c r="O12" s="375"/>
      <c r="P12" s="387"/>
      <c r="Q12" s="420"/>
      <c r="R12" s="420"/>
      <c r="S12" s="422"/>
      <c r="T12" s="294"/>
    </row>
    <row r="13" spans="1:20" ht="12.75" customHeight="1">
      <c r="A13" s="415"/>
      <c r="B13" s="418">
        <v>13</v>
      </c>
      <c r="C13" s="396" t="e">
        <f>VLOOKUP(B13,пр.взв!B$7:E$22,2,FALSE)</f>
        <v>#N/A</v>
      </c>
      <c r="D13" s="384" t="e">
        <f>VLOOKUP(B13,пр.взв!B$7:E$22,3,FALSE)</f>
        <v>#N/A</v>
      </c>
      <c r="E13" s="384" t="e">
        <f>VLOOKUP(B13,пр.взв!B$7:E$22,4,FALSE)</f>
        <v>#N/A</v>
      </c>
      <c r="F13" s="396" t="e">
        <f>VLOOKUP(B13,пр.взв!B$7:F$22,5,FALSE)</f>
        <v>#N/A</v>
      </c>
      <c r="G13" s="429"/>
      <c r="H13" s="429"/>
      <c r="I13" s="295"/>
      <c r="J13" s="295"/>
      <c r="K13" s="415"/>
      <c r="L13" s="418">
        <v>14</v>
      </c>
      <c r="M13" s="396" t="e">
        <f>VLOOKUP(L13,пр.взв!B$7:F$22,2,FALSE)</f>
        <v>#N/A</v>
      </c>
      <c r="N13" s="384" t="e">
        <f>VLOOKUP(L13,пр.взв!B$7:F$22,3,FALSE)</f>
        <v>#N/A</v>
      </c>
      <c r="O13" s="384" t="e">
        <f>VLOOKUP(L13,пр.взв!B$7:F$22,4,FALSE)</f>
        <v>#N/A</v>
      </c>
      <c r="P13" s="396" t="e">
        <f>VLOOKUP(L13,пр.взв!B$7:F$22,5,FALSE)</f>
        <v>#N/A</v>
      </c>
      <c r="Q13" s="429"/>
      <c r="R13" s="429"/>
      <c r="S13" s="295"/>
      <c r="T13" s="295"/>
    </row>
    <row r="14" spans="1:20" ht="13.5" customHeight="1" thickBot="1">
      <c r="A14" s="416"/>
      <c r="B14" s="424"/>
      <c r="C14" s="397"/>
      <c r="D14" s="385"/>
      <c r="E14" s="385"/>
      <c r="F14" s="397"/>
      <c r="G14" s="430"/>
      <c r="H14" s="430"/>
      <c r="I14" s="433"/>
      <c r="J14" s="433"/>
      <c r="K14" s="416"/>
      <c r="L14" s="449"/>
      <c r="M14" s="397"/>
      <c r="N14" s="385"/>
      <c r="O14" s="385"/>
      <c r="P14" s="397"/>
      <c r="Q14" s="430"/>
      <c r="R14" s="430"/>
      <c r="S14" s="433"/>
      <c r="T14" s="433"/>
    </row>
    <row r="15" spans="1:20" ht="12.75" customHeight="1">
      <c r="A15" s="414">
        <v>3</v>
      </c>
      <c r="B15" s="448">
        <v>3</v>
      </c>
      <c r="C15" s="386" t="str">
        <f>VLOOKUP(B15,пр.взв!B$7:E$22,2,FALSE)</f>
        <v>Арцыбашев Иван Сергеевич</v>
      </c>
      <c r="D15" s="374" t="str">
        <f>VLOOKUP(B15,пр.взв!B$7:E$22,3,FALSE)</f>
        <v>26.09.95, кмс</v>
      </c>
      <c r="E15" s="374" t="str">
        <f>VLOOKUP(B15,пр.взв!B$7:E$22,4,FALSE)</f>
        <v>ЦФО</v>
      </c>
      <c r="F15" s="386" t="str">
        <f>VLOOKUP(B15,пр.взв!B$7:F$22,5,FALSE)</f>
        <v>Тверская, Тверь</v>
      </c>
      <c r="G15" s="434"/>
      <c r="H15" s="435"/>
      <c r="I15" s="431"/>
      <c r="J15" s="432"/>
      <c r="K15" s="414">
        <v>7</v>
      </c>
      <c r="L15" s="448">
        <v>4</v>
      </c>
      <c r="M15" s="386" t="str">
        <f>VLOOKUP(L15,пр.взв!B$7:F$22,2,FALSE)</f>
        <v>Косилов Даниил Эдуардович</v>
      </c>
      <c r="N15" s="374" t="str">
        <f>VLOOKUP(L15,пр.взв!B$7:F$22,3,FALSE)</f>
        <v>08.02.95, кмс</v>
      </c>
      <c r="O15" s="374" t="str">
        <f>VLOOKUP(L15,пр.взв!B$7:F$22,4,FALSE)</f>
        <v>ЦФО</v>
      </c>
      <c r="P15" s="386" t="str">
        <f>VLOOKUP(L15,пр.взв!B$7:F$22,5,FALSE)</f>
        <v>Ярославская, Ярославль</v>
      </c>
      <c r="Q15" s="434"/>
      <c r="R15" s="435"/>
      <c r="S15" s="431"/>
      <c r="T15" s="432"/>
    </row>
    <row r="16" spans="1:20" ht="12.75" customHeight="1">
      <c r="A16" s="415"/>
      <c r="B16" s="418"/>
      <c r="C16" s="387"/>
      <c r="D16" s="375"/>
      <c r="E16" s="375"/>
      <c r="F16" s="387"/>
      <c r="G16" s="420"/>
      <c r="H16" s="420"/>
      <c r="I16" s="422"/>
      <c r="J16" s="294"/>
      <c r="K16" s="415"/>
      <c r="L16" s="418"/>
      <c r="M16" s="387"/>
      <c r="N16" s="375"/>
      <c r="O16" s="375"/>
      <c r="P16" s="387"/>
      <c r="Q16" s="420"/>
      <c r="R16" s="420"/>
      <c r="S16" s="422"/>
      <c r="T16" s="294"/>
    </row>
    <row r="17" spans="1:20" ht="12.75" customHeight="1">
      <c r="A17" s="415"/>
      <c r="B17" s="418">
        <v>11</v>
      </c>
      <c r="C17" s="396" t="str">
        <f>VLOOKUP(B17,пр.взв!B$7:E$22,2,FALSE)</f>
        <v>Петросян Карен Агаронович</v>
      </c>
      <c r="D17" s="384" t="str">
        <f>VLOOKUP(B17,пр.взв!B$7:E$22,3,FALSE)</f>
        <v>20.03.01, кмс</v>
      </c>
      <c r="E17" s="384" t="str">
        <f>VLOOKUP(B17,пр.взв!B$7:E$22,4,FALSE)</f>
        <v>ЦФО</v>
      </c>
      <c r="F17" s="396" t="str">
        <f>VLOOKUP(B17,пр.взв!B$7:F$22,5,FALSE)</f>
        <v>Тверская, Тверь</v>
      </c>
      <c r="G17" s="429"/>
      <c r="H17" s="429"/>
      <c r="I17" s="295"/>
      <c r="J17" s="295"/>
      <c r="K17" s="415"/>
      <c r="L17" s="418">
        <v>12</v>
      </c>
      <c r="M17" s="396" t="str">
        <f>VLOOKUP(L17,пр.взв!B$7:F$22,2,FALSE)</f>
        <v>Щеголев Денис Юрьевич</v>
      </c>
      <c r="N17" s="384" t="str">
        <f>VLOOKUP(L17,пр.взв!B$7:F$22,3,FALSE)</f>
        <v>01.01.93, кмс</v>
      </c>
      <c r="O17" s="384" t="str">
        <f>VLOOKUP(L17,пр.взв!B$7:F$22,4,FALSE)</f>
        <v>ЦФО</v>
      </c>
      <c r="P17" s="396" t="str">
        <f>VLOOKUP(L17,пр.взв!B$7:F$22,5,FALSE)</f>
        <v>Тверская, Тверь</v>
      </c>
      <c r="Q17" s="429"/>
      <c r="R17" s="429"/>
      <c r="S17" s="295"/>
      <c r="T17" s="295"/>
    </row>
    <row r="18" spans="1:20" ht="13.5" customHeight="1" thickBot="1">
      <c r="A18" s="416"/>
      <c r="B18" s="424"/>
      <c r="C18" s="397"/>
      <c r="D18" s="385"/>
      <c r="E18" s="385"/>
      <c r="F18" s="397"/>
      <c r="G18" s="430"/>
      <c r="H18" s="430"/>
      <c r="I18" s="433"/>
      <c r="J18" s="433"/>
      <c r="K18" s="416"/>
      <c r="L18" s="424"/>
      <c r="M18" s="397"/>
      <c r="N18" s="385"/>
      <c r="O18" s="385"/>
      <c r="P18" s="397"/>
      <c r="Q18" s="430"/>
      <c r="R18" s="430"/>
      <c r="S18" s="433"/>
      <c r="T18" s="433"/>
    </row>
    <row r="19" spans="1:20" ht="12.75" customHeight="1">
      <c r="A19" s="414">
        <v>4</v>
      </c>
      <c r="B19" s="448">
        <v>7</v>
      </c>
      <c r="C19" s="386" t="str">
        <f>VLOOKUP(B19,пр.взв!B$7:E$22,2,FALSE)</f>
        <v>Саламатников Александр Николаевич</v>
      </c>
      <c r="D19" s="374" t="str">
        <f>VLOOKUP(B19,пр.взв!B$7:E$22,3,FALSE)</f>
        <v>19.03.93, мс</v>
      </c>
      <c r="E19" s="374" t="str">
        <f>VLOOKUP(B19,пр.взв!B$7:E$22,4,FALSE)</f>
        <v>М</v>
      </c>
      <c r="F19" s="386" t="str">
        <f>VLOOKUP(B19,пр.взв!B$7:F$22,5,FALSE)</f>
        <v>Москва, ГБУ СШ "Битца"</v>
      </c>
      <c r="G19" s="420"/>
      <c r="H19" s="450"/>
      <c r="I19" s="422"/>
      <c r="J19" s="451"/>
      <c r="K19" s="414">
        <v>8</v>
      </c>
      <c r="L19" s="444">
        <v>8</v>
      </c>
      <c r="M19" s="386" t="str">
        <f>VLOOKUP(L19,пр.взв!B$7:F$22,2,FALSE)</f>
        <v>Блинов Антон Андреевич</v>
      </c>
      <c r="N19" s="374" t="str">
        <f>VLOOKUP(L19,пр.взв!B$7:F$22,3,FALSE)</f>
        <v>22.09.90, кмс</v>
      </c>
      <c r="O19" s="374" t="str">
        <f>VLOOKUP(L19,пр.взв!B$7:F$22,4,FALSE)</f>
        <v>ПФО</v>
      </c>
      <c r="P19" s="386" t="str">
        <f>VLOOKUP(L19,пр.взв!B$7:F$22,5,FALSE)</f>
        <v>Кировская, Киров</v>
      </c>
      <c r="Q19" s="420"/>
      <c r="R19" s="450"/>
      <c r="S19" s="422"/>
      <c r="T19" s="451"/>
    </row>
    <row r="20" spans="1:20" ht="12.75" customHeight="1">
      <c r="A20" s="415"/>
      <c r="B20" s="418"/>
      <c r="C20" s="387"/>
      <c r="D20" s="375"/>
      <c r="E20" s="375"/>
      <c r="F20" s="387"/>
      <c r="G20" s="420"/>
      <c r="H20" s="420"/>
      <c r="I20" s="422"/>
      <c r="J20" s="294"/>
      <c r="K20" s="415"/>
      <c r="L20" s="418"/>
      <c r="M20" s="387"/>
      <c r="N20" s="375"/>
      <c r="O20" s="375"/>
      <c r="P20" s="387"/>
      <c r="Q20" s="420"/>
      <c r="R20" s="420"/>
      <c r="S20" s="422"/>
      <c r="T20" s="294"/>
    </row>
    <row r="21" spans="1:20" ht="12.75" customHeight="1">
      <c r="A21" s="415"/>
      <c r="B21" s="418">
        <v>15</v>
      </c>
      <c r="C21" s="396" t="e">
        <f>VLOOKUP(B21,пр.взв!B$7:E$22,2,FALSE)</f>
        <v>#N/A</v>
      </c>
      <c r="D21" s="384" t="e">
        <f>VLOOKUP(B21,пр.взв!B$7:E$22,3,FALSE)</f>
        <v>#N/A</v>
      </c>
      <c r="E21" s="384" t="e">
        <f>VLOOKUP(B21,пр.взв!B$7:E$22,4,FALSE)</f>
        <v>#N/A</v>
      </c>
      <c r="F21" s="396" t="e">
        <f>VLOOKUP(B21,пр.взв!B$7:F$22,5,FALSE)</f>
        <v>#N/A</v>
      </c>
      <c r="G21" s="429"/>
      <c r="H21" s="429"/>
      <c r="I21" s="295"/>
      <c r="J21" s="295"/>
      <c r="K21" s="415"/>
      <c r="L21" s="418">
        <v>16</v>
      </c>
      <c r="M21" s="396" t="e">
        <f>VLOOKUP(L21,пр.взв!B$7:F$22,2,FALSE)</f>
        <v>#N/A</v>
      </c>
      <c r="N21" s="384" t="e">
        <f>VLOOKUP(L21,пр.взв!B$7:F$22,3,FALSE)</f>
        <v>#N/A</v>
      </c>
      <c r="O21" s="384" t="e">
        <f>VLOOKUP(L21,пр.взв!B$7:F$22,4,FALSE)</f>
        <v>#N/A</v>
      </c>
      <c r="P21" s="396" t="e">
        <f>VLOOKUP(L21,пр.взв!B$7:F$22,5,FALSE)</f>
        <v>#N/A</v>
      </c>
      <c r="Q21" s="429"/>
      <c r="R21" s="429"/>
      <c r="S21" s="295"/>
      <c r="T21" s="295"/>
    </row>
    <row r="22" spans="1:20" ht="12.75" customHeight="1" thickBot="1">
      <c r="A22" s="416"/>
      <c r="B22" s="424"/>
      <c r="C22" s="397"/>
      <c r="D22" s="385"/>
      <c r="E22" s="385"/>
      <c r="F22" s="397"/>
      <c r="G22" s="430"/>
      <c r="H22" s="430"/>
      <c r="I22" s="433"/>
      <c r="J22" s="433"/>
      <c r="K22" s="416"/>
      <c r="L22" s="424"/>
      <c r="M22" s="397"/>
      <c r="N22" s="385"/>
      <c r="O22" s="385"/>
      <c r="P22" s="397"/>
      <c r="Q22" s="430"/>
      <c r="R22" s="430"/>
      <c r="S22" s="433"/>
      <c r="T22" s="433"/>
    </row>
    <row r="23" spans="1:20">
      <c r="B23">
        <f>B3</f>
        <v>0</v>
      </c>
      <c r="C23" s="5" t="s">
        <v>91</v>
      </c>
      <c r="L23">
        <f>L3</f>
        <v>0</v>
      </c>
      <c r="M23" s="5" t="s">
        <v>91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В.к.82б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В.к.82б кг.</v>
      </c>
      <c r="R24" s="77"/>
      <c r="S24" s="77"/>
      <c r="T24" s="77"/>
    </row>
    <row r="25" spans="1:20" ht="12.75" customHeight="1">
      <c r="A25" s="404" t="s">
        <v>39</v>
      </c>
      <c r="B25" s="406" t="s">
        <v>4</v>
      </c>
      <c r="C25" s="408" t="s">
        <v>5</v>
      </c>
      <c r="D25" s="412" t="s">
        <v>12</v>
      </c>
      <c r="E25" s="380" t="s">
        <v>13</v>
      </c>
      <c r="F25" s="381"/>
      <c r="G25" s="408" t="s">
        <v>14</v>
      </c>
      <c r="H25" s="427" t="s">
        <v>40</v>
      </c>
      <c r="I25" s="399" t="s">
        <v>15</v>
      </c>
      <c r="J25" s="401" t="s">
        <v>16</v>
      </c>
      <c r="K25" s="404" t="s">
        <v>39</v>
      </c>
      <c r="L25" s="406" t="s">
        <v>4</v>
      </c>
      <c r="M25" s="408" t="s">
        <v>5</v>
      </c>
      <c r="N25" s="412" t="s">
        <v>12</v>
      </c>
      <c r="O25" s="376" t="s">
        <v>13</v>
      </c>
      <c r="P25" s="377"/>
      <c r="Q25" s="408" t="s">
        <v>14</v>
      </c>
      <c r="R25" s="427" t="s">
        <v>40</v>
      </c>
      <c r="S25" s="399" t="s">
        <v>15</v>
      </c>
      <c r="T25" s="401" t="s">
        <v>16</v>
      </c>
    </row>
    <row r="26" spans="1:20" ht="13.5" customHeight="1" thickBot="1">
      <c r="A26" s="405"/>
      <c r="B26" s="407" t="s">
        <v>33</v>
      </c>
      <c r="C26" s="409"/>
      <c r="D26" s="413"/>
      <c r="E26" s="382"/>
      <c r="F26" s="383"/>
      <c r="G26" s="409"/>
      <c r="H26" s="428"/>
      <c r="I26" s="400"/>
      <c r="J26" s="402" t="s">
        <v>34</v>
      </c>
      <c r="K26" s="405"/>
      <c r="L26" s="407" t="s">
        <v>33</v>
      </c>
      <c r="M26" s="409"/>
      <c r="N26" s="413"/>
      <c r="O26" s="378"/>
      <c r="P26" s="379"/>
      <c r="Q26" s="409"/>
      <c r="R26" s="428"/>
      <c r="S26" s="400"/>
      <c r="T26" s="402" t="s">
        <v>34</v>
      </c>
    </row>
    <row r="27" spans="1:20" ht="12.75" customHeight="1">
      <c r="A27" s="414">
        <v>1</v>
      </c>
      <c r="B27" s="417">
        <f>пр.хода!E8</f>
        <v>1</v>
      </c>
      <c r="C27" s="386" t="str">
        <f>VLOOKUP(B27,пр.взв!B$7:E$22,2,FALSE)</f>
        <v>Цупров Максим Русланович</v>
      </c>
      <c r="D27" s="374" t="str">
        <f>VLOOKUP(B27,пр.взв!B$7:E$22,3,FALSE)</f>
        <v>01.09.99, кмс</v>
      </c>
      <c r="E27" s="374" t="str">
        <f>VLOOKUP(B27,пр.взв!B$7:E$22,4,FALSE)</f>
        <v>ЦФО</v>
      </c>
      <c r="F27" s="386" t="str">
        <f>VLOOKUP(B27,пр.взв!B$7:F$22,5,FALSE)</f>
        <v>Тверская, Тверь</v>
      </c>
      <c r="G27" s="425"/>
      <c r="H27" s="419"/>
      <c r="I27" s="421"/>
      <c r="J27" s="412"/>
      <c r="K27" s="403">
        <v>3</v>
      </c>
      <c r="L27" s="417">
        <f>пр.хода!Q8</f>
        <v>10</v>
      </c>
      <c r="M27" s="386" t="str">
        <f>VLOOKUP(L27,пр.взв!B$7:F$22,2,FALSE)</f>
        <v>Магомедханов Самур Исламович</v>
      </c>
      <c r="N27" s="374" t="str">
        <f>VLOOKUP(L27,пр.взв!B$7:F$22,3,FALSE)</f>
        <v>06.01.00, кмс</v>
      </c>
      <c r="O27" s="374" t="str">
        <f>VLOOKUP(L27,пр.взв!B$7:F$22,4,FALSE)</f>
        <v>СЗФО</v>
      </c>
      <c r="P27" s="386" t="str">
        <f>VLOOKUP(L27,пр.взв!B$7:F$22,5,FALSE)</f>
        <v>Вологодская, Вологда</v>
      </c>
      <c r="Q27" s="425"/>
      <c r="R27" s="419"/>
      <c r="S27" s="421"/>
      <c r="T27" s="412"/>
    </row>
    <row r="28" spans="1:20">
      <c r="A28" s="415"/>
      <c r="B28" s="418"/>
      <c r="C28" s="387"/>
      <c r="D28" s="375"/>
      <c r="E28" s="375"/>
      <c r="F28" s="387"/>
      <c r="G28" s="420"/>
      <c r="H28" s="420"/>
      <c r="I28" s="422"/>
      <c r="J28" s="294"/>
      <c r="K28" s="390"/>
      <c r="L28" s="418"/>
      <c r="M28" s="387"/>
      <c r="N28" s="375"/>
      <c r="O28" s="375"/>
      <c r="P28" s="387"/>
      <c r="Q28" s="420"/>
      <c r="R28" s="420"/>
      <c r="S28" s="422"/>
      <c r="T28" s="294"/>
    </row>
    <row r="29" spans="1:20" ht="12.75" customHeight="1">
      <c r="A29" s="415"/>
      <c r="B29" s="423">
        <f>пр.хода!E12</f>
        <v>5</v>
      </c>
      <c r="C29" s="396" t="str">
        <f>VLOOKUP(B29,пр.взв!B$7:E$22,2,FALSE)</f>
        <v>Жарков Денис Сергееич</v>
      </c>
      <c r="D29" s="384" t="str">
        <f>VLOOKUP(B29,пр.взв!B$7:E$22,3,FALSE)</f>
        <v>04.12.95, кмс</v>
      </c>
      <c r="E29" s="384" t="str">
        <f>VLOOKUP(B29,пр.взв!B$7:E$22,4,FALSE)</f>
        <v>ЦФО</v>
      </c>
      <c r="F29" s="396" t="str">
        <f>VLOOKUP(B29,пр.взв!B$7:F$22,5,FALSE)</f>
        <v>Ярославская, Углич</v>
      </c>
      <c r="G29" s="429"/>
      <c r="H29" s="429"/>
      <c r="I29" s="295"/>
      <c r="J29" s="295"/>
      <c r="K29" s="390"/>
      <c r="L29" s="423">
        <f>пр.хода!Q12</f>
        <v>6</v>
      </c>
      <c r="M29" s="396" t="str">
        <f>VLOOKUP(L29,пр.взв!B$7:F$22,2,FALSE)</f>
        <v>Алешкин Илья Сергеевич</v>
      </c>
      <c r="N29" s="384" t="str">
        <f>VLOOKUP(L29,пр.взв!B$7:F$22,3,FALSE)</f>
        <v>07.05.97, кмс</v>
      </c>
      <c r="O29" s="384" t="str">
        <f>VLOOKUP(L29,пр.взв!B$7:F$22,4,FALSE)</f>
        <v>М</v>
      </c>
      <c r="P29" s="396" t="str">
        <f>VLOOKUP(L29,пр.взв!B$7:F$22,5,FALSE)</f>
        <v>Москва, МГФСО</v>
      </c>
      <c r="Q29" s="429"/>
      <c r="R29" s="429"/>
      <c r="S29" s="295"/>
      <c r="T29" s="295"/>
    </row>
    <row r="30" spans="1:20" ht="13.5" thickBot="1">
      <c r="A30" s="416"/>
      <c r="B30" s="424"/>
      <c r="C30" s="397"/>
      <c r="D30" s="385"/>
      <c r="E30" s="385"/>
      <c r="F30" s="397"/>
      <c r="G30" s="430"/>
      <c r="H30" s="430"/>
      <c r="I30" s="433"/>
      <c r="J30" s="433"/>
      <c r="K30" s="391"/>
      <c r="L30" s="424"/>
      <c r="M30" s="397"/>
      <c r="N30" s="385"/>
      <c r="O30" s="385"/>
      <c r="P30" s="397"/>
      <c r="Q30" s="430"/>
      <c r="R30" s="430"/>
      <c r="S30" s="433"/>
      <c r="T30" s="433"/>
    </row>
    <row r="31" spans="1:20" ht="12.75" customHeight="1">
      <c r="A31" s="414">
        <v>2</v>
      </c>
      <c r="B31" s="417">
        <f>пр.хода!E16</f>
        <v>11</v>
      </c>
      <c r="C31" s="386" t="str">
        <f>VLOOKUP(B31,пр.взв!B$7:E$22,2,FALSE)</f>
        <v>Петросян Карен Агаронович</v>
      </c>
      <c r="D31" s="374" t="str">
        <f>VLOOKUP(B31,пр.взв!B$7:E$22,3,FALSE)</f>
        <v>20.03.01, кмс</v>
      </c>
      <c r="E31" s="374" t="str">
        <f>VLOOKUP(B31,пр.взв!B$7:E$22,4,FALSE)</f>
        <v>ЦФО</v>
      </c>
      <c r="F31" s="386" t="str">
        <f>VLOOKUP(B31,пр.взв!B$7:F$22,5,FALSE)</f>
        <v>Тверская, Тверь</v>
      </c>
      <c r="G31" s="425"/>
      <c r="H31" s="419"/>
      <c r="I31" s="421"/>
      <c r="J31" s="426"/>
      <c r="K31" s="403">
        <v>4</v>
      </c>
      <c r="L31" s="417">
        <f>пр.хода!Q16</f>
        <v>4</v>
      </c>
      <c r="M31" s="386" t="str">
        <f>VLOOKUP(L31,пр.взв!B$7:F$22,2,FALSE)</f>
        <v>Косилов Даниил Эдуардович</v>
      </c>
      <c r="N31" s="374" t="str">
        <f>VLOOKUP(L31,пр.взв!B$7:F$22,3,FALSE)</f>
        <v>08.02.95, кмс</v>
      </c>
      <c r="O31" s="374" t="str">
        <f>VLOOKUP(L31,пр.взв!B$7:F$22,4,FALSE)</f>
        <v>ЦФО</v>
      </c>
      <c r="P31" s="386" t="str">
        <f>VLOOKUP(L31,пр.взв!B$7:F$22,5,FALSE)</f>
        <v>Ярославская, Ярославль</v>
      </c>
      <c r="Q31" s="425"/>
      <c r="R31" s="419"/>
      <c r="S31" s="421"/>
      <c r="T31" s="426"/>
    </row>
    <row r="32" spans="1:20">
      <c r="A32" s="415"/>
      <c r="B32" s="418"/>
      <c r="C32" s="387"/>
      <c r="D32" s="375"/>
      <c r="E32" s="375"/>
      <c r="F32" s="387"/>
      <c r="G32" s="420"/>
      <c r="H32" s="420"/>
      <c r="I32" s="422"/>
      <c r="J32" s="294"/>
      <c r="K32" s="390"/>
      <c r="L32" s="418"/>
      <c r="M32" s="387"/>
      <c r="N32" s="375"/>
      <c r="O32" s="375"/>
      <c r="P32" s="387"/>
      <c r="Q32" s="420"/>
      <c r="R32" s="420"/>
      <c r="S32" s="422"/>
      <c r="T32" s="294"/>
    </row>
    <row r="33" spans="1:20" ht="12.75" customHeight="1">
      <c r="A33" s="415"/>
      <c r="B33" s="423">
        <f>пр.хода!E20</f>
        <v>7</v>
      </c>
      <c r="C33" s="396" t="str">
        <f>VLOOKUP(B33,пр.взв!B$7:E$22,2,FALSE)</f>
        <v>Саламатников Александр Николаевич</v>
      </c>
      <c r="D33" s="384" t="str">
        <f>VLOOKUP(B33,пр.взв!B$7:E$22,3,FALSE)</f>
        <v>19.03.93, мс</v>
      </c>
      <c r="E33" s="384" t="str">
        <f>VLOOKUP(B33,пр.взв!B$7:E$22,4,FALSE)</f>
        <v>М</v>
      </c>
      <c r="F33" s="396" t="str">
        <f>VLOOKUP(B33,пр.взв!B$7:F$22,5,FALSE)</f>
        <v>Москва, ГБУ СШ "Битца"</v>
      </c>
      <c r="G33" s="429"/>
      <c r="H33" s="429"/>
      <c r="I33" s="295"/>
      <c r="J33" s="295"/>
      <c r="K33" s="390"/>
      <c r="L33" s="423">
        <f>пр.хода!Q20</f>
        <v>8</v>
      </c>
      <c r="M33" s="396" t="str">
        <f>VLOOKUP(L33,пр.взв!B$7:F$22,2,FALSE)</f>
        <v>Блинов Антон Андреевич</v>
      </c>
      <c r="N33" s="384" t="str">
        <f>VLOOKUP(L33,пр.взв!B$7:F$22,3,FALSE)</f>
        <v>22.09.90, кмс</v>
      </c>
      <c r="O33" s="384" t="str">
        <f>VLOOKUP(L33,пр.взв!B$7:F$22,4,FALSE)</f>
        <v>ПФО</v>
      </c>
      <c r="P33" s="396" t="str">
        <f>VLOOKUP(L33,пр.взв!B$7:F$22,5,FALSE)</f>
        <v>Кировская, Киров</v>
      </c>
      <c r="Q33" s="429"/>
      <c r="R33" s="429"/>
      <c r="S33" s="295"/>
      <c r="T33" s="295"/>
    </row>
    <row r="34" spans="1:20" ht="13.5" thickBot="1">
      <c r="A34" s="416"/>
      <c r="B34" s="424"/>
      <c r="C34" s="397"/>
      <c r="D34" s="385"/>
      <c r="E34" s="385"/>
      <c r="F34" s="397"/>
      <c r="G34" s="430"/>
      <c r="H34" s="430"/>
      <c r="I34" s="433"/>
      <c r="J34" s="433"/>
      <c r="K34" s="391"/>
      <c r="L34" s="424"/>
      <c r="M34" s="397"/>
      <c r="N34" s="385"/>
      <c r="O34" s="385"/>
      <c r="P34" s="397"/>
      <c r="Q34" s="430"/>
      <c r="R34" s="430"/>
      <c r="S34" s="433"/>
      <c r="T34" s="433"/>
    </row>
    <row r="35" spans="1:20">
      <c r="B35">
        <f>B23</f>
        <v>0</v>
      </c>
      <c r="C35" s="5" t="s">
        <v>91</v>
      </c>
      <c r="L35">
        <f>L23</f>
        <v>0</v>
      </c>
      <c r="M35" s="5" t="s">
        <v>91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В.к.82б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В.к.82б кг.</v>
      </c>
      <c r="R36" s="79"/>
      <c r="S36" s="79"/>
      <c r="T36" s="79"/>
    </row>
    <row r="37" spans="1:20" ht="12.75" customHeight="1">
      <c r="A37" s="404" t="s">
        <v>39</v>
      </c>
      <c r="B37" s="406" t="s">
        <v>4</v>
      </c>
      <c r="C37" s="408" t="s">
        <v>5</v>
      </c>
      <c r="D37" s="412" t="s">
        <v>12</v>
      </c>
      <c r="E37" s="380" t="s">
        <v>13</v>
      </c>
      <c r="F37" s="381"/>
      <c r="G37" s="408" t="s">
        <v>14</v>
      </c>
      <c r="H37" s="427" t="s">
        <v>40</v>
      </c>
      <c r="I37" s="399" t="s">
        <v>15</v>
      </c>
      <c r="J37" s="401" t="s">
        <v>16</v>
      </c>
      <c r="K37" s="404" t="s">
        <v>39</v>
      </c>
      <c r="L37" s="406" t="s">
        <v>4</v>
      </c>
      <c r="M37" s="408" t="s">
        <v>5</v>
      </c>
      <c r="N37" s="412" t="s">
        <v>12</v>
      </c>
      <c r="O37" s="376" t="s">
        <v>13</v>
      </c>
      <c r="P37" s="377"/>
      <c r="Q37" s="408" t="s">
        <v>14</v>
      </c>
      <c r="R37" s="427" t="s">
        <v>40</v>
      </c>
      <c r="S37" s="399" t="s">
        <v>15</v>
      </c>
      <c r="T37" s="401" t="s">
        <v>16</v>
      </c>
    </row>
    <row r="38" spans="1:20" ht="13.5" customHeight="1" thickBot="1">
      <c r="A38" s="405"/>
      <c r="B38" s="407" t="s">
        <v>33</v>
      </c>
      <c r="C38" s="409"/>
      <c r="D38" s="413"/>
      <c r="E38" s="382"/>
      <c r="F38" s="383"/>
      <c r="G38" s="409"/>
      <c r="H38" s="428"/>
      <c r="I38" s="400"/>
      <c r="J38" s="402" t="s">
        <v>34</v>
      </c>
      <c r="K38" s="405"/>
      <c r="L38" s="407" t="s">
        <v>33</v>
      </c>
      <c r="M38" s="409"/>
      <c r="N38" s="413"/>
      <c r="O38" s="378"/>
      <c r="P38" s="379"/>
      <c r="Q38" s="409"/>
      <c r="R38" s="428"/>
      <c r="S38" s="400"/>
      <c r="T38" s="402" t="s">
        <v>34</v>
      </c>
    </row>
    <row r="39" spans="1:20" ht="12.75" customHeight="1">
      <c r="A39" s="452">
        <v>1</v>
      </c>
      <c r="B39" s="388">
        <f>пр.хода!G10</f>
        <v>5</v>
      </c>
      <c r="C39" s="386" t="str">
        <f>VLOOKUP(B39,пр.взв!B$7:E$22,2,FALSE)</f>
        <v>Жарков Денис Сергееич</v>
      </c>
      <c r="D39" s="374" t="str">
        <f>VLOOKUP(B39,пр.взв!B$7:E$22,3,FALSE)</f>
        <v>04.12.95, кмс</v>
      </c>
      <c r="E39" s="374" t="str">
        <f>VLOOKUP(B39,пр.взв!B$7:E$22,4,FALSE)</f>
        <v>ЦФО</v>
      </c>
      <c r="F39" s="386" t="str">
        <f>VLOOKUP(B39,пр.взв!B$7:F$22,5,FALSE)</f>
        <v>Ярославская, Углич</v>
      </c>
      <c r="G39" s="425"/>
      <c r="H39" s="419"/>
      <c r="I39" s="421"/>
      <c r="J39" s="412"/>
      <c r="K39" s="452">
        <v>2</v>
      </c>
      <c r="L39" s="388">
        <f>пр.хода!O10</f>
        <v>6</v>
      </c>
      <c r="M39" s="386" t="str">
        <f>VLOOKUP(L39,пр.взв!B$7:F$22,2,FALSE)</f>
        <v>Алешкин Илья Сергеевич</v>
      </c>
      <c r="N39" s="374" t="str">
        <f>VLOOKUP(L39,пр.взв!B$7:F$22,3,FALSE)</f>
        <v>07.05.97, кмс</v>
      </c>
      <c r="O39" s="374" t="str">
        <f>VLOOKUP(L39,пр.взв!B$7:F$22,4,FALSE)</f>
        <v>М</v>
      </c>
      <c r="P39" s="386" t="str">
        <f>VLOOKUP(L39,пр.взв!B$7:F$22,5,FALSE)</f>
        <v>Москва, МГФСО</v>
      </c>
      <c r="Q39" s="425"/>
      <c r="R39" s="419"/>
      <c r="S39" s="421"/>
      <c r="T39" s="412"/>
    </row>
    <row r="40" spans="1:20">
      <c r="A40" s="453"/>
      <c r="B40" s="393"/>
      <c r="C40" s="387"/>
      <c r="D40" s="375"/>
      <c r="E40" s="375"/>
      <c r="F40" s="387"/>
      <c r="G40" s="420"/>
      <c r="H40" s="420"/>
      <c r="I40" s="422"/>
      <c r="J40" s="294"/>
      <c r="K40" s="453"/>
      <c r="L40" s="393"/>
      <c r="M40" s="387"/>
      <c r="N40" s="375"/>
      <c r="O40" s="375"/>
      <c r="P40" s="387"/>
      <c r="Q40" s="420"/>
      <c r="R40" s="420"/>
      <c r="S40" s="422"/>
      <c r="T40" s="294"/>
    </row>
    <row r="41" spans="1:20" ht="12.75" customHeight="1">
      <c r="A41" s="453"/>
      <c r="B41" s="410">
        <f>пр.хода!G18</f>
        <v>7</v>
      </c>
      <c r="C41" s="396" t="str">
        <f>VLOOKUP(B41,пр.взв!B$7:E$22,2,FALSE)</f>
        <v>Саламатников Александр Николаевич</v>
      </c>
      <c r="D41" s="384" t="str">
        <f>VLOOKUP(B41,пр.взв!B$7:E$22,3,FALSE)</f>
        <v>19.03.93, мс</v>
      </c>
      <c r="E41" s="384" t="str">
        <f>VLOOKUP(B41,пр.взв!B$7:E$22,4,FALSE)</f>
        <v>М</v>
      </c>
      <c r="F41" s="396" t="str">
        <f>VLOOKUP(B41,пр.взв!B$7:F$22,5,FALSE)</f>
        <v>Москва, ГБУ СШ "Битца"</v>
      </c>
      <c r="G41" s="429"/>
      <c r="H41" s="429"/>
      <c r="I41" s="295"/>
      <c r="J41" s="295"/>
      <c r="K41" s="453"/>
      <c r="L41" s="410">
        <f>пр.хода!O18</f>
        <v>4</v>
      </c>
      <c r="M41" s="396" t="str">
        <f>VLOOKUP(L41,пр.взв!B$7:F$22,2,FALSE)</f>
        <v>Косилов Даниил Эдуардович</v>
      </c>
      <c r="N41" s="384" t="str">
        <f>VLOOKUP(L41,пр.взв!B$7:F$22,3,FALSE)</f>
        <v>08.02.95, кмс</v>
      </c>
      <c r="O41" s="384" t="str">
        <f>VLOOKUP(L41,пр.взв!B$7:F$22,4,FALSE)</f>
        <v>ЦФО</v>
      </c>
      <c r="P41" s="396" t="str">
        <f>VLOOKUP(L41,пр.взв!B$7:F$22,5,FALSE)</f>
        <v>Ярославская, Ярославль</v>
      </c>
      <c r="Q41" s="429"/>
      <c r="R41" s="429"/>
      <c r="S41" s="295"/>
      <c r="T41" s="295"/>
    </row>
    <row r="42" spans="1:20" ht="13.5" thickBot="1">
      <c r="A42" s="454"/>
      <c r="B42" s="395"/>
      <c r="C42" s="397"/>
      <c r="D42" s="385"/>
      <c r="E42" s="385"/>
      <c r="F42" s="397"/>
      <c r="G42" s="430"/>
      <c r="H42" s="430"/>
      <c r="I42" s="433"/>
      <c r="J42" s="433"/>
      <c r="K42" s="454"/>
      <c r="L42" s="395"/>
      <c r="M42" s="397"/>
      <c r="N42" s="385"/>
      <c r="O42" s="385"/>
      <c r="P42" s="397"/>
      <c r="Q42" s="430"/>
      <c r="R42" s="430"/>
      <c r="S42" s="433"/>
      <c r="T42" s="433"/>
    </row>
    <row r="43" spans="1:20">
      <c r="B43">
        <f>B35</f>
        <v>0</v>
      </c>
      <c r="C43" s="5" t="s">
        <v>91</v>
      </c>
      <c r="L43">
        <f>L35</f>
        <v>0</v>
      </c>
      <c r="M43" s="5" t="s">
        <v>91</v>
      </c>
    </row>
    <row r="44" spans="1:20" ht="15">
      <c r="A44" s="398" t="s">
        <v>92</v>
      </c>
      <c r="B44" s="398"/>
      <c r="C44" s="398"/>
      <c r="D44" s="398"/>
      <c r="E44" s="398"/>
      <c r="F44" s="398"/>
      <c r="G44" s="398"/>
      <c r="H44" s="398"/>
      <c r="I44" s="398"/>
      <c r="J44" s="398"/>
      <c r="K44" s="398" t="s">
        <v>92</v>
      </c>
      <c r="L44" s="398"/>
      <c r="M44" s="398"/>
      <c r="N44" s="398"/>
      <c r="O44" s="398"/>
      <c r="P44" s="398"/>
      <c r="Q44" s="398"/>
      <c r="R44" s="398"/>
      <c r="S44" s="398"/>
      <c r="T44" s="398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В.к.82б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В.к.82б кг.</v>
      </c>
      <c r="R45" s="78"/>
      <c r="S45" s="78"/>
      <c r="T45" s="78"/>
    </row>
    <row r="46" spans="1:20" ht="12.75" customHeight="1">
      <c r="A46" s="404" t="s">
        <v>39</v>
      </c>
      <c r="B46" s="406" t="s">
        <v>4</v>
      </c>
      <c r="C46" s="408" t="s">
        <v>5</v>
      </c>
      <c r="D46" s="412" t="s">
        <v>12</v>
      </c>
      <c r="E46" s="380" t="s">
        <v>13</v>
      </c>
      <c r="F46" s="381"/>
      <c r="G46" s="408" t="s">
        <v>14</v>
      </c>
      <c r="H46" s="427" t="s">
        <v>40</v>
      </c>
      <c r="I46" s="399" t="s">
        <v>15</v>
      </c>
      <c r="J46" s="401" t="s">
        <v>16</v>
      </c>
      <c r="K46" s="404" t="s">
        <v>39</v>
      </c>
      <c r="L46" s="406" t="s">
        <v>4</v>
      </c>
      <c r="M46" s="408" t="s">
        <v>5</v>
      </c>
      <c r="N46" s="412" t="s">
        <v>12</v>
      </c>
      <c r="O46" s="376" t="s">
        <v>13</v>
      </c>
      <c r="P46" s="377"/>
      <c r="Q46" s="408" t="s">
        <v>14</v>
      </c>
      <c r="R46" s="427" t="s">
        <v>40</v>
      </c>
      <c r="S46" s="399" t="s">
        <v>15</v>
      </c>
      <c r="T46" s="401" t="s">
        <v>16</v>
      </c>
    </row>
    <row r="47" spans="1:20" ht="13.5" customHeight="1" thickBot="1">
      <c r="A47" s="405"/>
      <c r="B47" s="407" t="s">
        <v>33</v>
      </c>
      <c r="C47" s="409"/>
      <c r="D47" s="413"/>
      <c r="E47" s="382"/>
      <c r="F47" s="383"/>
      <c r="G47" s="409"/>
      <c r="H47" s="428"/>
      <c r="I47" s="400"/>
      <c r="J47" s="402" t="s">
        <v>34</v>
      </c>
      <c r="K47" s="405"/>
      <c r="L47" s="407" t="s">
        <v>33</v>
      </c>
      <c r="M47" s="409"/>
      <c r="N47" s="413"/>
      <c r="O47" s="378"/>
      <c r="P47" s="379"/>
      <c r="Q47" s="409"/>
      <c r="R47" s="428"/>
      <c r="S47" s="400"/>
      <c r="T47" s="402" t="s">
        <v>34</v>
      </c>
    </row>
    <row r="48" spans="1:20" ht="12.75" customHeight="1">
      <c r="A48" s="403">
        <v>1</v>
      </c>
      <c r="B48" s="392">
        <f>пр.хода!A25</f>
        <v>13</v>
      </c>
      <c r="C48" s="386" t="e">
        <f>VLOOKUP(B48,пр.взв!B$7:E$22,2,FALSE)</f>
        <v>#N/A</v>
      </c>
      <c r="D48" s="374" t="e">
        <f>VLOOKUP(B48,пр.взв!B$7:E$22,3,FALSE)</f>
        <v>#N/A</v>
      </c>
      <c r="E48" s="374" t="e">
        <f>VLOOKUP(B48,пр.взв!B$7:E$22,4,FALSE)</f>
        <v>#N/A</v>
      </c>
      <c r="F48" s="386" t="e">
        <f>VLOOKUP(B48,пр.взв!B$7:F$22,5,FALSE)</f>
        <v>#N/A</v>
      </c>
      <c r="G48" s="425"/>
      <c r="H48" s="419"/>
      <c r="I48" s="421"/>
      <c r="J48" s="412"/>
      <c r="K48" s="403">
        <v>3</v>
      </c>
      <c r="L48" s="456">
        <f>пр.хода!I25</f>
        <v>14</v>
      </c>
      <c r="M48" s="386" t="e">
        <f>VLOOKUP(L48,пр.взв!B$7:F$22,2,FALSE)</f>
        <v>#N/A</v>
      </c>
      <c r="N48" s="374" t="e">
        <f>VLOOKUP(L48,пр.взв!B$7:F$22,3,FALSE)</f>
        <v>#N/A</v>
      </c>
      <c r="O48" s="374" t="e">
        <f>VLOOKUP(L48,пр.взв!B$7:F$22,4,FALSE)</f>
        <v>#N/A</v>
      </c>
      <c r="P48" s="386" t="e">
        <f>VLOOKUP(L48,пр.взв!B$7:F$22,5,FALSE)</f>
        <v>#N/A</v>
      </c>
      <c r="Q48" s="434"/>
      <c r="R48" s="435"/>
      <c r="S48" s="431"/>
      <c r="T48" s="432"/>
    </row>
    <row r="49" spans="1:20">
      <c r="A49" s="390"/>
      <c r="B49" s="393"/>
      <c r="C49" s="387"/>
      <c r="D49" s="375"/>
      <c r="E49" s="375"/>
      <c r="F49" s="387"/>
      <c r="G49" s="420"/>
      <c r="H49" s="420"/>
      <c r="I49" s="422"/>
      <c r="J49" s="294"/>
      <c r="K49" s="390"/>
      <c r="L49" s="393"/>
      <c r="M49" s="387"/>
      <c r="N49" s="375"/>
      <c r="O49" s="375"/>
      <c r="P49" s="387"/>
      <c r="Q49" s="420"/>
      <c r="R49" s="420"/>
      <c r="S49" s="422"/>
      <c r="T49" s="294"/>
    </row>
    <row r="50" spans="1:20" ht="12.75" customHeight="1">
      <c r="A50" s="390"/>
      <c r="B50" s="394">
        <f>пр.хода!A27</f>
        <v>1</v>
      </c>
      <c r="C50" s="396" t="str">
        <f>VLOOKUP(B50,пр.взв!B$7:E$22,2,FALSE)</f>
        <v>Цупров Максим Русланович</v>
      </c>
      <c r="D50" s="384" t="str">
        <f>VLOOKUP(B50,пр.взв!B$7:E$22,3,FALSE)</f>
        <v>01.09.99, кмс</v>
      </c>
      <c r="E50" s="384" t="str">
        <f>VLOOKUP(B50,пр.взв!B$7:E$22,4,FALSE)</f>
        <v>ЦФО</v>
      </c>
      <c r="F50" s="396" t="str">
        <f>VLOOKUP(B50,пр.взв!B$7:F$22,5,FALSE)</f>
        <v>Тверская, Тверь</v>
      </c>
      <c r="G50" s="429"/>
      <c r="H50" s="429"/>
      <c r="I50" s="295"/>
      <c r="J50" s="295"/>
      <c r="K50" s="390"/>
      <c r="L50" s="394">
        <f>пр.хода!I27</f>
        <v>10</v>
      </c>
      <c r="M50" s="396" t="str">
        <f>VLOOKUP(L50,пр.взв!B$7:F$22,2,FALSE)</f>
        <v>Магомедханов Самур Исламович</v>
      </c>
      <c r="N50" s="384" t="str">
        <f>VLOOKUP(L50,пр.взв!B$7:F$22,3,FALSE)</f>
        <v>06.01.00, кмс</v>
      </c>
      <c r="O50" s="384" t="str">
        <f>VLOOKUP(L50,пр.взв!B$7:F$22,4,FALSE)</f>
        <v>СЗФО</v>
      </c>
      <c r="P50" s="396" t="str">
        <f>VLOOKUP(L50,пр.взв!B$7:F$22,5,FALSE)</f>
        <v>Вологодская, Вологда</v>
      </c>
      <c r="Q50" s="429"/>
      <c r="R50" s="429"/>
      <c r="S50" s="295"/>
      <c r="T50" s="295"/>
    </row>
    <row r="51" spans="1:20" ht="13.5" thickBot="1">
      <c r="A51" s="455"/>
      <c r="B51" s="395"/>
      <c r="C51" s="397"/>
      <c r="D51" s="385"/>
      <c r="E51" s="385"/>
      <c r="F51" s="397"/>
      <c r="G51" s="430"/>
      <c r="H51" s="430"/>
      <c r="I51" s="433"/>
      <c r="J51" s="433"/>
      <c r="K51" s="391"/>
      <c r="L51" s="395"/>
      <c r="M51" s="397"/>
      <c r="N51" s="385"/>
      <c r="O51" s="385"/>
      <c r="P51" s="397"/>
      <c r="Q51" s="430"/>
      <c r="R51" s="430"/>
      <c r="S51" s="433"/>
      <c r="T51" s="433"/>
    </row>
    <row r="52" spans="1:20" ht="12.75" customHeight="1">
      <c r="A52" s="403">
        <v>2</v>
      </c>
      <c r="B52" s="392">
        <f>пр.хода!A31</f>
        <v>15</v>
      </c>
      <c r="C52" s="386" t="e">
        <f>VLOOKUP(B52,пр.взв!B$7:E$22,2,FALSE)</f>
        <v>#N/A</v>
      </c>
      <c r="D52" s="374" t="e">
        <f>VLOOKUP(B52,пр.взв!B$7:E$22,3,FALSE)</f>
        <v>#N/A</v>
      </c>
      <c r="E52" s="374" t="e">
        <f>VLOOKUP(B52,пр.взв!B$7:E$22,4,FALSE)</f>
        <v>#N/A</v>
      </c>
      <c r="F52" s="386" t="e">
        <f>VLOOKUP(B52,пр.взв!B$7:F$22,5,FALSE)</f>
        <v>#N/A</v>
      </c>
      <c r="G52" s="434"/>
      <c r="H52" s="435"/>
      <c r="I52" s="431"/>
      <c r="J52" s="432"/>
      <c r="K52" s="390">
        <v>4</v>
      </c>
      <c r="L52" s="392">
        <f>пр.хода!I31</f>
        <v>12</v>
      </c>
      <c r="M52" s="386" t="str">
        <f>VLOOKUP(L52,пр.взв!B$7:F$22,2,FALSE)</f>
        <v>Щеголев Денис Юрьевич</v>
      </c>
      <c r="N52" s="374" t="str">
        <f>VLOOKUP(L52,пр.взв!B$7:F$22,3,FALSE)</f>
        <v>01.01.93, кмс</v>
      </c>
      <c r="O52" s="374" t="str">
        <f>VLOOKUP(L52,пр.взв!B$7:F$22,4,FALSE)</f>
        <v>ЦФО</v>
      </c>
      <c r="P52" s="386" t="str">
        <f>VLOOKUP(L52,пр.взв!B$7:F$22,5,FALSE)</f>
        <v>Тверская, Тверь</v>
      </c>
      <c r="Q52" s="434"/>
      <c r="R52" s="435"/>
      <c r="S52" s="431"/>
      <c r="T52" s="432"/>
    </row>
    <row r="53" spans="1:20">
      <c r="A53" s="390"/>
      <c r="B53" s="393"/>
      <c r="C53" s="387"/>
      <c r="D53" s="375"/>
      <c r="E53" s="375"/>
      <c r="F53" s="387"/>
      <c r="G53" s="420"/>
      <c r="H53" s="420"/>
      <c r="I53" s="422"/>
      <c r="J53" s="294"/>
      <c r="K53" s="390"/>
      <c r="L53" s="393"/>
      <c r="M53" s="387"/>
      <c r="N53" s="375"/>
      <c r="O53" s="375"/>
      <c r="P53" s="387"/>
      <c r="Q53" s="420"/>
      <c r="R53" s="420"/>
      <c r="S53" s="422"/>
      <c r="T53" s="294"/>
    </row>
    <row r="54" spans="1:20" ht="12.75" customHeight="1">
      <c r="A54" s="390"/>
      <c r="B54" s="394">
        <f>пр.хода!A33</f>
        <v>11</v>
      </c>
      <c r="C54" s="396" t="str">
        <f>VLOOKUP(B54,пр.взв!B$7:E$22,2,FALSE)</f>
        <v>Петросян Карен Агаронович</v>
      </c>
      <c r="D54" s="384" t="str">
        <f>VLOOKUP(B54,пр.взв!B$7:E$22,3,FALSE)</f>
        <v>20.03.01, кмс</v>
      </c>
      <c r="E54" s="384" t="str">
        <f>VLOOKUP(B54,пр.взв!B$7:E$22,4,FALSE)</f>
        <v>ЦФО</v>
      </c>
      <c r="F54" s="396" t="str">
        <f>VLOOKUP(B54,пр.взв!B$7:F$22,5,FALSE)</f>
        <v>Тверская, Тверь</v>
      </c>
      <c r="G54" s="429"/>
      <c r="H54" s="429"/>
      <c r="I54" s="295"/>
      <c r="J54" s="295"/>
      <c r="K54" s="390"/>
      <c r="L54" s="394">
        <f>пр.хода!I33</f>
        <v>8</v>
      </c>
      <c r="M54" s="396" t="str">
        <f>VLOOKUP(L54,пр.взв!B$7:F$22,2,FALSE)</f>
        <v>Блинов Антон Андреевич</v>
      </c>
      <c r="N54" s="384" t="str">
        <f>VLOOKUP(L54,пр.взв!B$7:F$22,3,FALSE)</f>
        <v>22.09.90, кмс</v>
      </c>
      <c r="O54" s="384" t="str">
        <f>VLOOKUP(L54,пр.взв!B$7:F$22,4,FALSE)</f>
        <v>ПФО</v>
      </c>
      <c r="P54" s="396" t="str">
        <f>VLOOKUP(L54,пр.взв!B$7:F$22,5,FALSE)</f>
        <v>Кировская, Киров</v>
      </c>
      <c r="Q54" s="429"/>
      <c r="R54" s="429"/>
      <c r="S54" s="295"/>
      <c r="T54" s="295"/>
    </row>
    <row r="55" spans="1:20" ht="13.5" thickBot="1">
      <c r="A55" s="391"/>
      <c r="B55" s="395"/>
      <c r="C55" s="397"/>
      <c r="D55" s="385"/>
      <c r="E55" s="385"/>
      <c r="F55" s="397"/>
      <c r="G55" s="430"/>
      <c r="H55" s="430"/>
      <c r="I55" s="433"/>
      <c r="J55" s="433"/>
      <c r="K55" s="391"/>
      <c r="L55" s="395"/>
      <c r="M55" s="397"/>
      <c r="N55" s="385"/>
      <c r="O55" s="385"/>
      <c r="P55" s="397"/>
      <c r="Q55" s="430"/>
      <c r="R55" s="430"/>
      <c r="S55" s="433"/>
      <c r="T55" s="433"/>
    </row>
    <row r="56" spans="1:20">
      <c r="B56">
        <f>B43</f>
        <v>0</v>
      </c>
      <c r="C56" s="5" t="s">
        <v>91</v>
      </c>
      <c r="L56">
        <f>L43</f>
        <v>0</v>
      </c>
      <c r="M56" s="5" t="s">
        <v>91</v>
      </c>
    </row>
    <row r="57" spans="1:20" ht="15">
      <c r="A57" s="398" t="s">
        <v>93</v>
      </c>
      <c r="B57" s="398"/>
      <c r="C57" s="398"/>
      <c r="D57" s="398"/>
      <c r="E57" s="398"/>
      <c r="F57" s="398"/>
      <c r="G57" s="398"/>
      <c r="H57" s="398"/>
      <c r="I57" s="398"/>
      <c r="J57" s="398"/>
      <c r="K57" s="398" t="s">
        <v>93</v>
      </c>
      <c r="L57" s="398"/>
      <c r="M57" s="398"/>
      <c r="N57" s="398"/>
      <c r="O57" s="398"/>
      <c r="P57" s="398"/>
      <c r="Q57" s="398"/>
      <c r="R57" s="398"/>
      <c r="S57" s="398"/>
      <c r="T57" s="398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В.к.82б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В.к.82б кг.</v>
      </c>
      <c r="R58" s="78"/>
      <c r="S58" s="78"/>
      <c r="T58" s="78"/>
    </row>
    <row r="59" spans="1:20" ht="12.75" customHeight="1">
      <c r="A59" s="404" t="s">
        <v>39</v>
      </c>
      <c r="B59" s="406" t="s">
        <v>4</v>
      </c>
      <c r="C59" s="408" t="s">
        <v>5</v>
      </c>
      <c r="D59" s="412" t="s">
        <v>12</v>
      </c>
      <c r="E59" s="380" t="s">
        <v>13</v>
      </c>
      <c r="F59" s="381"/>
      <c r="G59" s="408" t="s">
        <v>14</v>
      </c>
      <c r="H59" s="427" t="s">
        <v>40</v>
      </c>
      <c r="I59" s="399" t="s">
        <v>15</v>
      </c>
      <c r="J59" s="401" t="s">
        <v>16</v>
      </c>
      <c r="K59" s="404" t="s">
        <v>39</v>
      </c>
      <c r="L59" s="437" t="s">
        <v>4</v>
      </c>
      <c r="M59" s="408" t="s">
        <v>5</v>
      </c>
      <c r="N59" s="412" t="s">
        <v>12</v>
      </c>
      <c r="O59" s="376" t="s">
        <v>13</v>
      </c>
      <c r="P59" s="377"/>
      <c r="Q59" s="408" t="s">
        <v>14</v>
      </c>
      <c r="R59" s="427" t="s">
        <v>40</v>
      </c>
      <c r="S59" s="399" t="s">
        <v>15</v>
      </c>
      <c r="T59" s="401" t="s">
        <v>16</v>
      </c>
    </row>
    <row r="60" spans="1:20" ht="13.5" customHeight="1" thickBot="1">
      <c r="A60" s="405"/>
      <c r="B60" s="407" t="s">
        <v>33</v>
      </c>
      <c r="C60" s="409"/>
      <c r="D60" s="413"/>
      <c r="E60" s="382"/>
      <c r="F60" s="383"/>
      <c r="G60" s="409"/>
      <c r="H60" s="428"/>
      <c r="I60" s="400"/>
      <c r="J60" s="402" t="s">
        <v>34</v>
      </c>
      <c r="K60" s="405"/>
      <c r="L60" s="438" t="s">
        <v>33</v>
      </c>
      <c r="M60" s="409"/>
      <c r="N60" s="413"/>
      <c r="O60" s="378"/>
      <c r="P60" s="379"/>
      <c r="Q60" s="409"/>
      <c r="R60" s="428"/>
      <c r="S60" s="400"/>
      <c r="T60" s="402" t="s">
        <v>34</v>
      </c>
    </row>
    <row r="61" spans="1:20" ht="12.75" customHeight="1">
      <c r="A61" s="403">
        <v>1</v>
      </c>
      <c r="B61" s="436">
        <f>пр.хода!C26</f>
        <v>1</v>
      </c>
      <c r="C61" s="386" t="str">
        <f>VLOOKUP(B61,пр.взв!B$7:E$22,2,FALSE)</f>
        <v>Цупров Максим Русланович</v>
      </c>
      <c r="D61" s="374" t="str">
        <f>VLOOKUP(B61,пр.взв!B$7:E$22,3,FALSE)</f>
        <v>01.09.99, кмс</v>
      </c>
      <c r="E61" s="374" t="str">
        <f>VLOOKUP(B61,пр.взв!B$7:E$22,4,FALSE)</f>
        <v>ЦФО</v>
      </c>
      <c r="F61" s="386" t="str">
        <f>VLOOKUP(B61,пр.взв!B$7:F$22,5,FALSE)</f>
        <v>Тверская, Тверь</v>
      </c>
      <c r="G61" s="425"/>
      <c r="H61" s="419"/>
      <c r="I61" s="421"/>
      <c r="J61" s="412"/>
      <c r="K61" s="403">
        <v>2</v>
      </c>
      <c r="L61" s="388">
        <f>пр.хода!M26</f>
        <v>10</v>
      </c>
      <c r="M61" s="386" t="str">
        <f>VLOOKUP(L61,пр.взв!B$7:F$22,2,FALSE)</f>
        <v>Магомедханов Самур Исламович</v>
      </c>
      <c r="N61" s="374" t="str">
        <f>VLOOKUP(L61,пр.взв!B$7:F$22,3,FALSE)</f>
        <v>06.01.00, кмс</v>
      </c>
      <c r="O61" s="374" t="str">
        <f>VLOOKUP(L61,пр.взв!B$7:F$22,4,FALSE)</f>
        <v>СЗФО</v>
      </c>
      <c r="P61" s="386" t="str">
        <f>VLOOKUP(L61,пр.взв!B$7:F$22,5,FALSE)</f>
        <v>Вологодская, Вологда</v>
      </c>
      <c r="Q61" s="434"/>
      <c r="R61" s="435"/>
      <c r="S61" s="431"/>
      <c r="T61" s="432"/>
    </row>
    <row r="62" spans="1:20">
      <c r="A62" s="390"/>
      <c r="B62" s="389"/>
      <c r="C62" s="387"/>
      <c r="D62" s="375"/>
      <c r="E62" s="375"/>
      <c r="F62" s="387"/>
      <c r="G62" s="420"/>
      <c r="H62" s="420"/>
      <c r="I62" s="422"/>
      <c r="J62" s="294"/>
      <c r="K62" s="390"/>
      <c r="L62" s="389"/>
      <c r="M62" s="387"/>
      <c r="N62" s="375"/>
      <c r="O62" s="375"/>
      <c r="P62" s="387"/>
      <c r="Q62" s="420"/>
      <c r="R62" s="420"/>
      <c r="S62" s="422"/>
      <c r="T62" s="294"/>
    </row>
    <row r="63" spans="1:20" ht="12.75" customHeight="1">
      <c r="A63" s="390"/>
      <c r="B63" s="410">
        <f>пр.хода!C32</f>
        <v>11</v>
      </c>
      <c r="C63" s="396" t="str">
        <f>VLOOKUP(B63,пр.взв!B$7:E$22,2,FALSE)</f>
        <v>Петросян Карен Агаронович</v>
      </c>
      <c r="D63" s="384" t="str">
        <f>VLOOKUP(B63,пр.взв!B$7:E$22,3,FALSE)</f>
        <v>20.03.01, кмс</v>
      </c>
      <c r="E63" s="384" t="str">
        <f>VLOOKUP(B63,пр.взв!B$7:E$22,4,FALSE)</f>
        <v>ЦФО</v>
      </c>
      <c r="F63" s="396" t="str">
        <f>VLOOKUP(B63,пр.взв!B$7:F$22,5,FALSE)</f>
        <v>Тверская, Тверь</v>
      </c>
      <c r="G63" s="429"/>
      <c r="H63" s="429"/>
      <c r="I63" s="295"/>
      <c r="J63" s="295"/>
      <c r="K63" s="390"/>
      <c r="L63" s="410">
        <f>пр.хода!M32</f>
        <v>12</v>
      </c>
      <c r="M63" s="396" t="str">
        <f>VLOOKUP(L63,пр.взв!B$7:F$22,2,FALSE)</f>
        <v>Щеголев Денис Юрьевич</v>
      </c>
      <c r="N63" s="384" t="str">
        <f>VLOOKUP(L63,пр.взв!B$7:F$22,3,FALSE)</f>
        <v>01.01.93, кмс</v>
      </c>
      <c r="O63" s="384" t="str">
        <f>VLOOKUP(L63,пр.взв!B$7:F$22,4,FALSE)</f>
        <v>ЦФО</v>
      </c>
      <c r="P63" s="396" t="str">
        <f>VLOOKUP(L63,пр.взв!B$7:F$22,5,FALSE)</f>
        <v>Тверская, Тверь</v>
      </c>
      <c r="Q63" s="429"/>
      <c r="R63" s="429"/>
      <c r="S63" s="295"/>
      <c r="T63" s="295"/>
    </row>
    <row r="64" spans="1:20" ht="13.5" thickBot="1">
      <c r="A64" s="391"/>
      <c r="B64" s="411"/>
      <c r="C64" s="397"/>
      <c r="D64" s="385"/>
      <c r="E64" s="385"/>
      <c r="F64" s="397"/>
      <c r="G64" s="430"/>
      <c r="H64" s="430"/>
      <c r="I64" s="433"/>
      <c r="J64" s="433"/>
      <c r="K64" s="391"/>
      <c r="L64" s="411"/>
      <c r="M64" s="397"/>
      <c r="N64" s="385"/>
      <c r="O64" s="385"/>
      <c r="P64" s="397"/>
      <c r="Q64" s="430"/>
      <c r="R64" s="430"/>
      <c r="S64" s="433"/>
      <c r="T64" s="433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  <pageSetUpPr fitToPage="1"/>
  </sheetPr>
  <dimension ref="A1:I44"/>
  <sheetViews>
    <sheetView topLeftCell="A28" workbookViewId="0">
      <selection activeCell="A29" sqref="A29:I38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66" t="str">
        <f>пр.взв!B2</f>
        <v>Всероссийские соревнования по спортивному и боевому самбо среди мужчин на призы УФСИН России</v>
      </c>
      <c r="B1" s="467"/>
      <c r="C1" s="467"/>
      <c r="D1" s="467"/>
      <c r="E1" s="467"/>
      <c r="F1" s="467"/>
      <c r="G1" s="467"/>
      <c r="H1" s="467"/>
      <c r="I1" s="467"/>
    </row>
    <row r="2" spans="1:9" ht="27" customHeight="1">
      <c r="D2" s="53"/>
      <c r="E2" s="68" t="str">
        <f>HYPERLINK(пр.взв!D4)</f>
        <v>В.к.82б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94" t="s">
        <v>11</v>
      </c>
      <c r="B5" s="294" t="s">
        <v>4</v>
      </c>
      <c r="C5" s="432" t="s">
        <v>5</v>
      </c>
      <c r="D5" s="294" t="s">
        <v>12</v>
      </c>
      <c r="E5" s="457" t="s">
        <v>13</v>
      </c>
      <c r="F5" s="458"/>
      <c r="G5" s="294" t="s">
        <v>14</v>
      </c>
      <c r="H5" s="294" t="s">
        <v>15</v>
      </c>
      <c r="I5" s="294" t="s">
        <v>16</v>
      </c>
    </row>
    <row r="6" spans="1:9">
      <c r="A6" s="295"/>
      <c r="B6" s="295"/>
      <c r="C6" s="295"/>
      <c r="D6" s="295"/>
      <c r="E6" s="459"/>
      <c r="F6" s="460"/>
      <c r="G6" s="295"/>
      <c r="H6" s="295"/>
      <c r="I6" s="295"/>
    </row>
    <row r="7" spans="1:9">
      <c r="A7" s="470"/>
      <c r="B7" s="451">
        <f>пр.хода!D29</f>
        <v>0</v>
      </c>
      <c r="C7" s="461" t="e">
        <f>VLOOKUP(B7,пр.взв!B7:D22,2,FALSE)</f>
        <v>#N/A</v>
      </c>
      <c r="D7" s="461" t="e">
        <f>VLOOKUP(B7,пр.взв!B7:F38,3,FALSE)</f>
        <v>#N/A</v>
      </c>
      <c r="E7" s="468" t="e">
        <f>VLOOKUP(B7,пр.взв!B7:F38,4,FALSE)</f>
        <v>#N/A</v>
      </c>
      <c r="F7" s="461" t="e">
        <f>VLOOKUP(B7,пр.взв!B7:G28,5,FALSE)</f>
        <v>#N/A</v>
      </c>
      <c r="G7" s="420"/>
      <c r="H7" s="422"/>
      <c r="I7" s="294"/>
    </row>
    <row r="8" spans="1:9">
      <c r="A8" s="470"/>
      <c r="B8" s="294"/>
      <c r="C8" s="461"/>
      <c r="D8" s="461"/>
      <c r="E8" s="468"/>
      <c r="F8" s="461"/>
      <c r="G8" s="420"/>
      <c r="H8" s="422"/>
      <c r="I8" s="294"/>
    </row>
    <row r="9" spans="1:9">
      <c r="A9" s="469"/>
      <c r="B9" s="451">
        <f>пр.хода!C35</f>
        <v>4</v>
      </c>
      <c r="C9" s="461" t="str">
        <f>VLOOKUP(B9,пр.взв!B7:D22,2,FALSE)</f>
        <v>Косилов Даниил Эдуардович</v>
      </c>
      <c r="D9" s="461" t="str">
        <f>VLOOKUP(B9,пр.взв!B7:F40,3,FALSE)</f>
        <v>08.02.95, кмс</v>
      </c>
      <c r="E9" s="468" t="str">
        <f>VLOOKUP(B9,пр.взв!B7:F40,4,FALSE)</f>
        <v>ЦФО</v>
      </c>
      <c r="F9" s="461" t="str">
        <f>VLOOKUP(B9,пр.взв!B7:G30,5,FALSE)</f>
        <v>Ярославская, Ярославль</v>
      </c>
      <c r="G9" s="420"/>
      <c r="H9" s="294"/>
      <c r="I9" s="294"/>
    </row>
    <row r="10" spans="1:9">
      <c r="A10" s="469"/>
      <c r="B10" s="294"/>
      <c r="C10" s="461"/>
      <c r="D10" s="461"/>
      <c r="E10" s="468"/>
      <c r="F10" s="461"/>
      <c r="G10" s="420"/>
      <c r="H10" s="294"/>
      <c r="I10" s="294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В.к.82б кг.</v>
      </c>
    </row>
    <row r="17" spans="1:9" ht="12.75" customHeight="1">
      <c r="A17" s="294" t="s">
        <v>11</v>
      </c>
      <c r="B17" s="294" t="s">
        <v>4</v>
      </c>
      <c r="C17" s="432" t="s">
        <v>5</v>
      </c>
      <c r="D17" s="294" t="s">
        <v>12</v>
      </c>
      <c r="E17" s="457" t="s">
        <v>13</v>
      </c>
      <c r="F17" s="458"/>
      <c r="G17" s="294" t="s">
        <v>14</v>
      </c>
      <c r="H17" s="294" t="s">
        <v>15</v>
      </c>
      <c r="I17" s="294" t="s">
        <v>16</v>
      </c>
    </row>
    <row r="18" spans="1:9">
      <c r="A18" s="295"/>
      <c r="B18" s="295"/>
      <c r="C18" s="295"/>
      <c r="D18" s="295"/>
      <c r="E18" s="459"/>
      <c r="F18" s="460"/>
      <c r="G18" s="295"/>
      <c r="H18" s="295"/>
      <c r="I18" s="295"/>
    </row>
    <row r="19" spans="1:9">
      <c r="A19" s="470"/>
      <c r="B19" s="451">
        <f>пр.хода!N29</f>
        <v>10</v>
      </c>
      <c r="C19" s="471" t="str">
        <f>VLOOKUP(B19,пр.взв!B1:D22,2,FALSE)</f>
        <v>Магомедханов Самур Исламович</v>
      </c>
      <c r="D19" s="471" t="str">
        <f>VLOOKUP(B19,пр.взв!B1:F22,3,FALSE)</f>
        <v>06.01.00, кмс</v>
      </c>
      <c r="E19" s="462" t="str">
        <f>VLOOKUP(B19,пр.взв!B1:F22,4,FALSE)</f>
        <v>СЗФО</v>
      </c>
      <c r="F19" s="461" t="str">
        <f>VLOOKUP(B19,пр.взв!B1:G22,5,FALSE)</f>
        <v>Вологодская, Вологда</v>
      </c>
      <c r="G19" s="465"/>
      <c r="H19" s="422"/>
      <c r="I19" s="294"/>
    </row>
    <row r="20" spans="1:9">
      <c r="A20" s="470"/>
      <c r="B20" s="294"/>
      <c r="C20" s="472"/>
      <c r="D20" s="472"/>
      <c r="E20" s="464"/>
      <c r="F20" s="461"/>
      <c r="G20" s="465"/>
      <c r="H20" s="422"/>
      <c r="I20" s="294"/>
    </row>
    <row r="21" spans="1:9">
      <c r="A21" s="469"/>
      <c r="B21" s="451">
        <f>пр.хода!M35</f>
        <v>5</v>
      </c>
      <c r="C21" s="471" t="str">
        <f>VLOOKUP(B21,пр.взв!B1:D22,2,FALSE)</f>
        <v>Жарков Денис Сергееич</v>
      </c>
      <c r="D21" s="471" t="str">
        <f>VLOOKUP(B21,пр.взв!B1:F22,3,FALSE)</f>
        <v>04.12.95, кмс</v>
      </c>
      <c r="E21" s="462" t="str">
        <f>VLOOKUP(B21,пр.взв!B2:F22,4,FALSE)</f>
        <v>ЦФО</v>
      </c>
      <c r="F21" s="461" t="str">
        <f>VLOOKUP(B21,пр.взв!B1:G22,5,FALSE)</f>
        <v>Ярославская, Углич</v>
      </c>
      <c r="G21" s="465"/>
      <c r="H21" s="294"/>
      <c r="I21" s="294"/>
    </row>
    <row r="22" spans="1:9">
      <c r="A22" s="469"/>
      <c r="B22" s="294"/>
      <c r="C22" s="472"/>
      <c r="D22" s="472"/>
      <c r="E22" s="463"/>
      <c r="F22" s="461"/>
      <c r="G22" s="465"/>
      <c r="H22" s="294"/>
      <c r="I22" s="294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В.к.82б кг.</v>
      </c>
    </row>
    <row r="30" spans="1:9" ht="12.75" customHeight="1">
      <c r="A30" s="294" t="s">
        <v>11</v>
      </c>
      <c r="B30" s="294" t="s">
        <v>4</v>
      </c>
      <c r="C30" s="432" t="s">
        <v>5</v>
      </c>
      <c r="D30" s="294" t="s">
        <v>12</v>
      </c>
      <c r="E30" s="457" t="s">
        <v>13</v>
      </c>
      <c r="F30" s="458"/>
      <c r="G30" s="294" t="s">
        <v>14</v>
      </c>
      <c r="H30" s="294" t="s">
        <v>15</v>
      </c>
      <c r="I30" s="294" t="s">
        <v>16</v>
      </c>
    </row>
    <row r="31" spans="1:9">
      <c r="A31" s="295"/>
      <c r="B31" s="295"/>
      <c r="C31" s="295"/>
      <c r="D31" s="295"/>
      <c r="E31" s="459"/>
      <c r="F31" s="460"/>
      <c r="G31" s="295"/>
      <c r="H31" s="295"/>
      <c r="I31" s="295"/>
    </row>
    <row r="32" spans="1:9">
      <c r="A32" s="470"/>
      <c r="B32" s="451">
        <f>пр.хода!I14</f>
        <v>7</v>
      </c>
      <c r="C32" s="461" t="str">
        <f>VLOOKUP(B32,пр.взв!B3:D22,2,FALSE)</f>
        <v>Саламатников Александр Николаевич</v>
      </c>
      <c r="D32" s="461" t="str">
        <f>VLOOKUP(B32,пр.взв!B3:F22,3,FALSE)</f>
        <v>19.03.93, мс</v>
      </c>
      <c r="E32" s="468" t="str">
        <f>VLOOKUP(B32,пр.взв!B3:F22,4,FALSE)</f>
        <v>М</v>
      </c>
      <c r="F32" s="461" t="str">
        <f>VLOOKUP(B32,пр.взв!B3:G22,5,FALSE)</f>
        <v>Москва, ГБУ СШ "Битца"</v>
      </c>
      <c r="G32" s="420"/>
      <c r="H32" s="422"/>
      <c r="I32" s="294"/>
    </row>
    <row r="33" spans="1:9">
      <c r="A33" s="470"/>
      <c r="B33" s="294"/>
      <c r="C33" s="461"/>
      <c r="D33" s="461"/>
      <c r="E33" s="468"/>
      <c r="F33" s="461"/>
      <c r="G33" s="420"/>
      <c r="H33" s="422"/>
      <c r="I33" s="294"/>
    </row>
    <row r="34" spans="1:9">
      <c r="A34" s="469"/>
      <c r="B34" s="451">
        <f>пр.хода!M14</f>
        <v>6</v>
      </c>
      <c r="C34" s="461" t="str">
        <f>VLOOKUP(B34,пр.взв!B3:D22,2,FALSE)</f>
        <v>Алешкин Илья Сергеевич</v>
      </c>
      <c r="D34" s="461" t="str">
        <f>VLOOKUP(B34,пр.взв!B3:F22,3,FALSE)</f>
        <v>07.05.97, кмс</v>
      </c>
      <c r="E34" s="468" t="str">
        <f>VLOOKUP(B34,пр.взв!B3:F22,4,FALSE)</f>
        <v>М</v>
      </c>
      <c r="F34" s="461" t="str">
        <f>VLOOKUP(B34,пр.взв!B3:G22,5,FALSE)</f>
        <v>Москва, МГФСО</v>
      </c>
      <c r="G34" s="420"/>
      <c r="H34" s="294"/>
      <c r="I34" s="294"/>
    </row>
    <row r="35" spans="1:9">
      <c r="A35" s="469"/>
      <c r="B35" s="294"/>
      <c r="C35" s="461"/>
      <c r="D35" s="461"/>
      <c r="E35" s="468"/>
      <c r="F35" s="461"/>
      <c r="G35" s="420"/>
      <c r="H35" s="294"/>
      <c r="I35" s="294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89</v>
      </c>
      <c r="B42" s="49"/>
      <c r="C42" s="49"/>
      <c r="D42" s="49"/>
      <c r="E42" s="4"/>
      <c r="F42" s="57" t="s">
        <v>89</v>
      </c>
      <c r="G42" s="51" t="s">
        <v>89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89</v>
      </c>
      <c r="C44" s="49"/>
      <c r="D44" s="49"/>
      <c r="E44" s="50"/>
      <c r="F44" s="57" t="s">
        <v>89</v>
      </c>
      <c r="G44" s="52" t="s">
        <v>89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AP34"/>
  <sheetViews>
    <sheetView tabSelected="1" workbookViewId="0">
      <selection sqref="A1:H2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23.28515625" customWidth="1"/>
    <col min="7" max="7" width="8.85546875" hidden="1" customWidth="1"/>
    <col min="8" max="8" width="18.85546875" customWidth="1"/>
    <col min="11" max="11" width="15.7109375" hidden="1" customWidth="1"/>
    <col min="12" max="12" width="3.140625" hidden="1" customWidth="1"/>
    <col min="13" max="19" width="9.140625" hidden="1" customWidth="1"/>
    <col min="20" max="20" width="5.7109375" hidden="1" customWidth="1"/>
    <col min="21" max="21" width="16.140625" hidden="1" customWidth="1"/>
    <col min="22" max="36" width="8.7109375" hidden="1" customWidth="1"/>
    <col min="37" max="42" width="0" hidden="1" customWidth="1"/>
  </cols>
  <sheetData>
    <row r="1" spans="1:42" ht="23.25" customHeight="1" thickBot="1">
      <c r="A1" s="317" t="s">
        <v>22</v>
      </c>
      <c r="B1" s="317"/>
      <c r="C1" s="317"/>
      <c r="D1" s="317"/>
      <c r="E1" s="317"/>
      <c r="F1" s="317"/>
      <c r="G1" s="317"/>
      <c r="H1" s="317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>
        <f ca="1">SUMIF(U6:U11,W1,$L$14:$L$17)</f>
        <v>0</v>
      </c>
      <c r="V1" s="168"/>
      <c r="W1" s="168" t="str">
        <f>K12</f>
        <v>Вологодская</v>
      </c>
    </row>
    <row r="2" spans="1:42" ht="52.5" customHeight="1" thickBot="1">
      <c r="A2" s="109"/>
      <c r="B2" s="486" t="s">
        <v>70</v>
      </c>
      <c r="C2" s="486"/>
      <c r="D2" s="487" t="str">
        <f>пр.взв!B2</f>
        <v>Всероссийские соревнования по спортивному и боевому самбо среди мужчин на призы УФСИН России</v>
      </c>
      <c r="E2" s="488"/>
      <c r="F2" s="488"/>
      <c r="G2" s="488"/>
      <c r="H2" s="489"/>
      <c r="U2" s="305">
        <f>SUMIF(K14:K16,W1,$L$14:$L$17)</f>
        <v>0</v>
      </c>
      <c r="V2" s="305"/>
      <c r="W2" s="305"/>
      <c r="X2" s="305"/>
      <c r="Y2" s="305"/>
    </row>
    <row r="3" spans="1:42" ht="24.75" customHeight="1" thickBot="1">
      <c r="A3" s="109"/>
      <c r="B3" s="494" t="str">
        <f>пр.взв!A3</f>
        <v>20-22 апреля 2019 г           г.Тверь</v>
      </c>
      <c r="C3" s="494"/>
      <c r="D3" s="494"/>
      <c r="E3" s="494"/>
      <c r="F3" s="494"/>
      <c r="G3" s="486" t="str">
        <f>пр.взв!D4</f>
        <v>В.к.82б кг.</v>
      </c>
      <c r="H3" s="495"/>
    </row>
    <row r="4" spans="1:42" ht="12.75" customHeight="1" thickBot="1">
      <c r="A4" s="496" t="s">
        <v>44</v>
      </c>
      <c r="B4" s="498" t="s">
        <v>4</v>
      </c>
      <c r="C4" s="500" t="s">
        <v>5</v>
      </c>
      <c r="D4" s="381" t="s">
        <v>6</v>
      </c>
      <c r="E4" s="380" t="s">
        <v>7</v>
      </c>
      <c r="F4" s="381"/>
      <c r="G4" s="492" t="s">
        <v>9</v>
      </c>
      <c r="H4" s="490" t="s">
        <v>8</v>
      </c>
      <c r="I4" s="485" t="s">
        <v>94</v>
      </c>
      <c r="J4" s="244"/>
      <c r="K4" s="481" t="str">
        <f>IFERROR(LEFT(F6,FIND(",",F6)-1),F6)</f>
        <v>Москва</v>
      </c>
      <c r="L4" s="482">
        <v>1</v>
      </c>
      <c r="M4" s="483" t="s">
        <v>51</v>
      </c>
      <c r="N4" s="478" t="s">
        <v>52</v>
      </c>
      <c r="O4" s="473"/>
      <c r="P4" s="474"/>
      <c r="Q4" s="474"/>
      <c r="R4" s="475"/>
      <c r="T4" s="476" t="s">
        <v>51</v>
      </c>
      <c r="U4" s="478" t="s">
        <v>52</v>
      </c>
      <c r="V4" s="473"/>
      <c r="W4" s="474"/>
      <c r="X4" s="474"/>
      <c r="Y4" s="475"/>
      <c r="AD4" s="476" t="s">
        <v>51</v>
      </c>
      <c r="AE4" s="478" t="s">
        <v>52</v>
      </c>
      <c r="AF4" s="473"/>
      <c r="AG4" s="474"/>
      <c r="AH4" s="474"/>
      <c r="AI4" s="475"/>
      <c r="AK4" s="476" t="s">
        <v>51</v>
      </c>
      <c r="AL4" s="478" t="s">
        <v>52</v>
      </c>
      <c r="AM4" s="473"/>
      <c r="AN4" s="474"/>
      <c r="AO4" s="474"/>
      <c r="AP4" s="475"/>
    </row>
    <row r="5" spans="1:42" ht="16.5" thickBot="1">
      <c r="A5" s="497"/>
      <c r="B5" s="499"/>
      <c r="C5" s="501"/>
      <c r="D5" s="460"/>
      <c r="E5" s="459"/>
      <c r="F5" s="460"/>
      <c r="G5" s="493"/>
      <c r="H5" s="491"/>
      <c r="I5" s="485"/>
      <c r="J5" s="244"/>
      <c r="K5" s="481"/>
      <c r="L5" s="482"/>
      <c r="M5" s="484"/>
      <c r="N5" s="480"/>
      <c r="O5" s="91">
        <v>1</v>
      </c>
      <c r="P5" s="92">
        <v>2</v>
      </c>
      <c r="Q5" s="92">
        <v>3</v>
      </c>
      <c r="R5" s="93">
        <v>5</v>
      </c>
      <c r="T5" s="477"/>
      <c r="U5" s="480"/>
      <c r="V5" s="91">
        <v>1</v>
      </c>
      <c r="W5" s="92">
        <v>2</v>
      </c>
      <c r="X5" s="92">
        <v>3</v>
      </c>
      <c r="Y5" s="93">
        <v>5</v>
      </c>
      <c r="AA5" s="169">
        <v>1</v>
      </c>
      <c r="AC5" s="169">
        <v>2</v>
      </c>
      <c r="AD5" s="477"/>
      <c r="AE5" s="479"/>
      <c r="AF5" s="170">
        <v>1</v>
      </c>
      <c r="AG5" s="171">
        <v>2</v>
      </c>
      <c r="AH5" s="171">
        <v>3</v>
      </c>
      <c r="AI5" s="172">
        <v>5</v>
      </c>
      <c r="AK5" s="477"/>
      <c r="AL5" s="479"/>
      <c r="AM5" s="170">
        <v>1</v>
      </c>
      <c r="AN5" s="171">
        <v>2</v>
      </c>
      <c r="AO5" s="171">
        <v>3</v>
      </c>
      <c r="AP5" s="172">
        <v>5</v>
      </c>
    </row>
    <row r="6" spans="1:42" ht="24" customHeight="1">
      <c r="A6" s="247">
        <v>1</v>
      </c>
      <c r="B6" s="282">
        <f>пр.хода!H8</f>
        <v>7</v>
      </c>
      <c r="C6" s="285" t="str">
        <f>VLOOKUP(B6,пр.взв!B7:H22,2,FALSE)</f>
        <v>Саламатников Александр Николаевич</v>
      </c>
      <c r="D6" s="285" t="str">
        <f>VLOOKUP(B6,пр.взв!B7:H77,3,FALSE)</f>
        <v>19.03.93, мс</v>
      </c>
      <c r="E6" s="291" t="str">
        <f>VLOOKUP(B6,пр.взв!B7:H22,4,FALSE)</f>
        <v>М</v>
      </c>
      <c r="F6" s="285" t="str">
        <f>VLOOKUP(B6,пр.взв!B7:H22,5,FALSE)</f>
        <v>Москва, ГБУ СШ "Битца"</v>
      </c>
      <c r="G6" s="285">
        <v>100</v>
      </c>
      <c r="H6" s="286" t="str">
        <f>VLOOKUP(B6,пр.взв!B7:H79,7,FALSE)</f>
        <v>Попов ДВ</v>
      </c>
      <c r="I6" s="242">
        <v>100</v>
      </c>
      <c r="J6" s="242">
        <f>A6</f>
        <v>1</v>
      </c>
      <c r="K6" s="481" t="s">
        <v>53</v>
      </c>
      <c r="L6" s="482">
        <v>1</v>
      </c>
      <c r="M6" s="94">
        <v>1</v>
      </c>
      <c r="N6" s="95" t="s">
        <v>54</v>
      </c>
      <c r="O6" s="96">
        <f>SUMIF($K$4:$K$7,K4,$L$4:$L$7)</f>
        <v>1</v>
      </c>
      <c r="P6" s="96">
        <f ca="1">SUMIF($I$8:$K$9,"алт",$L$6:$L$9)</f>
        <v>0</v>
      </c>
      <c r="Q6" s="97">
        <f>SUMIF($K$10:$K$13,"Алт",$L$10:$L$13)</f>
        <v>0</v>
      </c>
      <c r="R6" s="97">
        <f>SUMIF($K$14:$K$17,"Алт",$L$14:$L$17)</f>
        <v>0</v>
      </c>
      <c r="T6" s="94">
        <v>1</v>
      </c>
      <c r="U6" s="95" t="str">
        <f>K4</f>
        <v>Москва</v>
      </c>
      <c r="V6" s="96">
        <f t="shared" ref="V6:V11" si="0">SUMIF($K$4:$K$7,U6,$L$4:$L$7)</f>
        <v>1</v>
      </c>
      <c r="W6" s="96">
        <f t="shared" ref="W6:W11" ca="1" si="1">SUMIF($I$8:$K$9,U6,$L$6:$L$9)</f>
        <v>0</v>
      </c>
      <c r="X6" s="97">
        <f t="shared" ref="X6:X11" si="2">SUMIF($K$10:$K$13,U6,$L$10:$L$13)</f>
        <v>0</v>
      </c>
      <c r="Y6" s="97">
        <f>SUMIF($K$14:$K$17,U6,$L$14:$L$17)</f>
        <v>0</v>
      </c>
      <c r="AA6" t="str">
        <f>U6</f>
        <v>Москва</v>
      </c>
      <c r="AC6" t="str">
        <f>AA6</f>
        <v>Москва</v>
      </c>
      <c r="AD6" s="173">
        <v>1</v>
      </c>
      <c r="AE6" s="174" t="str">
        <f>AC6</f>
        <v>Москва</v>
      </c>
      <c r="AF6" s="175">
        <f t="shared" ref="AF6:AF11" si="3">SUMIF($K$4:$K$7,AE6,$L$4:$L$7)</f>
        <v>1</v>
      </c>
      <c r="AG6" s="175">
        <f t="shared" ref="AG6:AG11" ca="1" si="4">SUMIF($I$8:$K$9,AE6,$L$6:$L$9)</f>
        <v>0</v>
      </c>
      <c r="AH6" s="175">
        <f t="shared" ref="AH6:AH11" si="5">SUMIF($K$10:$K$13,AE6,$L$10:$L$13)</f>
        <v>0</v>
      </c>
      <c r="AI6" s="176">
        <f t="shared" ref="AI6:AI11" si="6">SUMIF($K$14:$K$17,AE6,$L$14:$L$17)</f>
        <v>0</v>
      </c>
      <c r="AK6" s="173">
        <v>1</v>
      </c>
      <c r="AL6" s="174" t="str">
        <f t="shared" ref="AL6:AP11" si="7">IF(AE6=0," ",AE6)</f>
        <v>Москва</v>
      </c>
      <c r="AM6" s="175">
        <f t="shared" si="7"/>
        <v>1</v>
      </c>
      <c r="AN6" s="175" t="str">
        <f t="shared" ca="1" si="7"/>
        <v xml:space="preserve"> </v>
      </c>
      <c r="AO6" s="175" t="str">
        <f t="shared" si="7"/>
        <v xml:space="preserve"> </v>
      </c>
      <c r="AP6" s="176" t="str">
        <f t="shared" si="7"/>
        <v xml:space="preserve"> </v>
      </c>
    </row>
    <row r="7" spans="1:42" ht="24" customHeight="1">
      <c r="A7" s="248">
        <v>2</v>
      </c>
      <c r="B7" s="283">
        <f>пр.хода!H20</f>
        <v>6</v>
      </c>
      <c r="C7" s="287" t="str">
        <f>VLOOKUP(B7,пр.взв!B1:H22,2,FALSE)</f>
        <v>Алешкин Илья Сергеевич</v>
      </c>
      <c r="D7" s="287" t="str">
        <f>VLOOKUP(B7,пр.взв!B1:H79,3,FALSE)</f>
        <v>07.05.97, кмс</v>
      </c>
      <c r="E7" s="292" t="str">
        <f>VLOOKUP(B7,пр.взв!B1:H22,4,FALSE)</f>
        <v>М</v>
      </c>
      <c r="F7" s="287" t="str">
        <f>VLOOKUP(B7,пр.взв!B1:H22,5,FALSE)</f>
        <v>Москва, МГФСО</v>
      </c>
      <c r="G7" s="287">
        <v>80</v>
      </c>
      <c r="H7" s="288" t="str">
        <f>VLOOKUP(B7,пр.взв!B1:H81,7,FALSE)</f>
        <v>Астахов ДБ</v>
      </c>
      <c r="I7" s="242">
        <v>80</v>
      </c>
      <c r="J7" s="246">
        <f t="shared" ref="J7:J17" si="8">A7</f>
        <v>2</v>
      </c>
      <c r="K7" s="481"/>
      <c r="L7" s="482"/>
      <c r="M7" s="98">
        <v>2</v>
      </c>
      <c r="N7" s="95" t="s">
        <v>55</v>
      </c>
      <c r="O7" s="96">
        <f>SUMIF($K$4:$K$7,"заб",$L$4:$L$7)</f>
        <v>0</v>
      </c>
      <c r="P7" s="96">
        <f ca="1">SUMIF($I$8:$K$9,"заб",$L$6:$L$9)</f>
        <v>0</v>
      </c>
      <c r="Q7" s="97">
        <f>SUMIF($K$10:$K$13,"заб",$L$10:$L$13)</f>
        <v>0</v>
      </c>
      <c r="R7" s="97">
        <f>SUMIF($K$14:$K$17,"заб",$L$14:$L$17)</f>
        <v>0</v>
      </c>
      <c r="T7" s="98">
        <v>2</v>
      </c>
      <c r="U7" s="95" t="str">
        <f>IF(K8=K4," ",K8)</f>
        <v xml:space="preserve"> </v>
      </c>
      <c r="V7" s="96">
        <f t="shared" si="0"/>
        <v>0</v>
      </c>
      <c r="W7" s="96">
        <f t="shared" ca="1" si="1"/>
        <v>0</v>
      </c>
      <c r="X7" s="97">
        <f t="shared" si="2"/>
        <v>0</v>
      </c>
      <c r="Y7" s="97">
        <f>SUMIF($K$14:$K$17,U7,$L$14:$L$17)</f>
        <v>0</v>
      </c>
      <c r="AA7" t="str">
        <f>IF(OR(U7=" "),U8,U7)</f>
        <v>Ярославская</v>
      </c>
      <c r="AB7">
        <f>IF(V7=V6," ",V7)</f>
        <v>0</v>
      </c>
      <c r="AC7" t="str">
        <f>IF(OR(AA7=" "),AA8,AA7)</f>
        <v>Ярославская</v>
      </c>
      <c r="AD7" s="177">
        <v>2</v>
      </c>
      <c r="AE7" s="178" t="str">
        <f>IF(OR(AC7=" "),AC8,AC7)</f>
        <v>Ярославская</v>
      </c>
      <c r="AF7" s="179">
        <f t="shared" si="3"/>
        <v>0</v>
      </c>
      <c r="AG7" s="179">
        <f t="shared" ca="1" si="4"/>
        <v>0</v>
      </c>
      <c r="AH7" s="179">
        <f t="shared" si="5"/>
        <v>1</v>
      </c>
      <c r="AI7" s="180">
        <f t="shared" si="6"/>
        <v>1</v>
      </c>
      <c r="AK7" s="177">
        <v>2</v>
      </c>
      <c r="AL7" s="178" t="str">
        <f t="shared" si="7"/>
        <v>Ярославская</v>
      </c>
      <c r="AM7" s="179" t="str">
        <f t="shared" si="7"/>
        <v xml:space="preserve"> </v>
      </c>
      <c r="AN7" s="179" t="str">
        <f t="shared" ca="1" si="7"/>
        <v xml:space="preserve"> </v>
      </c>
      <c r="AO7" s="179">
        <f t="shared" si="7"/>
        <v>1</v>
      </c>
      <c r="AP7" s="180">
        <f t="shared" si="7"/>
        <v>1</v>
      </c>
    </row>
    <row r="8" spans="1:42" ht="24" customHeight="1">
      <c r="A8" s="248">
        <v>3</v>
      </c>
      <c r="B8" s="283">
        <f>пр.хода!E32</f>
        <v>4</v>
      </c>
      <c r="C8" s="287" t="str">
        <f>VLOOKUP(B8,пр.взв!B1:H22,2,FALSE)</f>
        <v>Косилов Даниил Эдуардович</v>
      </c>
      <c r="D8" s="287" t="str">
        <f>VLOOKUP(B8,пр.взв!B1:H81,3,FALSE)</f>
        <v>08.02.95, кмс</v>
      </c>
      <c r="E8" s="292" t="str">
        <f>VLOOKUP(B8,пр.взв!B1:H22,4,FALSE)</f>
        <v>ЦФО</v>
      </c>
      <c r="F8" s="287" t="str">
        <f>VLOOKUP(B8,пр.взв!B1:H22,5,FALSE)</f>
        <v>Ярославская, Ярославль</v>
      </c>
      <c r="G8" s="287">
        <v>70</v>
      </c>
      <c r="H8" s="288" t="str">
        <f>VLOOKUP(B8,пр.взв!B1:H83,7,FALSE)</f>
        <v>Сапожников СВ</v>
      </c>
      <c r="I8" s="242">
        <v>70</v>
      </c>
      <c r="J8" s="246">
        <f t="shared" si="8"/>
        <v>3</v>
      </c>
      <c r="K8" s="482" t="str">
        <f>IFERROR(LEFT(F7,FIND(",",F7)-1),F7)</f>
        <v>Москва</v>
      </c>
      <c r="L8" s="482">
        <v>1</v>
      </c>
      <c r="M8" s="99">
        <v>3</v>
      </c>
      <c r="N8" s="95" t="s">
        <v>56</v>
      </c>
      <c r="O8" s="96">
        <f>SUMIF($K$4:$K$7,"ирк",$L$4:$L$7)</f>
        <v>0</v>
      </c>
      <c r="P8" s="96">
        <f ca="1">SUMIF($I$8:$K$9,"ирк",$L$6:$L$9)</f>
        <v>0</v>
      </c>
      <c r="Q8" s="97">
        <f>SUMIF($K$10:$K$13,"ирк",$L$10:$L$13)</f>
        <v>0</v>
      </c>
      <c r="R8" s="97">
        <f>SUMIF($K$14:$K$17,"ирк",$L$14:$L$17)</f>
        <v>0</v>
      </c>
      <c r="T8" s="99">
        <v>3</v>
      </c>
      <c r="U8" s="95" t="str">
        <f>IF(OR(K10=K4,K10=K8)," ",K10)</f>
        <v>Ярославская</v>
      </c>
      <c r="V8" s="96">
        <f t="shared" si="0"/>
        <v>0</v>
      </c>
      <c r="W8" s="96">
        <f t="shared" ca="1" si="1"/>
        <v>0</v>
      </c>
      <c r="X8" s="97">
        <f t="shared" si="2"/>
        <v>1</v>
      </c>
      <c r="Y8" s="97">
        <f>SUMIF($K$14:$K$17,U8,$L$14:$L$17)</f>
        <v>1</v>
      </c>
      <c r="AA8" t="str">
        <f>IF(OR(U8=" ",U7=" "),U9,U8)</f>
        <v>Вологодская</v>
      </c>
      <c r="AC8" t="str">
        <f>IF(OR(AA8=" ",AA7=" "),AA9,AA8)</f>
        <v>Вологодская</v>
      </c>
      <c r="AD8" s="181">
        <v>3</v>
      </c>
      <c r="AE8" s="178" t="str">
        <f>IF(OR(AC8=" ",AC7=" "),AC9,AC8)</f>
        <v>Вологодская</v>
      </c>
      <c r="AF8" s="179">
        <f t="shared" si="3"/>
        <v>0</v>
      </c>
      <c r="AG8" s="179">
        <f t="shared" ca="1" si="4"/>
        <v>0</v>
      </c>
      <c r="AH8" s="179">
        <f t="shared" si="5"/>
        <v>1</v>
      </c>
      <c r="AI8" s="180">
        <f t="shared" si="6"/>
        <v>0</v>
      </c>
      <c r="AK8" s="181">
        <v>3</v>
      </c>
      <c r="AL8" s="178" t="str">
        <f t="shared" si="7"/>
        <v>Вологодская</v>
      </c>
      <c r="AM8" s="179" t="str">
        <f t="shared" si="7"/>
        <v xml:space="preserve"> </v>
      </c>
      <c r="AN8" s="179" t="str">
        <f t="shared" ca="1" si="7"/>
        <v xml:space="preserve"> </v>
      </c>
      <c r="AO8" s="179">
        <f t="shared" si="7"/>
        <v>1</v>
      </c>
      <c r="AP8" s="180" t="str">
        <f t="shared" si="7"/>
        <v xml:space="preserve"> </v>
      </c>
    </row>
    <row r="9" spans="1:42" ht="24" customHeight="1">
      <c r="A9" s="248">
        <v>3</v>
      </c>
      <c r="B9" s="283">
        <f>пр.хода!Q32</f>
        <v>10</v>
      </c>
      <c r="C9" s="287" t="str">
        <f>VLOOKUP(B9,пр.взв!B1:H22,2,FALSE)</f>
        <v>Магомедханов Самур Исламович</v>
      </c>
      <c r="D9" s="287" t="str">
        <f>VLOOKUP(B9,пр.взв!B1:H83,3,FALSE)</f>
        <v>06.01.00, кмс</v>
      </c>
      <c r="E9" s="292" t="str">
        <f>VLOOKUP(B9,пр.взв!B1:H22,4,FALSE)</f>
        <v>СЗФО</v>
      </c>
      <c r="F9" s="287" t="str">
        <f>VLOOKUP(B9,пр.взв!B1:H22,5,FALSE)</f>
        <v>Вологодская, Вологда</v>
      </c>
      <c r="G9" s="287">
        <v>70</v>
      </c>
      <c r="H9" s="288" t="str">
        <f>VLOOKUP(B9,пр.взв!B1:H85,7,FALSE)</f>
        <v>Дженетханов ТЛ</v>
      </c>
      <c r="I9" s="242">
        <v>70</v>
      </c>
      <c r="J9" s="246">
        <f t="shared" si="8"/>
        <v>3</v>
      </c>
      <c r="K9" s="482"/>
      <c r="L9" s="482"/>
      <c r="M9" s="98">
        <v>4</v>
      </c>
      <c r="N9" s="95" t="s">
        <v>57</v>
      </c>
      <c r="O9" s="96">
        <f>SUMIF($K$4:$K$7,"кем",$L$4:$L$7)</f>
        <v>0</v>
      </c>
      <c r="P9" s="96">
        <f ca="1">SUMIF($I$8:$K$9,"кем",$L$6:$L$9)</f>
        <v>0</v>
      </c>
      <c r="Q9" s="97">
        <f>SUMIF($K$10:$K$13,"кем",$L$10:$L$13)</f>
        <v>0</v>
      </c>
      <c r="R9" s="97">
        <f>SUMIF($K$14:$K$17,"кем",$L$14:$L$17)</f>
        <v>0</v>
      </c>
      <c r="T9" s="98">
        <v>4</v>
      </c>
      <c r="U9" s="95" t="str">
        <f>IF(OR(K12=K4,K12=K8,K12=K10)," ",K12)</f>
        <v>Вологодская</v>
      </c>
      <c r="V9" s="96">
        <f t="shared" si="0"/>
        <v>0</v>
      </c>
      <c r="W9" s="96">
        <f t="shared" ca="1" si="1"/>
        <v>0</v>
      </c>
      <c r="X9" s="97">
        <f t="shared" si="2"/>
        <v>1</v>
      </c>
      <c r="Y9" s="97">
        <f>SUMIF($K$14:$K$17,U9,$L$14:$L$17)</f>
        <v>0</v>
      </c>
      <c r="AA9" t="str">
        <f>IF(OR(U7=" ",U8=" ",U9=" "),U10,U9)</f>
        <v>Тверская</v>
      </c>
      <c r="AC9" t="str">
        <f>IF(OR(AA7=" ",AA8=" ",AA9=" "),AA10,AA9)</f>
        <v>Тверская</v>
      </c>
      <c r="AD9" s="177">
        <v>4</v>
      </c>
      <c r="AE9" s="178" t="str">
        <f>IF(OR(AC7=" ",AC8=" ",AC9=" "),AC10,AC9)</f>
        <v>Тверская</v>
      </c>
      <c r="AF9" s="179">
        <f t="shared" si="3"/>
        <v>0</v>
      </c>
      <c r="AG9" s="179">
        <f t="shared" ca="1" si="4"/>
        <v>0</v>
      </c>
      <c r="AH9" s="179">
        <f t="shared" si="5"/>
        <v>0</v>
      </c>
      <c r="AI9" s="180">
        <f t="shared" si="6"/>
        <v>1</v>
      </c>
      <c r="AK9" s="177">
        <v>4</v>
      </c>
      <c r="AL9" s="178" t="str">
        <f t="shared" si="7"/>
        <v>Тверская</v>
      </c>
      <c r="AM9" s="179" t="str">
        <f t="shared" si="7"/>
        <v xml:space="preserve"> </v>
      </c>
      <c r="AN9" s="179" t="str">
        <f t="shared" ca="1" si="7"/>
        <v xml:space="preserve"> </v>
      </c>
      <c r="AO9" s="179" t="str">
        <f t="shared" si="7"/>
        <v xml:space="preserve"> </v>
      </c>
      <c r="AP9" s="180">
        <f t="shared" si="7"/>
        <v>1</v>
      </c>
    </row>
    <row r="10" spans="1:42" ht="24" customHeight="1">
      <c r="A10" s="248">
        <v>5</v>
      </c>
      <c r="B10" s="283">
        <v>11</v>
      </c>
      <c r="C10" s="287" t="str">
        <f>VLOOKUP(B10,пр.взв!B1:H22,2,FALSE)</f>
        <v>Петросян Карен Агаронович</v>
      </c>
      <c r="D10" s="287" t="str">
        <f>VLOOKUP(B10,пр.взв!B1:H85,3,FALSE)</f>
        <v>20.03.01, кмс</v>
      </c>
      <c r="E10" s="292" t="str">
        <f>VLOOKUP(B10,пр.взв!B1:H22,4,FALSE)</f>
        <v>ЦФО</v>
      </c>
      <c r="F10" s="287" t="str">
        <f>VLOOKUP(B10,пр.взв!B1:H22,5,FALSE)</f>
        <v>Тверская, Тверь</v>
      </c>
      <c r="G10" s="287">
        <v>50</v>
      </c>
      <c r="H10" s="288" t="str">
        <f>VLOOKUP(B10,пр.взв!B1:H87,7,FALSE)</f>
        <v>Рыбинкин КВ Матюшенский АВ</v>
      </c>
      <c r="I10" s="242">
        <v>50</v>
      </c>
      <c r="J10" s="246">
        <f t="shared" si="8"/>
        <v>5</v>
      </c>
      <c r="K10" s="482" t="str">
        <f>IFERROR(LEFT(F8,FIND(",",F8)-1),F8)</f>
        <v>Ярославская</v>
      </c>
      <c r="L10" s="482">
        <v>1</v>
      </c>
      <c r="M10" s="99">
        <v>5</v>
      </c>
      <c r="N10" s="95" t="s">
        <v>58</v>
      </c>
      <c r="O10" s="96">
        <f>SUMIF($K$4:$K$7,"кра",$L$4:$L$7)</f>
        <v>0</v>
      </c>
      <c r="P10" s="96">
        <f ca="1">SUMIF($I$8:$K$9,"кра",$L$6:$L$9)</f>
        <v>0</v>
      </c>
      <c r="Q10" s="97">
        <f>SUMIF($K$10:$K$13,"кра",$L$10:$L$13)</f>
        <v>0</v>
      </c>
      <c r="R10" s="97">
        <f>SUMIF($K$14:$K$17,"кра",$L$14:$L$17)</f>
        <v>0</v>
      </c>
      <c r="T10" s="99">
        <v>5</v>
      </c>
      <c r="U10" s="95" t="str">
        <f>IF(OR(K14=K4,K14=K8,K14=K10,K14=K12)," ",K14)</f>
        <v>Тверская</v>
      </c>
      <c r="V10" s="96">
        <f t="shared" si="0"/>
        <v>0</v>
      </c>
      <c r="W10" s="96">
        <f t="shared" ca="1" si="1"/>
        <v>0</v>
      </c>
      <c r="X10" s="97">
        <f t="shared" si="2"/>
        <v>0</v>
      </c>
      <c r="Y10" s="97">
        <f>SUMIF($K$14:$K$17,U10,$L$14:$L$17)</f>
        <v>1</v>
      </c>
      <c r="AA10" t="str">
        <f>IF(OR(U7=" ",U8=" ",U9=" ",U10=" "),U11,U10)</f>
        <v xml:space="preserve"> </v>
      </c>
      <c r="AC10" t="str">
        <f>IF(OR(AA7=" ",AA8=" ",AA9=" ")," ",AA10)</f>
        <v xml:space="preserve"> </v>
      </c>
      <c r="AD10" s="181">
        <v>5</v>
      </c>
      <c r="AE10" s="178" t="str">
        <f>IF(OR(AC7=" ",AC8=" ",AC9=" ")," ",AC10)</f>
        <v xml:space="preserve"> </v>
      </c>
      <c r="AF10" s="179">
        <f t="shared" si="3"/>
        <v>0</v>
      </c>
      <c r="AG10" s="179">
        <f t="shared" ca="1" si="4"/>
        <v>0</v>
      </c>
      <c r="AH10" s="179">
        <f t="shared" si="5"/>
        <v>0</v>
      </c>
      <c r="AI10" s="180">
        <f t="shared" si="6"/>
        <v>0</v>
      </c>
      <c r="AK10" s="181">
        <v>5</v>
      </c>
      <c r="AL10" s="178" t="str">
        <f t="shared" si="7"/>
        <v xml:space="preserve"> </v>
      </c>
      <c r="AM10" s="179" t="str">
        <f t="shared" si="7"/>
        <v xml:space="preserve"> </v>
      </c>
      <c r="AN10" s="179" t="str">
        <f t="shared" ca="1" si="7"/>
        <v xml:space="preserve"> </v>
      </c>
      <c r="AO10" s="179" t="str">
        <f t="shared" si="7"/>
        <v xml:space="preserve"> </v>
      </c>
      <c r="AP10" s="180" t="str">
        <f t="shared" si="7"/>
        <v xml:space="preserve"> </v>
      </c>
    </row>
    <row r="11" spans="1:42" ht="24" customHeight="1" thickBot="1">
      <c r="A11" s="248">
        <v>5</v>
      </c>
      <c r="B11" s="283">
        <f>пр.хода!AA26</f>
        <v>5</v>
      </c>
      <c r="C11" s="287" t="str">
        <f>VLOOKUP(B11,пр.взв!B1:H22,2,FALSE)</f>
        <v>Жарков Денис Сергееич</v>
      </c>
      <c r="D11" s="287" t="str">
        <f>VLOOKUP(B11,пр.взв!B1:H87,3,FALSE)</f>
        <v>04.12.95, кмс</v>
      </c>
      <c r="E11" s="292" t="str">
        <f>VLOOKUP(B11,пр.взв!B1:H22,4,FALSE)</f>
        <v>ЦФО</v>
      </c>
      <c r="F11" s="287" t="str">
        <f>VLOOKUP(B11,пр.взв!B1:H22,5,FALSE)</f>
        <v>Ярославская, Углич</v>
      </c>
      <c r="G11" s="287">
        <v>50</v>
      </c>
      <c r="H11" s="288" t="str">
        <f>VLOOKUP(B11,пр.взв!B1:H89,7,FALSE)</f>
        <v>Петров ВА Скуднов ВС</v>
      </c>
      <c r="I11" s="242">
        <v>50</v>
      </c>
      <c r="J11" s="246">
        <f t="shared" si="8"/>
        <v>5</v>
      </c>
      <c r="K11" s="482"/>
      <c r="L11" s="482"/>
      <c r="M11" s="98">
        <v>6</v>
      </c>
      <c r="N11" s="95" t="s">
        <v>59</v>
      </c>
      <c r="O11" s="96">
        <f>SUMIF($K$4:$K$7,"нов",$L$4:$L$7)</f>
        <v>0</v>
      </c>
      <c r="P11" s="96">
        <f ca="1">SUMIF($I$8:$K$9,"нов",$L$6:$L$9)</f>
        <v>0</v>
      </c>
      <c r="Q11" s="97">
        <f>SUMIF($K$10:$K$13,"нов",$L$10:$L$13)</f>
        <v>0</v>
      </c>
      <c r="R11" s="97">
        <f>SUMIF($K$14:$K$17,"нов",$L$14:$L$17)</f>
        <v>0</v>
      </c>
      <c r="T11" s="98">
        <v>6</v>
      </c>
      <c r="U11" s="95" t="str">
        <f>IF(OR(K16=K4,K16=K8,K16=K10,K16=K12,K16=K14)," ",K16)</f>
        <v xml:space="preserve"> </v>
      </c>
      <c r="V11" s="96">
        <f t="shared" si="0"/>
        <v>0</v>
      </c>
      <c r="W11" s="96">
        <f t="shared" ca="1" si="1"/>
        <v>0</v>
      </c>
      <c r="X11" s="97">
        <f t="shared" si="2"/>
        <v>0</v>
      </c>
      <c r="Y11" s="97">
        <f>SUMIF($K$14:$K$17,U11,$L$8:$L$17)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182">
        <v>6</v>
      </c>
      <c r="AE11" s="183" t="str">
        <f>IF(OR(AC7=" ",AC8=" ",AC9=" ",AC10=" ")," ",AC11)</f>
        <v xml:space="preserve"> </v>
      </c>
      <c r="AF11" s="184">
        <f t="shared" si="3"/>
        <v>0</v>
      </c>
      <c r="AG11" s="184">
        <f t="shared" ca="1" si="4"/>
        <v>0</v>
      </c>
      <c r="AH11" s="184">
        <f t="shared" si="5"/>
        <v>0</v>
      </c>
      <c r="AI11" s="185">
        <f t="shared" si="6"/>
        <v>0</v>
      </c>
      <c r="AK11" s="182">
        <v>6</v>
      </c>
      <c r="AL11" s="183" t="str">
        <f t="shared" si="7"/>
        <v xml:space="preserve"> </v>
      </c>
      <c r="AM11" s="184" t="str">
        <f t="shared" si="7"/>
        <v xml:space="preserve"> </v>
      </c>
      <c r="AN11" s="184" t="str">
        <f t="shared" ca="1" si="7"/>
        <v xml:space="preserve"> </v>
      </c>
      <c r="AO11" s="184" t="str">
        <f t="shared" si="7"/>
        <v xml:space="preserve"> </v>
      </c>
      <c r="AP11" s="185" t="str">
        <f t="shared" si="7"/>
        <v xml:space="preserve"> </v>
      </c>
    </row>
    <row r="12" spans="1:42" ht="24" customHeight="1" thickBot="1">
      <c r="A12" s="240" t="s">
        <v>43</v>
      </c>
      <c r="B12" s="283">
        <f>пр.хода!AA27</f>
        <v>11</v>
      </c>
      <c r="C12" s="287" t="str">
        <f>VLOOKUP(B12,пр.взв!B1:H22,2,FALSE)</f>
        <v>Петросян Карен Агаронович</v>
      </c>
      <c r="D12" s="287" t="str">
        <f>VLOOKUP(B12,пр.взв!B1:H89,3,FALSE)</f>
        <v>20.03.01, кмс</v>
      </c>
      <c r="E12" s="292" t="str">
        <f>VLOOKUP(B12,пр.взв!B1:H22,4,FALSE)</f>
        <v>ЦФО</v>
      </c>
      <c r="F12" s="287" t="str">
        <f>VLOOKUP(B12,пр.взв!B1:H22,5,FALSE)</f>
        <v>Тверская, Тверь</v>
      </c>
      <c r="G12" s="287">
        <v>35</v>
      </c>
      <c r="H12" s="288" t="str">
        <f>VLOOKUP(B12,пр.взв!B1:H91,7,FALSE)</f>
        <v>Рыбинкин КВ Матюшенский АВ</v>
      </c>
      <c r="I12" s="242">
        <v>35</v>
      </c>
      <c r="J12" s="246" t="str">
        <f t="shared" si="8"/>
        <v>7-8</v>
      </c>
      <c r="K12" s="482" t="str">
        <f>IFERROR(LEFT(F9,FIND(",",F9)-1),F9)</f>
        <v>Вологодская</v>
      </c>
      <c r="L12" s="482">
        <v>1</v>
      </c>
      <c r="M12" s="99">
        <v>7</v>
      </c>
      <c r="N12" s="95" t="s">
        <v>60</v>
      </c>
      <c r="O12" s="96">
        <f>SUMIF($K$4:$K$7,"омс",$L$4:$L$7)</f>
        <v>0</v>
      </c>
      <c r="P12" s="96">
        <f ca="1">SUMIF($I$8:$K$9,"омс",$L$6:$L$9)</f>
        <v>0</v>
      </c>
      <c r="Q12" s="97">
        <f>SUMIF($K$10:$K$13,"омс",$L$10:$L$13)</f>
        <v>0</v>
      </c>
      <c r="R12" s="97">
        <f>SUMIF($K$14:$K$17,"омс",$L$14:$L$17)</f>
        <v>0</v>
      </c>
      <c r="T12" s="100"/>
      <c r="U12" s="95" t="str">
        <f>IF(OR(K15=K7,K15=K11,K15=K13)," ",K15)</f>
        <v xml:space="preserve"> </v>
      </c>
      <c r="V12" s="101"/>
      <c r="W12" s="101"/>
      <c r="X12" s="102"/>
      <c r="Y12" s="102"/>
      <c r="AD12" s="107"/>
      <c r="AE12" s="108"/>
      <c r="AF12" s="186">
        <f>SUM(AF6:AF11)</f>
        <v>1</v>
      </c>
      <c r="AG12" s="186">
        <f ca="1">SUM(AG6:AG11)</f>
        <v>0</v>
      </c>
      <c r="AH12" s="186">
        <f>SUM(AH6:AH11)</f>
        <v>2</v>
      </c>
      <c r="AI12" s="186">
        <f>SUM(AI6:AI11)</f>
        <v>2</v>
      </c>
      <c r="AK12" s="107"/>
      <c r="AL12" s="108"/>
      <c r="AM12" s="186">
        <f>SUM(AM6:AM11)</f>
        <v>1</v>
      </c>
      <c r="AN12" s="186">
        <f ca="1">SUM(AN6:AN11)</f>
        <v>0</v>
      </c>
      <c r="AO12" s="186">
        <f>SUM(AO6:AO11)</f>
        <v>2</v>
      </c>
      <c r="AP12" s="186">
        <f>SUM(AP6:AP11)</f>
        <v>2</v>
      </c>
    </row>
    <row r="13" spans="1:42" ht="24" customHeight="1">
      <c r="A13" s="240" t="s">
        <v>43</v>
      </c>
      <c r="B13" s="283">
        <f>пр.хода!AA28</f>
        <v>12</v>
      </c>
      <c r="C13" s="287" t="str">
        <f>VLOOKUP(B13,пр.взв!B2:H22,2,FALSE)</f>
        <v>Щеголев Денис Юрьевич</v>
      </c>
      <c r="D13" s="287" t="str">
        <f>VLOOKUP(B13,пр.взв!B2:H91,3,FALSE)</f>
        <v>01.01.93, кмс</v>
      </c>
      <c r="E13" s="292" t="str">
        <f>VLOOKUP(B13,пр.взв!B2:H22,4,FALSE)</f>
        <v>ЦФО</v>
      </c>
      <c r="F13" s="287" t="str">
        <f>VLOOKUP(B13,пр.взв!B2:H22,5,FALSE)</f>
        <v>Тверская, Тверь</v>
      </c>
      <c r="G13" s="287">
        <v>35</v>
      </c>
      <c r="H13" s="288" t="str">
        <f>VLOOKUP(B13,пр.взв!B2:H93,7,FALSE)</f>
        <v>Вершинов АА</v>
      </c>
      <c r="I13" s="242">
        <v>35</v>
      </c>
      <c r="J13" s="246" t="str">
        <f t="shared" si="8"/>
        <v>7-8</v>
      </c>
      <c r="K13" s="482"/>
      <c r="L13" s="482"/>
      <c r="M13" s="98">
        <v>8</v>
      </c>
      <c r="N13" s="95" t="s">
        <v>61</v>
      </c>
      <c r="O13" s="96">
        <f>SUMIF($K$4:$K$7,"р.а",$L$4:$L$7)</f>
        <v>0</v>
      </c>
      <c r="P13" s="96">
        <f ca="1">SUMIF($I$8:$K$9,"р.а",$L$6:$L$9)</f>
        <v>0</v>
      </c>
      <c r="Q13" s="97">
        <f>SUMIF($K$10:$K$13,"р.а",$L$10:$L$13)</f>
        <v>0</v>
      </c>
      <c r="R13" s="97">
        <f>SUMIF($K$14:$K$17,"р.а",$L$14:$L$17)</f>
        <v>0</v>
      </c>
      <c r="T13" s="103"/>
      <c r="U13" s="104" t="str">
        <f>IF(OR(K16=K8,K16=K12,K16=K14)," ",K16)</f>
        <v>Ярославская</v>
      </c>
      <c r="V13" s="101"/>
      <c r="W13" s="101"/>
      <c r="X13" s="102"/>
      <c r="Y13" s="102"/>
    </row>
    <row r="14" spans="1:42" ht="24" customHeight="1">
      <c r="A14" s="240" t="s">
        <v>50</v>
      </c>
      <c r="B14" s="283">
        <v>8</v>
      </c>
      <c r="C14" s="287" t="str">
        <f>VLOOKUP(B14,пр.взв!B2:H22,2,FALSE)</f>
        <v>Блинов Антон Андреевич</v>
      </c>
      <c r="D14" s="287" t="str">
        <f>VLOOKUP(B14,пр.взв!B2:H93,3,FALSE)</f>
        <v>22.09.90, кмс</v>
      </c>
      <c r="E14" s="292" t="str">
        <f>VLOOKUP(B14,пр.взв!B2:H22,4,FALSE)</f>
        <v>ПФО</v>
      </c>
      <c r="F14" s="287" t="str">
        <f>VLOOKUP(B14,пр.взв!B2:H22,5,FALSE)</f>
        <v>Кировская, Киров</v>
      </c>
      <c r="G14" s="287">
        <v>15</v>
      </c>
      <c r="H14" s="288" t="str">
        <f>VLOOKUP(B14,пр.взв!B2:H95,7,FALSE)</f>
        <v>Николаев АН</v>
      </c>
      <c r="I14" s="242">
        <v>15</v>
      </c>
      <c r="J14" s="246" t="str">
        <f t="shared" si="8"/>
        <v>9-12</v>
      </c>
      <c r="K14" s="482" t="str">
        <f>IFERROR(LEFT(F10,FIND(",",F10)-1),F10)</f>
        <v>Тверская</v>
      </c>
      <c r="L14" s="482">
        <v>1</v>
      </c>
      <c r="M14" s="99">
        <v>9</v>
      </c>
      <c r="N14" s="95" t="s">
        <v>62</v>
      </c>
      <c r="O14" s="96">
        <f>SUMIF($K$4:$K$7,"р.б",$L$4:$L$7)</f>
        <v>0</v>
      </c>
      <c r="P14" s="96">
        <f ca="1">SUMIF($I$8:$K$9,"р.б",$L$6:$L$9)</f>
        <v>0</v>
      </c>
      <c r="Q14" s="97">
        <f>SUMIF($K$10:$K$13,"р.б",$L$10:$L$13)</f>
        <v>0</v>
      </c>
      <c r="R14" s="97">
        <f>SUMIF($K$14:$K$17,"р.б",$L$14:$L$17)</f>
        <v>0</v>
      </c>
      <c r="T14" s="100"/>
      <c r="U14" s="104"/>
      <c r="V14" s="101"/>
      <c r="W14" s="101"/>
      <c r="X14" s="102"/>
      <c r="Y14" s="102"/>
    </row>
    <row r="15" spans="1:42" ht="24" customHeight="1">
      <c r="A15" s="240" t="s">
        <v>50</v>
      </c>
      <c r="B15" s="283">
        <v>9</v>
      </c>
      <c r="C15" s="287" t="str">
        <f>VLOOKUP(B15,пр.взв!B2:H22,2,FALSE)</f>
        <v>Рочев Антон Александрович</v>
      </c>
      <c r="D15" s="287" t="str">
        <f>VLOOKUP(B15,пр.взв!B2:H95,3,FALSE)</f>
        <v>26.02.90, кмс</v>
      </c>
      <c r="E15" s="292" t="str">
        <f>VLOOKUP(B15,пр.взв!B2:H22,4,FALSE)</f>
        <v>ПФО</v>
      </c>
      <c r="F15" s="287" t="str">
        <f>VLOOKUP(B15,пр.взв!B2:H22,5,FALSE)</f>
        <v>Кировская, Киров</v>
      </c>
      <c r="G15" s="287">
        <v>15</v>
      </c>
      <c r="H15" s="288" t="str">
        <f>VLOOKUP(B15,пр.взв!B2:H97,7,FALSE)</f>
        <v>Губин ВВ</v>
      </c>
      <c r="I15" s="242">
        <v>15</v>
      </c>
      <c r="J15" s="246" t="str">
        <f t="shared" si="8"/>
        <v>9-12</v>
      </c>
      <c r="K15" s="482"/>
      <c r="L15" s="482"/>
      <c r="M15" s="98">
        <v>10</v>
      </c>
      <c r="N15" s="95" t="s">
        <v>63</v>
      </c>
      <c r="O15" s="96">
        <f>SUMIF($K$4:$K$7,"р.х",$L$4:$L$7)</f>
        <v>0</v>
      </c>
      <c r="P15" s="96">
        <f ca="1">SUMIF($I$8:$K$9,"р.х",$L$6:$L$9)</f>
        <v>0</v>
      </c>
      <c r="Q15" s="97">
        <f>SUMIF($K$10:$K$13,"р.х",$L$10:$L$13)</f>
        <v>0</v>
      </c>
      <c r="R15" s="97">
        <f>SUMIF($K$14:$K$17,"р.х",$L$14:$L$17)</f>
        <v>0</v>
      </c>
      <c r="T15" s="103"/>
      <c r="U15" s="104"/>
      <c r="V15" s="101"/>
      <c r="W15" s="101"/>
      <c r="X15" s="102"/>
      <c r="Y15" s="102"/>
    </row>
    <row r="16" spans="1:42" ht="24" customHeight="1">
      <c r="A16" s="240" t="s">
        <v>50</v>
      </c>
      <c r="B16" s="283">
        <v>2</v>
      </c>
      <c r="C16" s="287" t="str">
        <f>VLOOKUP(B16,пр.взв!B2:H22,2,FALSE)</f>
        <v>Золотцев Максим Русланович</v>
      </c>
      <c r="D16" s="287" t="str">
        <f>VLOOKUP(B16,пр.взв!B2:H97,3,FALSE)</f>
        <v>16.12.98, кмс</v>
      </c>
      <c r="E16" s="292" t="str">
        <f>VLOOKUP(B16,пр.взв!B2:H22,4,FALSE)</f>
        <v>ЦФО</v>
      </c>
      <c r="F16" s="287" t="str">
        <f>VLOOKUP(B16,пр.взв!B2:H22,5,FALSE)</f>
        <v>Тверская, Тверь</v>
      </c>
      <c r="G16" s="287">
        <v>15</v>
      </c>
      <c r="H16" s="288" t="str">
        <f>VLOOKUP(B16,пр.взв!B2:H99,7,FALSE)</f>
        <v>Остапенко АА</v>
      </c>
      <c r="I16" s="242">
        <v>15</v>
      </c>
      <c r="J16" s="246" t="str">
        <f t="shared" si="8"/>
        <v>9-12</v>
      </c>
      <c r="K16" s="482" t="str">
        <f>IFERROR(LEFT(F11,FIND(",",F11)-1),F11)</f>
        <v>Ярославская</v>
      </c>
      <c r="L16" s="482">
        <v>1</v>
      </c>
      <c r="M16" s="99">
        <v>11</v>
      </c>
      <c r="N16" s="105" t="s">
        <v>64</v>
      </c>
      <c r="O16" s="96">
        <f>SUMIF($K$4:$K$7,"том",$L$4:$L$7)</f>
        <v>0</v>
      </c>
      <c r="P16" s="96">
        <f ca="1">SUMIF($I$8:$K$9,"том",$L$6:$L$9)</f>
        <v>0</v>
      </c>
      <c r="Q16" s="97">
        <f>SUMIF($K$10:$K$13,"том",$L$10:$L$13)</f>
        <v>0</v>
      </c>
      <c r="R16" s="97">
        <f>SUMIF($K$14:$K$17,"том",$L$14:$L$17)</f>
        <v>0</v>
      </c>
      <c r="T16" s="100"/>
      <c r="U16" s="106"/>
      <c r="V16" s="101"/>
      <c r="W16" s="101"/>
      <c r="X16" s="102"/>
      <c r="Y16" s="102"/>
    </row>
    <row r="17" spans="1:25" ht="24" customHeight="1" thickBot="1">
      <c r="A17" s="241" t="s">
        <v>50</v>
      </c>
      <c r="B17" s="284">
        <v>3</v>
      </c>
      <c r="C17" s="289" t="str">
        <f>VLOOKUP(B17,пр.взв!B2:H22,2,FALSE)</f>
        <v>Арцыбашев Иван Сергеевич</v>
      </c>
      <c r="D17" s="289" t="str">
        <f>VLOOKUP(B17,пр.взв!B2:H99,3,FALSE)</f>
        <v>26.09.95, кмс</v>
      </c>
      <c r="E17" s="293" t="str">
        <f>VLOOKUP(B17,пр.взв!B2:H22,4,FALSE)</f>
        <v>ЦФО</v>
      </c>
      <c r="F17" s="289" t="str">
        <f>VLOOKUP(B17,пр.взв!B2:H22,5,FALSE)</f>
        <v>Тверская, Тверь</v>
      </c>
      <c r="G17" s="289">
        <v>15</v>
      </c>
      <c r="H17" s="290" t="str">
        <f>VLOOKUP(B17,пр.взв!B2:H101,7,FALSE)</f>
        <v>Остапенко АА</v>
      </c>
      <c r="I17" s="242">
        <v>15</v>
      </c>
      <c r="J17" s="246" t="str">
        <f t="shared" si="8"/>
        <v>9-12</v>
      </c>
      <c r="K17" s="482"/>
      <c r="L17" s="482"/>
      <c r="M17" s="98">
        <v>12</v>
      </c>
      <c r="N17" s="105" t="s">
        <v>67</v>
      </c>
      <c r="O17" s="96">
        <f>SUMIF($K$4:$K$7,"Мос",$L$4:$L$7)</f>
        <v>0</v>
      </c>
      <c r="P17" s="96">
        <f ca="1">SUMIF($I$8:$K$9,"Мос",$L$6:$L$9)</f>
        <v>0</v>
      </c>
      <c r="Q17" s="97">
        <f>SUMIF($K$10:$K$13,"Мос",$L$10:$L$13)</f>
        <v>0</v>
      </c>
      <c r="R17" s="97">
        <f>SUMIF($K$14:$K$17,"Мос",$L$14:$L$17)</f>
        <v>0</v>
      </c>
      <c r="T17" s="103"/>
      <c r="U17" s="106"/>
      <c r="V17" s="101"/>
      <c r="W17" s="101"/>
      <c r="X17" s="102"/>
      <c r="Y17" s="102"/>
    </row>
    <row r="18" spans="1:25" ht="12.75" customHeight="1"/>
    <row r="19" spans="1:25" ht="5.0999999999999996" customHeight="1"/>
    <row r="20" spans="1:25" ht="27" customHeight="1">
      <c r="A20" s="62" t="str">
        <f>пр.хода!A38</f>
        <v>Гл. судья, судья ВК</v>
      </c>
      <c r="B20" s="63"/>
      <c r="C20" s="64"/>
      <c r="D20" s="66"/>
      <c r="E20" s="66"/>
      <c r="F20" s="243" t="str">
        <f>пр.хода!J38</f>
        <v xml:space="preserve">Н.Н.Малышев </v>
      </c>
      <c r="G20" s="65" t="str">
        <f>пр.хода!J38</f>
        <v xml:space="preserve">Н.Н.Малышев </v>
      </c>
    </row>
    <row r="21" spans="1:25" ht="15">
      <c r="A21" s="63"/>
      <c r="B21" s="63"/>
      <c r="C21" s="64"/>
      <c r="D21" s="66"/>
      <c r="E21" s="66"/>
      <c r="F21" s="66" t="str">
        <f>G21</f>
        <v>/Дубна /</v>
      </c>
      <c r="G21" s="84" t="str">
        <f>пр.хода!N38</f>
        <v>/Дубна /</v>
      </c>
    </row>
    <row r="22" spans="1:25" ht="12.75" customHeight="1">
      <c r="A22" s="63"/>
      <c r="B22" s="63"/>
      <c r="C22" s="64"/>
      <c r="D22" s="66"/>
      <c r="E22" s="66"/>
      <c r="F22" s="66"/>
      <c r="G22" s="66"/>
    </row>
    <row r="23" spans="1:25" ht="15">
      <c r="A23" s="62" t="str">
        <f>пр.хода!A40</f>
        <v>Гл. секретарь, судья ВК</v>
      </c>
      <c r="B23" s="63"/>
      <c r="C23" s="64"/>
      <c r="D23" s="66"/>
      <c r="E23" s="66"/>
      <c r="F23" s="243" t="str">
        <f>G23</f>
        <v>А.С.Тимошин</v>
      </c>
      <c r="G23" s="85" t="str">
        <f>пр.хода!J40</f>
        <v>А.С.Тимошин</v>
      </c>
    </row>
    <row r="24" spans="1:25" ht="12.75" customHeight="1">
      <c r="A24" s="63"/>
      <c r="B24" s="63"/>
      <c r="C24" s="63"/>
      <c r="D24" s="66"/>
      <c r="E24" s="66"/>
      <c r="F24" s="66" t="str">
        <f>G24</f>
        <v>/Рыбинск/</v>
      </c>
      <c r="G24" s="189" t="str">
        <f>пр.хода!N40</f>
        <v>/Рыбинск/</v>
      </c>
      <c r="H24" s="5"/>
    </row>
    <row r="25" spans="1:25">
      <c r="D25" s="4"/>
      <c r="E25" s="4"/>
      <c r="F25" s="4"/>
      <c r="G25" s="4"/>
    </row>
    <row r="26" spans="1:25" ht="12.75" customHeight="1">
      <c r="D26" s="4"/>
      <c r="E26" s="4"/>
      <c r="F26" s="4"/>
      <c r="G26" s="4"/>
    </row>
    <row r="27" spans="1:25">
      <c r="D27" s="4"/>
      <c r="E27" s="4"/>
      <c r="F27" s="4"/>
      <c r="G27" s="4"/>
    </row>
    <row r="28" spans="1:25" ht="12.75" customHeight="1">
      <c r="D28" s="4"/>
      <c r="E28" s="4"/>
      <c r="F28" s="4"/>
      <c r="G28" s="4"/>
    </row>
    <row r="29" spans="1:25">
      <c r="D29" s="4"/>
      <c r="E29" s="4"/>
      <c r="F29" s="4"/>
      <c r="G29" s="4"/>
    </row>
    <row r="30" spans="1:25" ht="12.75" customHeight="1">
      <c r="D30" s="4"/>
      <c r="E30" s="4"/>
      <c r="F30" s="4"/>
      <c r="G30" s="4"/>
    </row>
    <row r="31" spans="1:25">
      <c r="D31" s="4"/>
      <c r="E31" s="4"/>
      <c r="F31" s="4"/>
      <c r="G31" s="4"/>
    </row>
    <row r="32" spans="1:25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>
      <c r="D34" s="4"/>
      <c r="E34" s="4"/>
      <c r="F34" s="4"/>
      <c r="G34" s="4"/>
    </row>
  </sheetData>
  <mergeCells count="40">
    <mergeCell ref="I4:I5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K8:K9"/>
    <mergeCell ref="L8:L9"/>
    <mergeCell ref="K10:K11"/>
    <mergeCell ref="L10:L11"/>
    <mergeCell ref="K6:K7"/>
    <mergeCell ref="L6:L7"/>
    <mergeCell ref="K12:K13"/>
    <mergeCell ref="L12:L13"/>
    <mergeCell ref="K14:K15"/>
    <mergeCell ref="L14:L15"/>
    <mergeCell ref="K16:K17"/>
    <mergeCell ref="L16:L17"/>
    <mergeCell ref="O4:R4"/>
    <mergeCell ref="T4:T5"/>
    <mergeCell ref="U4:U5"/>
    <mergeCell ref="V4:Y4"/>
    <mergeCell ref="K4:K5"/>
    <mergeCell ref="L4:L5"/>
    <mergeCell ref="M4:M5"/>
    <mergeCell ref="N4:N5"/>
    <mergeCell ref="AM4:AP4"/>
    <mergeCell ref="U2:Y2"/>
    <mergeCell ref="AD4:AD5"/>
    <mergeCell ref="AE4:AE5"/>
    <mergeCell ref="AF4:AI4"/>
    <mergeCell ref="AK4:AK5"/>
    <mergeCell ref="AL4:AL5"/>
  </mergeCells>
  <phoneticPr fontId="0" type="noConversion"/>
  <conditionalFormatting sqref="G6:G17">
    <cfRule type="cellIs" dxfId="1" priority="2" operator="equal">
      <formula>0</formula>
    </cfRule>
  </conditionalFormatting>
  <conditionalFormatting sqref="F6:F17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7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18" t="str">
        <f>пр.взв!B2</f>
        <v>Всероссийские соревнования по спортивному и боевому самбо среди мужчин на призы УФСИН России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44"/>
      <c r="M1" s="44"/>
      <c r="N1" s="44"/>
      <c r="O1" s="44"/>
      <c r="P1" s="44"/>
    </row>
    <row r="2" spans="1:19" ht="12.75" customHeight="1">
      <c r="A2" s="519" t="str">
        <f>пр.взв!A3</f>
        <v>20-22 апреля 2019 г           г.Тверь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В.к.82б кг.</v>
      </c>
      <c r="G3" s="46"/>
      <c r="H3" s="46"/>
      <c r="I3" s="46"/>
      <c r="J3" s="46"/>
      <c r="K3" s="46"/>
      <c r="L3" s="46"/>
    </row>
    <row r="4" spans="1:19" ht="16.5" thickBot="1">
      <c r="A4" s="520" t="s">
        <v>0</v>
      </c>
      <c r="B4" s="520"/>
      <c r="C4" s="5"/>
    </row>
    <row r="5" spans="1:19" ht="12.75" customHeight="1" thickBot="1">
      <c r="A5" s="517">
        <v>1</v>
      </c>
      <c r="B5" s="502" t="str">
        <f>VLOOKUP(A5,пр.взв!B5:C22,2,FALSE)</f>
        <v>Цупров Максим Русланович</v>
      </c>
      <c r="C5" s="515" t="str">
        <f>VLOOKUP(A5,пр.взв!B5:F22,3,FALSE)</f>
        <v>01.09.99, кмс</v>
      </c>
      <c r="D5" s="502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04"/>
      <c r="B6" s="514"/>
      <c r="C6" s="516"/>
      <c r="D6" s="514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04">
        <v>9</v>
      </c>
      <c r="B7" s="508" t="str">
        <f>VLOOKUP(A7,пр.взв!B7:C22,2,FALSE)</f>
        <v>Рочев Антон Александрович</v>
      </c>
      <c r="C7" s="510" t="str">
        <f>VLOOKUP(A7,пр.взв!B5:F22,3,FALSE)</f>
        <v>26.02.90, кмс</v>
      </c>
      <c r="D7" s="503" t="str">
        <f>VLOOKUP(A7,пр.взв!B1:G22,5,FALSE)</f>
        <v>Кировская, Киров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05"/>
      <c r="B8" s="509"/>
      <c r="C8" s="511"/>
      <c r="D8" s="509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17">
        <v>5</v>
      </c>
      <c r="B9" s="502" t="str">
        <f>VLOOKUP(A9,пр.взв!B9:C22,2,FALSE)</f>
        <v>Жарков Денис Сергееич</v>
      </c>
      <c r="C9" s="515" t="str">
        <f>VLOOKUP(A9,пр.взв!B5:E22,3,FALSE)</f>
        <v>04.12.95, кмс</v>
      </c>
      <c r="D9" s="502" t="str">
        <f>VLOOKUP(A9,пр.взв!B3:G22,5,FALSE)</f>
        <v>Ярославская, Углич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04"/>
      <c r="B10" s="514"/>
      <c r="C10" s="516"/>
      <c r="D10" s="514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04">
        <v>13</v>
      </c>
      <c r="B11" s="508" t="e">
        <f>VLOOKUP(A11,пр.взв!B5:C22,2,FALSE)</f>
        <v>#N/A</v>
      </c>
      <c r="C11" s="510" t="e">
        <f>VLOOKUP(A11,пр.взв!B5:E22,3,FALSE)</f>
        <v>#N/A</v>
      </c>
      <c r="D11" s="503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05"/>
      <c r="B12" s="509"/>
      <c r="C12" s="511"/>
      <c r="D12" s="509"/>
      <c r="E12" s="17"/>
      <c r="F12" s="513"/>
      <c r="G12" s="513"/>
      <c r="H12" s="25"/>
      <c r="I12" s="19"/>
      <c r="J12" s="13"/>
      <c r="K12" s="13"/>
      <c r="L12" s="13"/>
    </row>
    <row r="13" spans="1:19" ht="12.75" customHeight="1" thickBot="1">
      <c r="A13" s="517">
        <v>3</v>
      </c>
      <c r="B13" s="502" t="str">
        <f>VLOOKUP(A13,пр.взв!B5:C22,2,FALSE)</f>
        <v>Арцыбашев Иван Сергеевич</v>
      </c>
      <c r="C13" s="515" t="str">
        <f>VLOOKUP(A13,пр.взв!B5:E22,3,FALSE)</f>
        <v>26.09.95, кмс</v>
      </c>
      <c r="D13" s="502" t="str">
        <f>VLOOKUP(A13,пр.взв!B7:G22,5,FALSE)</f>
        <v>Тверская, Тверь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04"/>
      <c r="B14" s="514"/>
      <c r="C14" s="516"/>
      <c r="D14" s="514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04">
        <v>11</v>
      </c>
      <c r="B15" s="508" t="str">
        <f>VLOOKUP(A15,пр.взв!B15:C22,2,FALSE)</f>
        <v>Петросян Карен Агаронович</v>
      </c>
      <c r="C15" s="510" t="str">
        <f>VLOOKUP(A15,пр.взв!B5:E22,3,FALSE)</f>
        <v>20.03.01, кмс</v>
      </c>
      <c r="D15" s="503" t="str">
        <f>VLOOKUP(A15,пр.взв!B9:G22,5,FALSE)</f>
        <v>Тверская, Тверь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05"/>
      <c r="B16" s="509"/>
      <c r="C16" s="511"/>
      <c r="D16" s="509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17">
        <v>7</v>
      </c>
      <c r="B17" s="502" t="str">
        <f>VLOOKUP(A17,пр.взв!B9:C22,2,FALSE)</f>
        <v>Саламатников Александр Николаевич</v>
      </c>
      <c r="C17" s="515" t="str">
        <f>VLOOKUP(A17,пр.взв!B5:E22,3,FALSE)</f>
        <v>19.03.93, мс</v>
      </c>
      <c r="D17" s="502" t="str">
        <f>VLOOKUP(A17,пр.взв!B11:G22,5,FALSE)</f>
        <v>Москва, ГБУ СШ "Битца"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04"/>
      <c r="B18" s="514"/>
      <c r="C18" s="516"/>
      <c r="D18" s="514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04">
        <v>15</v>
      </c>
      <c r="B19" s="508" t="e">
        <f>VLOOKUP(A19,пр.взв!B19:C22,2,FALSE)</f>
        <v>#N/A</v>
      </c>
      <c r="C19" s="510" t="e">
        <f>VLOOKUP(A19,пр.взв!B5:E22,3,FALSE)</f>
        <v>#N/A</v>
      </c>
      <c r="D19" s="503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05"/>
      <c r="B20" s="509"/>
      <c r="C20" s="511"/>
      <c r="D20" s="509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17">
        <v>2</v>
      </c>
      <c r="B22" s="502" t="str">
        <f>VLOOKUP(A22,пр.взв!B7:E22,2,FALSE)</f>
        <v>Золотцев Максим Русланович</v>
      </c>
      <c r="C22" s="515" t="str">
        <f>VLOOKUP(A22,пр.взв!B7:E22,3,FALSE)</f>
        <v>16.12.98, кмс</v>
      </c>
      <c r="D22" s="502" t="str">
        <f>пр.взв!F9</f>
        <v>Тверская, Тверь</v>
      </c>
      <c r="E22" s="12"/>
      <c r="F22" s="13"/>
      <c r="G22" s="13"/>
      <c r="H22" s="13"/>
      <c r="I22" s="13"/>
      <c r="J22" s="4"/>
      <c r="K22" s="16"/>
    </row>
    <row r="23" spans="1:13" ht="15.75">
      <c r="A23" s="504"/>
      <c r="B23" s="514"/>
      <c r="C23" s="516"/>
      <c r="D23" s="503"/>
      <c r="E23" s="88"/>
      <c r="F23" s="15"/>
      <c r="G23" s="15"/>
      <c r="H23" s="13"/>
      <c r="I23" s="13"/>
      <c r="J23" s="4"/>
      <c r="K23" s="31"/>
    </row>
    <row r="24" spans="1:13" ht="16.5" thickBot="1">
      <c r="A24" s="504">
        <v>10</v>
      </c>
      <c r="B24" s="508" t="str">
        <f>VLOOKUP(A24,пр.взв!B7:E22,2,FALSE)</f>
        <v>Магомедханов Самур Исламович</v>
      </c>
      <c r="C24" s="510" t="str">
        <f>VLOOKUP(A24,пр.взв!B7:E22,3,FALSE)</f>
        <v>06.01.00, кмс</v>
      </c>
      <c r="D24" s="503" t="str">
        <f>VLOOKUP(A24,пр.взв!B8:G22,5,FALSE)</f>
        <v>Вологодская, Вологда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05"/>
      <c r="B25" s="509"/>
      <c r="C25" s="511"/>
      <c r="D25" s="512"/>
      <c r="E25" s="17"/>
      <c r="F25" s="21"/>
      <c r="G25" s="19"/>
      <c r="H25" s="13"/>
      <c r="I25" s="13"/>
      <c r="J25" s="4"/>
      <c r="K25" s="31"/>
    </row>
    <row r="26" spans="1:13" ht="16.5" thickBot="1">
      <c r="A26" s="517">
        <v>6</v>
      </c>
      <c r="B26" s="502" t="str">
        <f>VLOOKUP(A26,пр.взв!B7:E22,2,FALSE)</f>
        <v>Алешкин Илья Сергеевич</v>
      </c>
      <c r="C26" s="515" t="str">
        <f>VLOOKUP(A26,пр.взв!B7:E22,3,FALSE)</f>
        <v>07.05.97, кмс</v>
      </c>
      <c r="D26" s="502" t="str">
        <f>VLOOKUP(A26,пр.взв!B2:G22,5,FALSE)</f>
        <v>Москва, МГФСО</v>
      </c>
      <c r="E26" s="12"/>
      <c r="F26" s="21"/>
      <c r="G26" s="16"/>
      <c r="H26" s="26"/>
      <c r="I26" s="13"/>
      <c r="J26" s="4"/>
      <c r="K26" s="31"/>
    </row>
    <row r="27" spans="1:13" ht="15.75">
      <c r="A27" s="504"/>
      <c r="B27" s="514"/>
      <c r="C27" s="516"/>
      <c r="D27" s="503"/>
      <c r="E27" s="88"/>
      <c r="F27" s="24"/>
      <c r="G27" s="15"/>
      <c r="H27" s="25"/>
      <c r="I27" s="13"/>
      <c r="J27" s="4"/>
      <c r="K27" s="31"/>
    </row>
    <row r="28" spans="1:13" ht="16.5" thickBot="1">
      <c r="A28" s="504">
        <v>14</v>
      </c>
      <c r="B28" s="508" t="e">
        <f>VLOOKUP(A28,пр.взв!B7:E22,2,FALSE)</f>
        <v>#N/A</v>
      </c>
      <c r="C28" s="510" t="e">
        <f>VLOOKUP(A28,пр.взв!B7:E22,3,FALSE)</f>
        <v>#N/A</v>
      </c>
      <c r="D28" s="503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05"/>
      <c r="B29" s="509"/>
      <c r="C29" s="511"/>
      <c r="D29" s="512"/>
      <c r="E29" s="17"/>
      <c r="F29" s="513"/>
      <c r="G29" s="513"/>
      <c r="H29" s="25"/>
      <c r="I29" s="19"/>
      <c r="J29" s="3"/>
      <c r="K29" s="30"/>
    </row>
    <row r="30" spans="1:13" ht="16.5" thickBot="1">
      <c r="A30" s="517">
        <v>4</v>
      </c>
      <c r="B30" s="502" t="str">
        <f>VLOOKUP(A30,пр.взв!B7:E22,2,FALSE)</f>
        <v>Косилов Даниил Эдуардович</v>
      </c>
      <c r="C30" s="515" t="str">
        <f>VLOOKUP(A30,пр.взв!B7:E22,3,FALSE)</f>
        <v>08.02.95, кмс</v>
      </c>
      <c r="D30" s="502" t="str">
        <f>VLOOKUP(A30,пр.взв!B6:G22,5,FALSE)</f>
        <v>Ярославская, Ярославль</v>
      </c>
      <c r="E30" s="12"/>
      <c r="F30" s="15"/>
      <c r="G30" s="15"/>
      <c r="H30" s="25"/>
      <c r="I30" s="16"/>
    </row>
    <row r="31" spans="1:13" ht="15.75">
      <c r="A31" s="504"/>
      <c r="B31" s="514"/>
      <c r="C31" s="516"/>
      <c r="D31" s="503"/>
      <c r="E31" s="88"/>
      <c r="F31" s="15"/>
      <c r="G31" s="15"/>
      <c r="H31" s="25"/>
      <c r="I31" s="13"/>
    </row>
    <row r="32" spans="1:13" ht="16.5" thickBot="1">
      <c r="A32" s="504">
        <v>12</v>
      </c>
      <c r="B32" s="508" t="str">
        <f>VLOOKUP(A32,пр.взв!B7:E22,2,FALSE)</f>
        <v>Щеголев Денис Юрьевич</v>
      </c>
      <c r="C32" s="510" t="str">
        <f>VLOOKUP(A32,пр.взв!B7:E22,3,FALSE)</f>
        <v>01.01.93, кмс</v>
      </c>
      <c r="D32" s="503" t="str">
        <f>VLOOKUP(A32,пр.взв!B8:G22,5,FALSE)</f>
        <v>Тверская, Тверь</v>
      </c>
      <c r="E32" s="89"/>
      <c r="F32" s="20"/>
      <c r="G32" s="15"/>
      <c r="H32" s="25"/>
      <c r="I32" s="13"/>
    </row>
    <row r="33" spans="1:13" ht="16.5" thickBot="1">
      <c r="A33" s="505"/>
      <c r="B33" s="509"/>
      <c r="C33" s="511"/>
      <c r="D33" s="512"/>
      <c r="E33" s="17"/>
      <c r="F33" s="21"/>
      <c r="G33" s="19"/>
      <c r="H33" s="27"/>
      <c r="I33" s="13"/>
    </row>
    <row r="34" spans="1:13" ht="16.5" thickBot="1">
      <c r="A34" s="517">
        <v>8</v>
      </c>
      <c r="B34" s="502" t="str">
        <f>VLOOKUP(A34,пр.взв!B7:E22,2,FALSE)</f>
        <v>Блинов Антон Андреевич</v>
      </c>
      <c r="C34" s="515" t="str">
        <f>VLOOKUP(A34,пр.взв!B7:E22,3,FALSE)</f>
        <v>22.09.90, кмс</v>
      </c>
      <c r="D34" s="502" t="str">
        <f>VLOOKUP(A34,пр.взв!B10:G22,5,FALSE)</f>
        <v>Кировская, Киров</v>
      </c>
      <c r="E34" s="12"/>
      <c r="F34" s="22"/>
      <c r="G34" s="16"/>
      <c r="H34" s="10"/>
      <c r="I34" s="10"/>
    </row>
    <row r="35" spans="1:13" ht="15.75">
      <c r="A35" s="504"/>
      <c r="B35" s="514"/>
      <c r="C35" s="516"/>
      <c r="D35" s="503"/>
      <c r="E35" s="88"/>
      <c r="F35" s="23"/>
      <c r="G35" s="17"/>
      <c r="H35" s="18"/>
      <c r="I35" s="18"/>
    </row>
    <row r="36" spans="1:13" ht="16.5" thickBot="1">
      <c r="A36" s="504">
        <v>16</v>
      </c>
      <c r="B36" s="508" t="e">
        <f>VLOOKUP(A36,пр.взв!B7:E22,2,FALSE)</f>
        <v>#N/A</v>
      </c>
      <c r="C36" s="510" t="e">
        <f>VLOOKUP(A36,пр.взв!B7:E22,3,FALSE)</f>
        <v>#N/A</v>
      </c>
      <c r="D36" s="503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05"/>
      <c r="B37" s="509"/>
      <c r="C37" s="511"/>
      <c r="D37" s="512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06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06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07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07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  <pageSetUpPr fitToPage="1"/>
  </sheetPr>
  <dimension ref="A1:J44"/>
  <sheetViews>
    <sheetView topLeftCell="A18" workbookViewId="0">
      <selection sqref="A1:H37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39" t="str">
        <f>пр.взв!B2</f>
        <v>Всероссийские соревнования по спортивному и боевому самбо среди мужчин на призы УФСИН России</v>
      </c>
      <c r="B1" s="540"/>
      <c r="C1" s="540"/>
      <c r="D1" s="540"/>
      <c r="E1" s="540"/>
      <c r="F1" s="540"/>
      <c r="G1" s="540"/>
      <c r="H1" s="541"/>
    </row>
    <row r="2" spans="1:10">
      <c r="A2" s="542" t="str">
        <f>пр.взв!A3</f>
        <v>20-22 апреля 2019 г           г.Тверь</v>
      </c>
      <c r="B2" s="542"/>
      <c r="C2" s="542"/>
      <c r="D2" s="542"/>
      <c r="E2" s="542"/>
      <c r="F2" s="542"/>
      <c r="G2" s="542"/>
      <c r="H2" s="542"/>
    </row>
    <row r="3" spans="1:10" ht="18.75" thickBot="1">
      <c r="A3" s="543" t="s">
        <v>27</v>
      </c>
      <c r="B3" s="543"/>
      <c r="C3" s="543"/>
      <c r="D3" s="543"/>
      <c r="E3" s="543"/>
      <c r="F3" s="543"/>
      <c r="G3" s="543"/>
      <c r="H3" s="543"/>
    </row>
    <row r="4" spans="1:10" ht="18.75" thickBot="1">
      <c r="B4" s="70"/>
      <c r="C4" s="71"/>
      <c r="D4" s="544" t="str">
        <f>HYPERLINK(пр.взв!D4)</f>
        <v>В.к.82б кг.</v>
      </c>
      <c r="E4" s="545"/>
      <c r="F4" s="546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47" t="s">
        <v>28</v>
      </c>
      <c r="B6" s="530" t="str">
        <f>VLOOKUP(J6,пр.взв!B7:G22,2,FALSE)</f>
        <v>Саламатников Александр Николаевич</v>
      </c>
      <c r="C6" s="530"/>
      <c r="D6" s="530"/>
      <c r="E6" s="530"/>
      <c r="F6" s="530"/>
      <c r="G6" s="530"/>
      <c r="H6" s="532" t="str">
        <f>VLOOKUP(J6,пр.взв!B7:G22,3,FALSE)</f>
        <v>19.03.93, мс</v>
      </c>
      <c r="I6" s="71"/>
      <c r="J6" s="69">
        <f>пр.хода!H8</f>
        <v>7</v>
      </c>
    </row>
    <row r="7" spans="1:10" ht="18">
      <c r="A7" s="548"/>
      <c r="B7" s="531"/>
      <c r="C7" s="531"/>
      <c r="D7" s="531"/>
      <c r="E7" s="531"/>
      <c r="F7" s="531"/>
      <c r="G7" s="531"/>
      <c r="H7" s="533"/>
      <c r="I7" s="71"/>
      <c r="J7" s="69"/>
    </row>
    <row r="8" spans="1:10" ht="18">
      <c r="A8" s="548"/>
      <c r="B8" s="537" t="str">
        <f>VLOOKUP(J6,пр.взв!B7:G22,4,FALSE)</f>
        <v>М</v>
      </c>
      <c r="C8" s="537"/>
      <c r="D8" s="537" t="str">
        <f>VLOOKUP(J6,пр.взв!B7:G22,5,FALSE)</f>
        <v>Москва, ГБУ СШ "Битца"</v>
      </c>
      <c r="E8" s="537"/>
      <c r="F8" s="537"/>
      <c r="G8" s="537"/>
      <c r="H8" s="538"/>
      <c r="I8" s="71"/>
      <c r="J8" s="69"/>
    </row>
    <row r="9" spans="1:10" ht="18.75" thickBot="1">
      <c r="A9" s="549"/>
      <c r="B9" s="525"/>
      <c r="C9" s="525"/>
      <c r="D9" s="525"/>
      <c r="E9" s="525"/>
      <c r="F9" s="525"/>
      <c r="G9" s="525"/>
      <c r="H9" s="526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34" t="s">
        <v>29</v>
      </c>
      <c r="B11" s="530" t="str">
        <f>VLOOKUP(J11,пр.взв!B2:G22,2,FALSE)</f>
        <v>Алешкин Илья Сергеевич</v>
      </c>
      <c r="C11" s="530"/>
      <c r="D11" s="530"/>
      <c r="E11" s="530"/>
      <c r="F11" s="530"/>
      <c r="G11" s="530"/>
      <c r="H11" s="532" t="str">
        <f>VLOOKUP(J11,пр.взв!B2:G22,3,FALSE)</f>
        <v>07.05.97, кмс</v>
      </c>
      <c r="I11" s="71"/>
      <c r="J11" s="69">
        <f>пр.хода!H20</f>
        <v>6</v>
      </c>
    </row>
    <row r="12" spans="1:10" ht="18" customHeight="1">
      <c r="A12" s="535"/>
      <c r="B12" s="531"/>
      <c r="C12" s="531"/>
      <c r="D12" s="531"/>
      <c r="E12" s="531"/>
      <c r="F12" s="531"/>
      <c r="G12" s="531"/>
      <c r="H12" s="533"/>
      <c r="I12" s="71"/>
      <c r="J12" s="69"/>
    </row>
    <row r="13" spans="1:10" ht="18">
      <c r="A13" s="535"/>
      <c r="B13" s="537" t="str">
        <f>VLOOKUP(J11,пр.взв!B2:G22,4,FALSE)</f>
        <v>М</v>
      </c>
      <c r="C13" s="537"/>
      <c r="D13" s="537" t="str">
        <f>VLOOKUP(J11,пр.взв!B2:G22,5,FALSE)</f>
        <v>Москва, МГФСО</v>
      </c>
      <c r="E13" s="537"/>
      <c r="F13" s="537"/>
      <c r="G13" s="537"/>
      <c r="H13" s="538"/>
      <c r="I13" s="71"/>
      <c r="J13" s="69"/>
    </row>
    <row r="14" spans="1:10" ht="18.75" thickBot="1">
      <c r="A14" s="536"/>
      <c r="B14" s="525"/>
      <c r="C14" s="525"/>
      <c r="D14" s="525"/>
      <c r="E14" s="525"/>
      <c r="F14" s="525"/>
      <c r="G14" s="525"/>
      <c r="H14" s="526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27" t="s">
        <v>30</v>
      </c>
      <c r="B16" s="530" t="str">
        <f>VLOOKUP(J16,пр.взв!B4:G33,2,FALSE)</f>
        <v>Косилов Даниил Эдуардович</v>
      </c>
      <c r="C16" s="530"/>
      <c r="D16" s="530"/>
      <c r="E16" s="530"/>
      <c r="F16" s="530"/>
      <c r="G16" s="530"/>
      <c r="H16" s="532" t="str">
        <f>VLOOKUP(J16,пр.взв!B4:G43,3,FALSE)</f>
        <v>08.02.95, кмс</v>
      </c>
      <c r="I16" s="71"/>
      <c r="J16" s="69">
        <f>пр.хода!E32</f>
        <v>4</v>
      </c>
    </row>
    <row r="17" spans="1:10" ht="18" customHeight="1">
      <c r="A17" s="528"/>
      <c r="B17" s="531"/>
      <c r="C17" s="531"/>
      <c r="D17" s="531"/>
      <c r="E17" s="531"/>
      <c r="F17" s="531"/>
      <c r="G17" s="531"/>
      <c r="H17" s="533"/>
      <c r="I17" s="71"/>
      <c r="J17" s="69"/>
    </row>
    <row r="18" spans="1:10" ht="18">
      <c r="A18" s="528"/>
      <c r="B18" s="537" t="str">
        <f>VLOOKUP(J16,пр.взв!B7:G22,4,FALSE)</f>
        <v>ЦФО</v>
      </c>
      <c r="C18" s="537"/>
      <c r="D18" s="537" t="str">
        <f>VLOOKUP(J16,пр.взв!B7:G22,5,FALSE)</f>
        <v>Ярославская, Ярославль</v>
      </c>
      <c r="E18" s="537"/>
      <c r="F18" s="537"/>
      <c r="G18" s="537"/>
      <c r="H18" s="538"/>
      <c r="I18" s="71"/>
      <c r="J18" s="69"/>
    </row>
    <row r="19" spans="1:10" ht="18.75" thickBot="1">
      <c r="A19" s="529"/>
      <c r="B19" s="525"/>
      <c r="C19" s="525"/>
      <c r="D19" s="525"/>
      <c r="E19" s="525"/>
      <c r="F19" s="525"/>
      <c r="G19" s="525"/>
      <c r="H19" s="526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27" t="s">
        <v>30</v>
      </c>
      <c r="B21" s="530" t="str">
        <f>VLOOKUP(J21,пр.взв!B2:G22,2,FALSE)</f>
        <v>Магомедханов Самур Исламович</v>
      </c>
      <c r="C21" s="530"/>
      <c r="D21" s="530"/>
      <c r="E21" s="530"/>
      <c r="F21" s="530"/>
      <c r="G21" s="530"/>
      <c r="H21" s="532" t="str">
        <f>VLOOKUP(J21,пр.взв!B3:G38,3,FALSE)</f>
        <v>06.01.00, кмс</v>
      </c>
      <c r="I21" s="71"/>
      <c r="J21" s="69">
        <f>пр.хода!Q32</f>
        <v>10</v>
      </c>
    </row>
    <row r="22" spans="1:10" ht="18" customHeight="1">
      <c r="A22" s="528"/>
      <c r="B22" s="531"/>
      <c r="C22" s="531"/>
      <c r="D22" s="531"/>
      <c r="E22" s="531"/>
      <c r="F22" s="531"/>
      <c r="G22" s="531"/>
      <c r="H22" s="533"/>
      <c r="I22" s="71"/>
      <c r="J22" s="69"/>
    </row>
    <row r="23" spans="1:10" ht="18">
      <c r="A23" s="528"/>
      <c r="B23" s="537" t="str">
        <f>VLOOKUP(J21,пр.взв!B6:G22,4,FALSE)</f>
        <v>СЗФО</v>
      </c>
      <c r="C23" s="537"/>
      <c r="D23" s="537" t="str">
        <f>VLOOKUP(J21,пр.взв!B6:G22,5,FALSE)</f>
        <v>Вологодская, Вологда</v>
      </c>
      <c r="E23" s="537"/>
      <c r="F23" s="537"/>
      <c r="G23" s="537"/>
      <c r="H23" s="538"/>
      <c r="I23" s="71"/>
    </row>
    <row r="24" spans="1:10" ht="18.75" thickBot="1">
      <c r="A24" s="529"/>
      <c r="B24" s="525"/>
      <c r="C24" s="525"/>
      <c r="D24" s="525"/>
      <c r="E24" s="525"/>
      <c r="F24" s="525"/>
      <c r="G24" s="525"/>
      <c r="H24" s="526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21" t="str">
        <f>VLOOKUP(J28,пр.взв!B7:H22,7,FALSE)</f>
        <v>Попов ДВ</v>
      </c>
      <c r="B28" s="522"/>
      <c r="C28" s="522"/>
      <c r="D28" s="522"/>
      <c r="E28" s="522"/>
      <c r="F28" s="522"/>
      <c r="G28" s="522"/>
      <c r="H28" s="523"/>
      <c r="J28">
        <f>пр.хода!H8</f>
        <v>7</v>
      </c>
    </row>
    <row r="29" spans="1:10" ht="13.5" thickBot="1">
      <c r="A29" s="524"/>
      <c r="B29" s="525"/>
      <c r="C29" s="525"/>
      <c r="D29" s="525"/>
      <c r="E29" s="525"/>
      <c r="F29" s="525"/>
      <c r="G29" s="525"/>
      <c r="H29" s="526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2019-04-21T15:44:45Z</cp:lastPrinted>
  <dcterms:created xsi:type="dcterms:W3CDTF">1996-10-08T23:32:33Z</dcterms:created>
  <dcterms:modified xsi:type="dcterms:W3CDTF">2019-04-22T09:42:28Z</dcterms:modified>
</cp:coreProperties>
</file>