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С на призы УФСИН Тверь 2019\Спортивное\"/>
    </mc:Choice>
  </mc:AlternateContent>
  <bookViews>
    <workbookView xWindow="0" yWindow="0" windowWidth="20490" windowHeight="7065" activeTab="4"/>
  </bookViews>
  <sheets>
    <sheet name="пр.взв" sheetId="2" r:id="rId1"/>
    <sheet name="пр.хода" sheetId="3" r:id="rId2"/>
    <sheet name="круги" sheetId="7" r:id="rId3"/>
    <sheet name="медали" sheetId="5" r:id="rId4"/>
    <sheet name="Ит.пр" sheetId="1" r:id="rId5"/>
    <sheet name="наградной лист" sheetId="6" r:id="rId6"/>
    <sheet name="Стартовый" sheetId="4" r:id="rId7"/>
  </sheets>
  <externalReferences>
    <externalReference r:id="rId8"/>
  </externalReferences>
  <definedNames>
    <definedName name="разряд">пр.взв!$K$7:$K$38</definedName>
    <definedName name="субъект">пр.взв!$L$7:$L$38</definedName>
  </definedNames>
  <calcPr calcId="162913"/>
</workbook>
</file>

<file path=xl/calcChain.xml><?xml version="1.0" encoding="utf-8"?>
<calcChain xmlns="http://schemas.openxmlformats.org/spreadsheetml/2006/main">
  <c r="A2" i="6" l="1"/>
  <c r="A1" i="6"/>
  <c r="B3" i="1"/>
  <c r="D2" i="1"/>
  <c r="F43" i="3"/>
  <c r="F42" i="3"/>
  <c r="F41" i="3"/>
  <c r="F40" i="3"/>
  <c r="A42" i="3"/>
  <c r="A40" i="3"/>
  <c r="F4" i="3"/>
  <c r="C3" i="3"/>
  <c r="A3" i="2"/>
  <c r="A2" i="2"/>
  <c r="J37" i="1" l="1"/>
  <c r="J31" i="1"/>
  <c r="J32" i="1"/>
  <c r="J33" i="1"/>
  <c r="J34" i="1"/>
  <c r="J35" i="1"/>
  <c r="J36" i="1"/>
  <c r="J22" i="1"/>
  <c r="J23" i="1"/>
  <c r="J24" i="1"/>
  <c r="J25" i="1"/>
  <c r="J26" i="1"/>
  <c r="J27" i="1"/>
  <c r="J28" i="1"/>
  <c r="J29" i="1"/>
  <c r="J30" i="1"/>
  <c r="J13" i="1"/>
  <c r="J14" i="1"/>
  <c r="J15" i="1"/>
  <c r="J16" i="1"/>
  <c r="J17" i="1"/>
  <c r="J18" i="1"/>
  <c r="J19" i="1"/>
  <c r="J20" i="1"/>
  <c r="J21" i="1"/>
  <c r="J7" i="1"/>
  <c r="J8" i="1"/>
  <c r="J9" i="1"/>
  <c r="J10" i="1"/>
  <c r="J11" i="1"/>
  <c r="J12" i="1"/>
  <c r="J6" i="1"/>
  <c r="L104" i="7" l="1"/>
  <c r="B104" i="7"/>
  <c r="E2" i="7"/>
  <c r="O2" i="7" s="1"/>
  <c r="L2" i="7" l="1"/>
  <c r="L38" i="7" s="1"/>
  <c r="L58" i="7" s="1"/>
  <c r="L70" i="7" s="1"/>
  <c r="L78" i="7" s="1"/>
  <c r="B38" i="7"/>
  <c r="B58" i="7" s="1"/>
  <c r="B70" i="7" s="1"/>
  <c r="B78" i="7" s="1"/>
  <c r="L91" i="7" l="1"/>
  <c r="B91" i="7"/>
  <c r="K35" i="4"/>
  <c r="J35" i="4"/>
  <c r="I35" i="4"/>
  <c r="D35" i="4"/>
  <c r="C35" i="4"/>
  <c r="B35" i="4"/>
  <c r="K33" i="4"/>
  <c r="J33" i="4"/>
  <c r="I33" i="4"/>
  <c r="D33" i="4"/>
  <c r="C33" i="4"/>
  <c r="B33" i="4"/>
  <c r="K31" i="4"/>
  <c r="J31" i="4"/>
  <c r="I31" i="4"/>
  <c r="D31" i="4"/>
  <c r="C31" i="4"/>
  <c r="B31" i="4"/>
  <c r="K29" i="4"/>
  <c r="J29" i="4"/>
  <c r="I29" i="4"/>
  <c r="D29" i="4"/>
  <c r="C29" i="4"/>
  <c r="B29" i="4"/>
  <c r="K27" i="4"/>
  <c r="J27" i="4"/>
  <c r="I27" i="4"/>
  <c r="D27" i="4"/>
  <c r="C27" i="4"/>
  <c r="B27" i="4"/>
  <c r="K25" i="4"/>
  <c r="J25" i="4"/>
  <c r="I25" i="4"/>
  <c r="D25" i="4"/>
  <c r="C25" i="4"/>
  <c r="B25" i="4"/>
  <c r="K23" i="4"/>
  <c r="J23" i="4"/>
  <c r="I23" i="4"/>
  <c r="D23" i="4"/>
  <c r="C23" i="4"/>
  <c r="B23" i="4"/>
  <c r="K21" i="4"/>
  <c r="J21" i="4"/>
  <c r="I21" i="4"/>
  <c r="D21" i="4"/>
  <c r="C21" i="4"/>
  <c r="B21" i="4"/>
  <c r="K19" i="4"/>
  <c r="J19" i="4"/>
  <c r="I19" i="4"/>
  <c r="D19" i="4"/>
  <c r="C19" i="4"/>
  <c r="B19" i="4"/>
  <c r="K17" i="4"/>
  <c r="J17" i="4"/>
  <c r="I17" i="4"/>
  <c r="D17" i="4"/>
  <c r="C17" i="4"/>
  <c r="B17" i="4"/>
  <c r="K15" i="4"/>
  <c r="J15" i="4"/>
  <c r="I15" i="4"/>
  <c r="D15" i="4"/>
  <c r="C15" i="4"/>
  <c r="B15" i="4"/>
  <c r="K13" i="4"/>
  <c r="J13" i="4"/>
  <c r="I13" i="4"/>
  <c r="D13" i="4"/>
  <c r="C13" i="4"/>
  <c r="B13" i="4"/>
  <c r="K11" i="4"/>
  <c r="J11" i="4"/>
  <c r="I11" i="4"/>
  <c r="D11" i="4"/>
  <c r="C11" i="4"/>
  <c r="B11" i="4"/>
  <c r="K9" i="4"/>
  <c r="J9" i="4"/>
  <c r="I9" i="4"/>
  <c r="D9" i="4"/>
  <c r="C9" i="4"/>
  <c r="B9" i="4"/>
  <c r="K7" i="4"/>
  <c r="J7" i="4"/>
  <c r="I7" i="4"/>
  <c r="D7" i="4"/>
  <c r="C7" i="4"/>
  <c r="B7" i="4"/>
  <c r="K5" i="4"/>
  <c r="J5" i="4"/>
  <c r="I5" i="4"/>
  <c r="D5" i="4"/>
  <c r="C5" i="4"/>
  <c r="B5" i="4"/>
  <c r="J3" i="4"/>
  <c r="C3" i="4"/>
  <c r="J28" i="6"/>
  <c r="A28" i="6" s="1"/>
  <c r="J21" i="6"/>
  <c r="B21" i="6" s="1"/>
  <c r="J16" i="6"/>
  <c r="H16" i="6" s="1"/>
  <c r="J6" i="6"/>
  <c r="E8" i="6" s="1"/>
  <c r="D4" i="6"/>
  <c r="U12" i="1"/>
  <c r="B6" i="1"/>
  <c r="F6" i="1" s="1"/>
  <c r="K4" i="1" s="1"/>
  <c r="H3" i="1"/>
  <c r="B34" i="5"/>
  <c r="E34" i="5" s="1"/>
  <c r="B32" i="5"/>
  <c r="E32" i="5" s="1"/>
  <c r="E29" i="5"/>
  <c r="B19" i="5"/>
  <c r="E19" i="5" s="1"/>
  <c r="B7" i="5"/>
  <c r="E7" i="5" s="1"/>
  <c r="E2" i="5"/>
  <c r="E16" i="5" s="1"/>
  <c r="L111" i="7"/>
  <c r="N111" i="7" s="1"/>
  <c r="B111" i="7"/>
  <c r="E111" i="7" s="1"/>
  <c r="L109" i="7"/>
  <c r="P109" i="7" s="1"/>
  <c r="B109" i="7"/>
  <c r="F109" i="7" s="1"/>
  <c r="L100" i="7"/>
  <c r="M100" i="7" s="1"/>
  <c r="B100" i="7"/>
  <c r="E100" i="7" s="1"/>
  <c r="L96" i="7"/>
  <c r="P96" i="7" s="1"/>
  <c r="B96" i="7"/>
  <c r="F96" i="7" s="1"/>
  <c r="G80" i="7"/>
  <c r="G93" i="7" s="1"/>
  <c r="G106" i="7" s="1"/>
  <c r="L76" i="7"/>
  <c r="O76" i="7" s="1"/>
  <c r="B76" i="7"/>
  <c r="F76" i="7" s="1"/>
  <c r="L74" i="7"/>
  <c r="P74" i="7" s="1"/>
  <c r="B74" i="7"/>
  <c r="F74" i="7" s="1"/>
  <c r="L68" i="7"/>
  <c r="P68" i="7" s="1"/>
  <c r="B68" i="7"/>
  <c r="F68" i="7" s="1"/>
  <c r="L66" i="7"/>
  <c r="O66" i="7" s="1"/>
  <c r="B66" i="7"/>
  <c r="D66" i="7" s="1"/>
  <c r="L64" i="7"/>
  <c r="O64" i="7" s="1"/>
  <c r="B64" i="7"/>
  <c r="F64" i="7" s="1"/>
  <c r="L62" i="7"/>
  <c r="P62" i="7" s="1"/>
  <c r="B62" i="7"/>
  <c r="F62" i="7" s="1"/>
  <c r="L56" i="7"/>
  <c r="P56" i="7" s="1"/>
  <c r="B56" i="7"/>
  <c r="F56" i="7" s="1"/>
  <c r="L54" i="7"/>
  <c r="O54" i="7" s="1"/>
  <c r="B54" i="7"/>
  <c r="D54" i="7" s="1"/>
  <c r="L52" i="7"/>
  <c r="O52" i="7" s="1"/>
  <c r="B52" i="7"/>
  <c r="F52" i="7" s="1"/>
  <c r="L50" i="7"/>
  <c r="P50" i="7" s="1"/>
  <c r="B50" i="7"/>
  <c r="F50" i="7" s="1"/>
  <c r="L48" i="7"/>
  <c r="P48" i="7" s="1"/>
  <c r="B48" i="7"/>
  <c r="C48" i="7" s="1"/>
  <c r="L46" i="7"/>
  <c r="O46" i="7" s="1"/>
  <c r="B46" i="7"/>
  <c r="D46" i="7" s="1"/>
  <c r="L44" i="7"/>
  <c r="O44" i="7" s="1"/>
  <c r="B44" i="7"/>
  <c r="F44" i="7" s="1"/>
  <c r="L42" i="7"/>
  <c r="P42" i="7" s="1"/>
  <c r="B42" i="7"/>
  <c r="F42" i="7" s="1"/>
  <c r="G39" i="7"/>
  <c r="Q39" i="7" s="1"/>
  <c r="P36" i="7"/>
  <c r="O36" i="7"/>
  <c r="N36" i="7"/>
  <c r="M36" i="7"/>
  <c r="F36" i="7"/>
  <c r="E36" i="7"/>
  <c r="D36" i="7"/>
  <c r="C36" i="7"/>
  <c r="P34" i="7"/>
  <c r="O34" i="7"/>
  <c r="N34" i="7"/>
  <c r="M34" i="7"/>
  <c r="F34" i="7"/>
  <c r="E34" i="7"/>
  <c r="D34" i="7"/>
  <c r="C34" i="7"/>
  <c r="P32" i="7"/>
  <c r="O32" i="7"/>
  <c r="N32" i="7"/>
  <c r="M32" i="7"/>
  <c r="F32" i="7"/>
  <c r="E32" i="7"/>
  <c r="D32" i="7"/>
  <c r="C32" i="7"/>
  <c r="P30" i="7"/>
  <c r="O30" i="7"/>
  <c r="N30" i="7"/>
  <c r="M30" i="7"/>
  <c r="F30" i="7"/>
  <c r="E30" i="7"/>
  <c r="D30" i="7"/>
  <c r="C30" i="7"/>
  <c r="P28" i="7"/>
  <c r="O28" i="7"/>
  <c r="N28" i="7"/>
  <c r="M28" i="7"/>
  <c r="F28" i="7"/>
  <c r="E28" i="7"/>
  <c r="D28" i="7"/>
  <c r="C28" i="7"/>
  <c r="P26" i="7"/>
  <c r="O26" i="7"/>
  <c r="N26" i="7"/>
  <c r="M26" i="7"/>
  <c r="F26" i="7"/>
  <c r="E26" i="7"/>
  <c r="D26" i="7"/>
  <c r="C26" i="7"/>
  <c r="P24" i="7"/>
  <c r="O24" i="7"/>
  <c r="N24" i="7"/>
  <c r="M24" i="7"/>
  <c r="F24" i="7"/>
  <c r="E24" i="7"/>
  <c r="D24" i="7"/>
  <c r="C24" i="7"/>
  <c r="P22" i="7"/>
  <c r="O22" i="7"/>
  <c r="N22" i="7"/>
  <c r="M22" i="7"/>
  <c r="F22" i="7"/>
  <c r="E22" i="7"/>
  <c r="D22" i="7"/>
  <c r="C22" i="7"/>
  <c r="P20" i="7"/>
  <c r="O20" i="7"/>
  <c r="N20" i="7"/>
  <c r="M20" i="7"/>
  <c r="F20" i="7"/>
  <c r="E20" i="7"/>
  <c r="D20" i="7"/>
  <c r="C20" i="7"/>
  <c r="P18" i="7"/>
  <c r="O18" i="7"/>
  <c r="N18" i="7"/>
  <c r="M18" i="7"/>
  <c r="F18" i="7"/>
  <c r="E18" i="7"/>
  <c r="D18" i="7"/>
  <c r="C18" i="7"/>
  <c r="P16" i="7"/>
  <c r="O16" i="7"/>
  <c r="N16" i="7"/>
  <c r="M16" i="7"/>
  <c r="F16" i="7"/>
  <c r="E16" i="7"/>
  <c r="D16" i="7"/>
  <c r="C16" i="7"/>
  <c r="P14" i="7"/>
  <c r="O14" i="7"/>
  <c r="N14" i="7"/>
  <c r="M14" i="7"/>
  <c r="F14" i="7"/>
  <c r="E14" i="7"/>
  <c r="D14" i="7"/>
  <c r="C14" i="7"/>
  <c r="P12" i="7"/>
  <c r="O12" i="7"/>
  <c r="N12" i="7"/>
  <c r="M12" i="7"/>
  <c r="F12" i="7"/>
  <c r="E12" i="7"/>
  <c r="D12" i="7"/>
  <c r="C12" i="7"/>
  <c r="P10" i="7"/>
  <c r="O10" i="7"/>
  <c r="N10" i="7"/>
  <c r="M10" i="7"/>
  <c r="F10" i="7"/>
  <c r="E10" i="7"/>
  <c r="D10" i="7"/>
  <c r="C10" i="7"/>
  <c r="P8" i="7"/>
  <c r="O8" i="7"/>
  <c r="N8" i="7"/>
  <c r="M8" i="7"/>
  <c r="F8" i="7"/>
  <c r="E8" i="7"/>
  <c r="D8" i="7"/>
  <c r="C8" i="7"/>
  <c r="P6" i="7"/>
  <c r="O6" i="7"/>
  <c r="N6" i="7"/>
  <c r="M6" i="7"/>
  <c r="F6" i="7"/>
  <c r="E6" i="7"/>
  <c r="D6" i="7"/>
  <c r="C6" i="7"/>
  <c r="H25" i="1"/>
  <c r="F25" i="1"/>
  <c r="A25" i="1"/>
  <c r="H24" i="1"/>
  <c r="F24" i="1"/>
  <c r="A24" i="1"/>
  <c r="P39" i="3"/>
  <c r="Q40" i="3" s="1"/>
  <c r="W37" i="3"/>
  <c r="V37" i="3"/>
  <c r="U37" i="3"/>
  <c r="D37" i="3"/>
  <c r="C37" i="3"/>
  <c r="B37" i="3"/>
  <c r="W35" i="3"/>
  <c r="V35" i="3"/>
  <c r="U35" i="3"/>
  <c r="D35" i="3"/>
  <c r="C35" i="3"/>
  <c r="B35" i="3"/>
  <c r="W33" i="3"/>
  <c r="V33" i="3"/>
  <c r="U33" i="3"/>
  <c r="D33" i="3"/>
  <c r="C33" i="3"/>
  <c r="B33" i="3"/>
  <c r="W31" i="3"/>
  <c r="V31" i="3"/>
  <c r="U31" i="3"/>
  <c r="D31" i="3"/>
  <c r="C31" i="3"/>
  <c r="B31" i="3"/>
  <c r="AA29" i="3"/>
  <c r="W29" i="3"/>
  <c r="V29" i="3"/>
  <c r="U29" i="3"/>
  <c r="D29" i="3"/>
  <c r="C29" i="3"/>
  <c r="B29" i="3"/>
  <c r="AA28" i="3"/>
  <c r="AC27" i="3"/>
  <c r="AA27" i="3"/>
  <c r="W27" i="3"/>
  <c r="V27" i="3"/>
  <c r="U27" i="3"/>
  <c r="D27" i="3"/>
  <c r="C27" i="3"/>
  <c r="B27" i="3"/>
  <c r="AE26" i="3"/>
  <c r="N41" i="3" s="1"/>
  <c r="AD21" i="3" s="1"/>
  <c r="B11" i="1" s="1"/>
  <c r="F11" i="1" s="1"/>
  <c r="AA26" i="3"/>
  <c r="AE25" i="3"/>
  <c r="L40" i="3" s="1"/>
  <c r="W25" i="3"/>
  <c r="V25" i="3"/>
  <c r="U25" i="3"/>
  <c r="D25" i="3"/>
  <c r="C25" i="3"/>
  <c r="B25" i="3"/>
  <c r="AE24" i="3"/>
  <c r="L36" i="3" s="1"/>
  <c r="AA24" i="3"/>
  <c r="AE23" i="3"/>
  <c r="K39" i="3" s="1"/>
  <c r="L89" i="7" s="1"/>
  <c r="AA23" i="3"/>
  <c r="W23" i="3"/>
  <c r="V23" i="3"/>
  <c r="U23" i="3"/>
  <c r="D23" i="3"/>
  <c r="C23" i="3"/>
  <c r="B23" i="3"/>
  <c r="AE22" i="3"/>
  <c r="K37" i="3" s="1"/>
  <c r="AC22" i="3"/>
  <c r="H23" i="1" s="1"/>
  <c r="AA22" i="3"/>
  <c r="AE21" i="3"/>
  <c r="K35" i="3" s="1"/>
  <c r="L85" i="7" s="1"/>
  <c r="AA21" i="3"/>
  <c r="W21" i="3"/>
  <c r="V21" i="3"/>
  <c r="U21" i="3"/>
  <c r="D21" i="3"/>
  <c r="C21" i="3"/>
  <c r="B21" i="3"/>
  <c r="AE20" i="3"/>
  <c r="K33" i="3" s="1"/>
  <c r="AA19" i="3"/>
  <c r="W19" i="3"/>
  <c r="V19" i="3"/>
  <c r="U19" i="3"/>
  <c r="D19" i="3"/>
  <c r="C19" i="3"/>
  <c r="B19" i="3"/>
  <c r="AD18" i="3"/>
  <c r="B13" i="1" s="1"/>
  <c r="F13" i="1" s="1"/>
  <c r="AA18" i="3"/>
  <c r="K18" i="3"/>
  <c r="AD17" i="3"/>
  <c r="B12" i="1" s="1"/>
  <c r="F12" i="1" s="1"/>
  <c r="AC17" i="3"/>
  <c r="AA17" i="3"/>
  <c r="W17" i="3"/>
  <c r="V17" i="3"/>
  <c r="U17" i="3"/>
  <c r="D17" i="3"/>
  <c r="C17" i="3"/>
  <c r="B17" i="3"/>
  <c r="AA16" i="3"/>
  <c r="W15" i="3"/>
  <c r="V15" i="3"/>
  <c r="U15" i="3"/>
  <c r="D15" i="3"/>
  <c r="C15" i="3"/>
  <c r="B15" i="3"/>
  <c r="AE14" i="3"/>
  <c r="K25" i="3" s="1"/>
  <c r="J11" i="6" s="1"/>
  <c r="AA14" i="3"/>
  <c r="AE13" i="3"/>
  <c r="AA13" i="3"/>
  <c r="W13" i="3"/>
  <c r="V13" i="3"/>
  <c r="U13" i="3"/>
  <c r="D13" i="3"/>
  <c r="C13" i="3"/>
  <c r="B13" i="3"/>
  <c r="AE12" i="3"/>
  <c r="L12" i="3" s="1"/>
  <c r="AD13" i="3" s="1"/>
  <c r="B15" i="1" s="1"/>
  <c r="H15" i="1" s="1"/>
  <c r="AC12" i="3"/>
  <c r="F22" i="1" s="1"/>
  <c r="AA12" i="3"/>
  <c r="AE11" i="3"/>
  <c r="L8" i="3" s="1"/>
  <c r="AD12" i="3" s="1"/>
  <c r="B14" i="1" s="1"/>
  <c r="F14" i="1" s="1"/>
  <c r="AA11" i="3"/>
  <c r="W11" i="3"/>
  <c r="V11" i="3"/>
  <c r="U11" i="3"/>
  <c r="D11" i="3"/>
  <c r="C11" i="3"/>
  <c r="B11" i="3"/>
  <c r="AE10" i="3"/>
  <c r="K11" i="3" s="1"/>
  <c r="B89" i="7" s="1"/>
  <c r="AE9" i="3"/>
  <c r="W9" i="3"/>
  <c r="V9" i="3"/>
  <c r="U9" i="3"/>
  <c r="K9" i="3"/>
  <c r="B87" i="7" s="1"/>
  <c r="D9" i="3"/>
  <c r="C9" i="3"/>
  <c r="B9" i="3"/>
  <c r="AE8" i="3"/>
  <c r="K7" i="3" s="1"/>
  <c r="B85" i="7" s="1"/>
  <c r="AE7" i="3"/>
  <c r="K5" i="3" s="1"/>
  <c r="W7" i="3"/>
  <c r="V7" i="3"/>
  <c r="U7" i="3"/>
  <c r="D7" i="3"/>
  <c r="C7" i="3"/>
  <c r="B7" i="3"/>
  <c r="O6" i="3"/>
  <c r="B8" i="1" s="1"/>
  <c r="F8" i="1" s="1"/>
  <c r="K10" i="1" s="1"/>
  <c r="V4" i="3"/>
  <c r="L38" i="2"/>
  <c r="K38" i="2"/>
  <c r="L37" i="2"/>
  <c r="K37" i="2"/>
  <c r="L36" i="2"/>
  <c r="K36" i="2"/>
  <c r="L35" i="2"/>
  <c r="K35" i="2"/>
  <c r="L34" i="2"/>
  <c r="K34" i="2"/>
  <c r="L33" i="2"/>
  <c r="K33" i="2"/>
  <c r="L32" i="2"/>
  <c r="K32" i="2"/>
  <c r="L31" i="2"/>
  <c r="K31" i="2"/>
  <c r="L30" i="2"/>
  <c r="K30" i="2"/>
  <c r="L29" i="2"/>
  <c r="K29" i="2"/>
  <c r="L28" i="2"/>
  <c r="K28" i="2"/>
  <c r="L27" i="2"/>
  <c r="K27" i="2"/>
  <c r="L26" i="2"/>
  <c r="K26" i="2"/>
  <c r="L25" i="2"/>
  <c r="K25" i="2"/>
  <c r="L24" i="2"/>
  <c r="K24" i="2"/>
  <c r="L23" i="2"/>
  <c r="K23" i="2"/>
  <c r="L22" i="2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A1" i="5"/>
  <c r="B18" i="6" l="1"/>
  <c r="E18" i="6"/>
  <c r="K16" i="1"/>
  <c r="AB18" i="3"/>
  <c r="C32" i="5"/>
  <c r="H6" i="6"/>
  <c r="L87" i="7"/>
  <c r="AD10" i="3"/>
  <c r="E21" i="1" s="1"/>
  <c r="AB28" i="3"/>
  <c r="AB23" i="3"/>
  <c r="AB21" i="3"/>
  <c r="C7" i="5"/>
  <c r="D7" i="5"/>
  <c r="B83" i="7"/>
  <c r="D83" i="7" s="1"/>
  <c r="AD7" i="3"/>
  <c r="B18" i="1" s="1"/>
  <c r="E18" i="1" s="1"/>
  <c r="AB16" i="3"/>
  <c r="AB17" i="3"/>
  <c r="AB12" i="3"/>
  <c r="AB11" i="3"/>
  <c r="AB13" i="3"/>
  <c r="N64" i="7"/>
  <c r="E50" i="7"/>
  <c r="P44" i="7"/>
  <c r="N44" i="7"/>
  <c r="N54" i="7"/>
  <c r="O100" i="7"/>
  <c r="C42" i="7"/>
  <c r="N46" i="7"/>
  <c r="C52" i="7"/>
  <c r="N52" i="7"/>
  <c r="C62" i="7"/>
  <c r="M96" i="7"/>
  <c r="P52" i="7"/>
  <c r="N96" i="7"/>
  <c r="C111" i="7"/>
  <c r="O96" i="7"/>
  <c r="P46" i="7"/>
  <c r="E42" i="7"/>
  <c r="C54" i="7"/>
  <c r="E62" i="7"/>
  <c r="N66" i="7"/>
  <c r="C76" i="7"/>
  <c r="P66" i="7"/>
  <c r="D76" i="7"/>
  <c r="P54" i="7"/>
  <c r="C68" i="7"/>
  <c r="D111" i="7"/>
  <c r="E76" i="7"/>
  <c r="M44" i="7"/>
  <c r="M52" i="7"/>
  <c r="M64" i="7"/>
  <c r="N100" i="7"/>
  <c r="F111" i="7"/>
  <c r="C50" i="7"/>
  <c r="P100" i="7"/>
  <c r="C44" i="7"/>
  <c r="C46" i="7"/>
  <c r="D48" i="7"/>
  <c r="C56" i="7"/>
  <c r="P64" i="7"/>
  <c r="E74" i="7"/>
  <c r="N76" i="7"/>
  <c r="D44" i="7"/>
  <c r="E46" i="7"/>
  <c r="E48" i="7"/>
  <c r="D56" i="7"/>
  <c r="P76" i="7"/>
  <c r="D100" i="7"/>
  <c r="E44" i="7"/>
  <c r="F46" i="7"/>
  <c r="F48" i="7"/>
  <c r="D52" i="7"/>
  <c r="E54" i="7"/>
  <c r="E56" i="7"/>
  <c r="C64" i="7"/>
  <c r="C66" i="7"/>
  <c r="D68" i="7"/>
  <c r="F100" i="7"/>
  <c r="M109" i="7"/>
  <c r="M111" i="7"/>
  <c r="C74" i="7"/>
  <c r="M76" i="7"/>
  <c r="E52" i="7"/>
  <c r="F54" i="7"/>
  <c r="D64" i="7"/>
  <c r="E66" i="7"/>
  <c r="E68" i="7"/>
  <c r="N109" i="7"/>
  <c r="O111" i="7"/>
  <c r="E64" i="7"/>
  <c r="F66" i="7"/>
  <c r="O109" i="7"/>
  <c r="P111" i="7"/>
  <c r="M7" i="2" a="1"/>
  <c r="M7" i="2" s="1"/>
  <c r="M8" i="2" s="1" a="1"/>
  <c r="M8" i="2" s="1"/>
  <c r="P8" i="2" s="1"/>
  <c r="N7" i="2" a="1"/>
  <c r="N7" i="2" s="1"/>
  <c r="Q6" i="2" s="1"/>
  <c r="Z6" i="2" s="1"/>
  <c r="B9" i="5"/>
  <c r="E9" i="5" s="1"/>
  <c r="AD20" i="3"/>
  <c r="B10" i="1" s="1"/>
  <c r="F10" i="1" s="1"/>
  <c r="K14" i="1" s="1"/>
  <c r="P85" i="7"/>
  <c r="O85" i="7"/>
  <c r="N85" i="7"/>
  <c r="M85" i="7"/>
  <c r="D85" i="7"/>
  <c r="C85" i="7"/>
  <c r="F85" i="7"/>
  <c r="E85" i="7"/>
  <c r="H11" i="6"/>
  <c r="B11" i="6"/>
  <c r="E13" i="6"/>
  <c r="B13" i="6"/>
  <c r="F89" i="7"/>
  <c r="E89" i="7"/>
  <c r="D89" i="7"/>
  <c r="C89" i="7"/>
  <c r="M89" i="7"/>
  <c r="P89" i="7"/>
  <c r="O89" i="7"/>
  <c r="N89" i="7"/>
  <c r="F83" i="7"/>
  <c r="E83" i="7"/>
  <c r="C83" i="7"/>
  <c r="F87" i="7"/>
  <c r="E87" i="7"/>
  <c r="D87" i="7"/>
  <c r="C87" i="7"/>
  <c r="AD9" i="3"/>
  <c r="G20" i="1" s="1"/>
  <c r="L83" i="7"/>
  <c r="AD14" i="3"/>
  <c r="B16" i="1" s="1"/>
  <c r="F16" i="1" s="1"/>
  <c r="L98" i="7"/>
  <c r="L102" i="7"/>
  <c r="AD15" i="3"/>
  <c r="B17" i="1" s="1"/>
  <c r="F17" i="1" s="1"/>
  <c r="O87" i="7"/>
  <c r="N87" i="7"/>
  <c r="M87" i="7"/>
  <c r="P87" i="7"/>
  <c r="P5" i="3"/>
  <c r="K26" i="3"/>
  <c r="D42" i="7"/>
  <c r="M46" i="7"/>
  <c r="D50" i="7"/>
  <c r="M54" i="7"/>
  <c r="D62" i="7"/>
  <c r="M66" i="7"/>
  <c r="D74" i="7"/>
  <c r="C100" i="7"/>
  <c r="B21" i="5"/>
  <c r="E21" i="5" s="1"/>
  <c r="D32" i="5"/>
  <c r="B6" i="6"/>
  <c r="H21" i="6"/>
  <c r="B102" i="7"/>
  <c r="AB22" i="3"/>
  <c r="AB26" i="3"/>
  <c r="M48" i="7"/>
  <c r="M56" i="7"/>
  <c r="M68" i="7"/>
  <c r="B16" i="6"/>
  <c r="B23" i="6"/>
  <c r="AB27" i="3"/>
  <c r="N48" i="7"/>
  <c r="N56" i="7"/>
  <c r="N68" i="7"/>
  <c r="B8" i="6"/>
  <c r="E23" i="6"/>
  <c r="AD8" i="3"/>
  <c r="F19" i="1" s="1"/>
  <c r="M42" i="7"/>
  <c r="O48" i="7"/>
  <c r="M50" i="7"/>
  <c r="O56" i="7"/>
  <c r="M62" i="7"/>
  <c r="O68" i="7"/>
  <c r="M74" i="7"/>
  <c r="C96" i="7"/>
  <c r="C109" i="7"/>
  <c r="C19" i="5"/>
  <c r="C34" i="5"/>
  <c r="B7" i="1"/>
  <c r="F7" i="1" s="1"/>
  <c r="N42" i="7"/>
  <c r="N50" i="7"/>
  <c r="N62" i="7"/>
  <c r="N74" i="7"/>
  <c r="D96" i="7"/>
  <c r="B98" i="7"/>
  <c r="D109" i="7"/>
  <c r="D19" i="5"/>
  <c r="D34" i="5"/>
  <c r="O42" i="7"/>
  <c r="O50" i="7"/>
  <c r="O62" i="7"/>
  <c r="O74" i="7"/>
  <c r="E96" i="7"/>
  <c r="E109" i="7"/>
  <c r="B9" i="1"/>
  <c r="F9" i="1" s="1"/>
  <c r="K12" i="1" s="1"/>
  <c r="Q8" i="1" s="1"/>
  <c r="G71" i="7"/>
  <c r="Q80" i="7"/>
  <c r="Q93" i="7" s="1"/>
  <c r="Q106" i="7" s="1"/>
  <c r="D22" i="1"/>
  <c r="E8" i="1"/>
  <c r="E14" i="1"/>
  <c r="C22" i="1"/>
  <c r="E15" i="1"/>
  <c r="D12" i="1"/>
  <c r="H22" i="1"/>
  <c r="H12" i="1"/>
  <c r="C12" i="1"/>
  <c r="E12" i="1"/>
  <c r="H13" i="1"/>
  <c r="C6" i="1"/>
  <c r="H6" i="1"/>
  <c r="H11" i="1"/>
  <c r="G14" i="1"/>
  <c r="D6" i="1"/>
  <c r="C8" i="1"/>
  <c r="H8" i="1"/>
  <c r="D11" i="1"/>
  <c r="G12" i="1"/>
  <c r="D13" i="1"/>
  <c r="C14" i="1"/>
  <c r="H14" i="1"/>
  <c r="E22" i="1"/>
  <c r="E23" i="1"/>
  <c r="G6" i="1"/>
  <c r="G11" i="1"/>
  <c r="G8" i="1"/>
  <c r="C11" i="1"/>
  <c r="C13" i="1"/>
  <c r="E6" i="1"/>
  <c r="D8" i="1"/>
  <c r="E11" i="1"/>
  <c r="G13" i="1"/>
  <c r="D14" i="1"/>
  <c r="G22" i="1"/>
  <c r="O17" i="1"/>
  <c r="O16" i="1"/>
  <c r="O15" i="1"/>
  <c r="O14" i="1"/>
  <c r="O12" i="1"/>
  <c r="O11" i="1"/>
  <c r="O10" i="1"/>
  <c r="O9" i="1"/>
  <c r="O8" i="1"/>
  <c r="O13" i="1"/>
  <c r="U6" i="1"/>
  <c r="O6" i="1"/>
  <c r="O7" i="1"/>
  <c r="F15" i="1"/>
  <c r="F23" i="1"/>
  <c r="E13" i="1"/>
  <c r="C15" i="1"/>
  <c r="G15" i="1"/>
  <c r="C23" i="1"/>
  <c r="G23" i="1"/>
  <c r="D15" i="1"/>
  <c r="D23" i="1"/>
  <c r="C9" i="1" l="1"/>
  <c r="Q9" i="1"/>
  <c r="G9" i="1"/>
  <c r="G18" i="1"/>
  <c r="R8" i="1"/>
  <c r="K8" i="1"/>
  <c r="P11" i="1" s="1"/>
  <c r="D20" i="1"/>
  <c r="C20" i="1"/>
  <c r="E20" i="1"/>
  <c r="H20" i="1"/>
  <c r="H18" i="1"/>
  <c r="E16" i="1"/>
  <c r="D18" i="1"/>
  <c r="D9" i="1"/>
  <c r="E9" i="1"/>
  <c r="C18" i="1"/>
  <c r="F18" i="1"/>
  <c r="C7" i="1"/>
  <c r="H9" i="1"/>
  <c r="F21" i="1"/>
  <c r="C17" i="1"/>
  <c r="G17" i="1"/>
  <c r="H16" i="1"/>
  <c r="D16" i="1"/>
  <c r="C21" i="1"/>
  <c r="H21" i="1"/>
  <c r="D17" i="1"/>
  <c r="E17" i="1"/>
  <c r="H7" i="1"/>
  <c r="D7" i="1"/>
  <c r="E7" i="1"/>
  <c r="P14" i="1"/>
  <c r="G7" i="1"/>
  <c r="G21" i="1"/>
  <c r="D21" i="1"/>
  <c r="H17" i="1"/>
  <c r="F20" i="1"/>
  <c r="C16" i="1"/>
  <c r="G16" i="1"/>
  <c r="R12" i="1"/>
  <c r="R9" i="1"/>
  <c r="R16" i="1"/>
  <c r="R10" i="1"/>
  <c r="R6" i="1"/>
  <c r="R14" i="1"/>
  <c r="R7" i="1"/>
  <c r="R15" i="1"/>
  <c r="E10" i="1"/>
  <c r="R11" i="1"/>
  <c r="D10" i="1"/>
  <c r="R17" i="1"/>
  <c r="G10" i="1"/>
  <c r="H10" i="1"/>
  <c r="C10" i="1"/>
  <c r="U7" i="1"/>
  <c r="V7" i="1" s="1"/>
  <c r="G19" i="1"/>
  <c r="C19" i="1"/>
  <c r="E19" i="1"/>
  <c r="D19" i="1"/>
  <c r="U11" i="1"/>
  <c r="Y11" i="1" s="1"/>
  <c r="Q11" i="1"/>
  <c r="Q7" i="1"/>
  <c r="W1" i="1"/>
  <c r="U2" i="1" s="1"/>
  <c r="P7" i="2"/>
  <c r="Q12" i="1"/>
  <c r="Q15" i="1"/>
  <c r="Q10" i="1"/>
  <c r="Q16" i="1"/>
  <c r="Q6" i="1"/>
  <c r="Q14" i="1"/>
  <c r="R13" i="1"/>
  <c r="U13" i="1"/>
  <c r="N8" i="2" a="1"/>
  <c r="N8" i="2" s="1"/>
  <c r="R6" i="2" s="1"/>
  <c r="AA6" i="2" s="1"/>
  <c r="P10" i="1"/>
  <c r="Q17" i="1"/>
  <c r="U9" i="1"/>
  <c r="Y9" i="1" s="1"/>
  <c r="Q13" i="1"/>
  <c r="P83" i="7"/>
  <c r="O83" i="7"/>
  <c r="N83" i="7"/>
  <c r="M83" i="7"/>
  <c r="H19" i="1"/>
  <c r="D21" i="5"/>
  <c r="C21" i="5"/>
  <c r="M102" i="7"/>
  <c r="P102" i="7"/>
  <c r="O102" i="7"/>
  <c r="N102" i="7"/>
  <c r="D98" i="7"/>
  <c r="C98" i="7"/>
  <c r="F98" i="7"/>
  <c r="E98" i="7"/>
  <c r="F102" i="7"/>
  <c r="E102" i="7"/>
  <c r="D102" i="7"/>
  <c r="C102" i="7"/>
  <c r="P98" i="7"/>
  <c r="O98" i="7"/>
  <c r="N98" i="7"/>
  <c r="M98" i="7"/>
  <c r="D9" i="5"/>
  <c r="C9" i="5"/>
  <c r="Y8" i="2"/>
  <c r="Q8" i="2"/>
  <c r="Q71" i="7"/>
  <c r="Q59" i="7" s="1"/>
  <c r="G59" i="7"/>
  <c r="Q7" i="2"/>
  <c r="Z7" i="2" s="1"/>
  <c r="Y7" i="2"/>
  <c r="M9" i="2" a="1"/>
  <c r="M9" i="2" s="1"/>
  <c r="P9" i="2" s="1"/>
  <c r="O18" i="1"/>
  <c r="AA6" i="1"/>
  <c r="AC6" i="1" s="1"/>
  <c r="AE6" i="1" s="1"/>
  <c r="V6" i="1"/>
  <c r="Y6" i="1"/>
  <c r="X6" i="1"/>
  <c r="P15" i="1" l="1"/>
  <c r="P9" i="1"/>
  <c r="P6" i="1"/>
  <c r="P12" i="1"/>
  <c r="U8" i="1"/>
  <c r="P8" i="1"/>
  <c r="P16" i="1"/>
  <c r="P17" i="1"/>
  <c r="W6" i="1"/>
  <c r="P7" i="1"/>
  <c r="U10" i="1"/>
  <c r="V10" i="1" s="1"/>
  <c r="P13" i="1"/>
  <c r="W7" i="1"/>
  <c r="V9" i="1"/>
  <c r="W11" i="1"/>
  <c r="R18" i="1"/>
  <c r="V11" i="1"/>
  <c r="X11" i="1"/>
  <c r="Y7" i="1"/>
  <c r="X9" i="1"/>
  <c r="X7" i="1"/>
  <c r="W9" i="1"/>
  <c r="Q18" i="1"/>
  <c r="AA8" i="1"/>
  <c r="X8" i="1"/>
  <c r="AA7" i="1"/>
  <c r="W8" i="1"/>
  <c r="V8" i="1"/>
  <c r="Y8" i="1"/>
  <c r="N9" i="2" a="1"/>
  <c r="N9" i="2" s="1"/>
  <c r="S6" i="2" s="1"/>
  <c r="AB6" i="2" s="1"/>
  <c r="R8" i="2"/>
  <c r="AA8" i="2" s="1"/>
  <c r="R7" i="2"/>
  <c r="AA7" i="2" s="1"/>
  <c r="Z8" i="2"/>
  <c r="M10" i="2" a="1"/>
  <c r="M10" i="2" s="1"/>
  <c r="P10" i="2" s="1"/>
  <c r="Q9" i="2"/>
  <c r="R9" i="2"/>
  <c r="Y9" i="2"/>
  <c r="AB7" i="1"/>
  <c r="AG6" i="1"/>
  <c r="AH6" i="1"/>
  <c r="AF6" i="1"/>
  <c r="AI6" i="1"/>
  <c r="AL6" i="1"/>
  <c r="X10" i="1" l="1"/>
  <c r="AA9" i="1"/>
  <c r="AC8" i="1" s="1"/>
  <c r="AA11" i="1"/>
  <c r="Y10" i="1"/>
  <c r="Y18" i="1" s="1"/>
  <c r="U1" i="1"/>
  <c r="W10" i="1"/>
  <c r="W18" i="1" s="1"/>
  <c r="P18" i="1"/>
  <c r="AA10" i="1"/>
  <c r="AC7" i="1"/>
  <c r="V18" i="1"/>
  <c r="X18" i="1"/>
  <c r="S9" i="2"/>
  <c r="AB9" i="2" s="1"/>
  <c r="S8" i="2"/>
  <c r="AB8" i="2" s="1"/>
  <c r="N10" i="2" a="1"/>
  <c r="N10" i="2" s="1"/>
  <c r="T6" i="2" s="1"/>
  <c r="S7" i="2"/>
  <c r="AB7" i="2" s="1"/>
  <c r="M11" i="2" a="1"/>
  <c r="M11" i="2" s="1"/>
  <c r="P11" i="2" s="1"/>
  <c r="Q11" i="2" s="1"/>
  <c r="Y10" i="2"/>
  <c r="S10" i="2"/>
  <c r="R10" i="2"/>
  <c r="Q10" i="2"/>
  <c r="Z9" i="2"/>
  <c r="AA9" i="2"/>
  <c r="AM6" i="1"/>
  <c r="AO6" i="1"/>
  <c r="AP6" i="1"/>
  <c r="AN6" i="1"/>
  <c r="AC10" i="1" l="1"/>
  <c r="AC11" i="1"/>
  <c r="AC9" i="1"/>
  <c r="AE8" i="1" s="1"/>
  <c r="AG8" i="1" s="1"/>
  <c r="AN8" i="1" s="1"/>
  <c r="AE7" i="1"/>
  <c r="AG7" i="1" s="1"/>
  <c r="T9" i="2"/>
  <c r="AC9" i="2" s="1"/>
  <c r="T10" i="2"/>
  <c r="AC10" i="2" s="1"/>
  <c r="T8" i="2"/>
  <c r="AC8" i="2" s="1"/>
  <c r="N11" i="2" a="1"/>
  <c r="N11" i="2" s="1"/>
  <c r="U6" i="2" s="1"/>
  <c r="U9" i="2" s="1"/>
  <c r="AD9" i="2" s="1"/>
  <c r="S11" i="2"/>
  <c r="M12" i="2" a="1"/>
  <c r="M12" i="2" s="1"/>
  <c r="P12" i="2" s="1"/>
  <c r="Y12" i="2" s="1"/>
  <c r="R11" i="2"/>
  <c r="T7" i="2"/>
  <c r="AC7" i="2" s="1"/>
  <c r="AC6" i="2"/>
  <c r="T11" i="2"/>
  <c r="Y11" i="2"/>
  <c r="Z11" i="2" s="1"/>
  <c r="AB10" i="2"/>
  <c r="AA10" i="2"/>
  <c r="Z10" i="2"/>
  <c r="AE11" i="1" l="1"/>
  <c r="AL11" i="1" s="1"/>
  <c r="AE10" i="1"/>
  <c r="AI10" i="1" s="1"/>
  <c r="AP10" i="1" s="1"/>
  <c r="AE9" i="1"/>
  <c r="AI9" i="1" s="1"/>
  <c r="AP9" i="1" s="1"/>
  <c r="AE9" i="2"/>
  <c r="AC11" i="2"/>
  <c r="AA11" i="2"/>
  <c r="AE11" i="2" s="1"/>
  <c r="AH8" i="1"/>
  <c r="AO8" i="1" s="1"/>
  <c r="AH11" i="1"/>
  <c r="AO11" i="1" s="1"/>
  <c r="AH7" i="1"/>
  <c r="AO7" i="1" s="1"/>
  <c r="AG11" i="1"/>
  <c r="AN11" i="1" s="1"/>
  <c r="AI8" i="1"/>
  <c r="AP8" i="1" s="1"/>
  <c r="AL8" i="1"/>
  <c r="AF8" i="1"/>
  <c r="AM8" i="1" s="1"/>
  <c r="AF10" i="1"/>
  <c r="AM10" i="1" s="1"/>
  <c r="AL9" i="1"/>
  <c r="AL7" i="1"/>
  <c r="AF7" i="1"/>
  <c r="AM7" i="1" s="1"/>
  <c r="AI7" i="1"/>
  <c r="AP7" i="1" s="1"/>
  <c r="AI11" i="1"/>
  <c r="AP11" i="1" s="1"/>
  <c r="AF11" i="1"/>
  <c r="AM11" i="1" s="1"/>
  <c r="AH10" i="1"/>
  <c r="AO10" i="1" s="1"/>
  <c r="AB11" i="2"/>
  <c r="U10" i="2"/>
  <c r="AD10" i="2" s="1"/>
  <c r="AE10" i="2" s="1"/>
  <c r="U11" i="2"/>
  <c r="AD11" i="2" s="1"/>
  <c r="AD6" i="2"/>
  <c r="N12" i="2" a="1"/>
  <c r="N12" i="2" s="1"/>
  <c r="V6" i="2" s="1"/>
  <c r="V11" i="2" s="1"/>
  <c r="U8" i="2"/>
  <c r="AD8" i="2" s="1"/>
  <c r="AE8" i="2" s="1"/>
  <c r="U7" i="2"/>
  <c r="AD7" i="2" s="1"/>
  <c r="Q12" i="2"/>
  <c r="Z12" i="2" s="1"/>
  <c r="U12" i="2"/>
  <c r="AD12" i="2" s="1"/>
  <c r="T12" i="2"/>
  <c r="AC12" i="2" s="1"/>
  <c r="R12" i="2"/>
  <c r="AA12" i="2" s="1"/>
  <c r="M13" i="2" a="1"/>
  <c r="M13" i="2" s="1"/>
  <c r="M14" i="2" s="1" a="1"/>
  <c r="M14" i="2" s="1"/>
  <c r="P14" i="2" s="1"/>
  <c r="S12" i="2"/>
  <c r="AB12" i="2" s="1"/>
  <c r="AN7" i="1"/>
  <c r="AG10" i="1" l="1"/>
  <c r="AN10" i="1" s="1"/>
  <c r="AG9" i="1"/>
  <c r="AN9" i="1" s="1"/>
  <c r="AH9" i="1"/>
  <c r="AO9" i="1" s="1"/>
  <c r="AO12" i="1" s="1"/>
  <c r="AL10" i="1"/>
  <c r="AF9" i="1"/>
  <c r="AM9" i="1" s="1"/>
  <c r="AM12" i="1" s="1"/>
  <c r="AE7" i="2"/>
  <c r="AE12" i="2"/>
  <c r="AI12" i="1"/>
  <c r="AP12" i="1"/>
  <c r="N13" i="2" a="1"/>
  <c r="N13" i="2" s="1"/>
  <c r="W6" i="2" s="1"/>
  <c r="AF6" i="2" s="1"/>
  <c r="AE6" i="2"/>
  <c r="V9" i="2"/>
  <c r="V10" i="2"/>
  <c r="V12" i="2"/>
  <c r="V7" i="2"/>
  <c r="V8" i="2"/>
  <c r="V14" i="2"/>
  <c r="R14" i="2"/>
  <c r="U14" i="2"/>
  <c r="AD14" i="2" s="1"/>
  <c r="S14" i="2"/>
  <c r="Q14" i="2"/>
  <c r="T14" i="2"/>
  <c r="Y14" i="2"/>
  <c r="M15" i="2" a="1"/>
  <c r="M15" i="2" s="1"/>
  <c r="P15" i="2" s="1"/>
  <c r="P13" i="2"/>
  <c r="T13" i="2" s="1"/>
  <c r="R13" i="2"/>
  <c r="AN12" i="1" l="1"/>
  <c r="AF12" i="1"/>
  <c r="AG12" i="1"/>
  <c r="AH12" i="1"/>
  <c r="Y13" i="2"/>
  <c r="Z13" i="2" s="1"/>
  <c r="Q13" i="2"/>
  <c r="N14" i="2" a="1"/>
  <c r="N14" i="2" s="1"/>
  <c r="N15" i="2" s="1" a="1"/>
  <c r="N15" i="2" s="1"/>
  <c r="W10" i="2"/>
  <c r="AF10" i="2" s="1"/>
  <c r="W9" i="2"/>
  <c r="AF9" i="2" s="1"/>
  <c r="W14" i="2"/>
  <c r="AF14" i="2" s="1"/>
  <c r="W8" i="2"/>
  <c r="AF8" i="2" s="1"/>
  <c r="W7" i="2"/>
  <c r="AF7" i="2" s="1"/>
  <c r="Z14" i="2"/>
  <c r="W12" i="2"/>
  <c r="AF12" i="2" s="1"/>
  <c r="U13" i="2"/>
  <c r="AD13" i="2" s="1"/>
  <c r="W11" i="2"/>
  <c r="AF11" i="2" s="1"/>
  <c r="M16" i="2" a="1"/>
  <c r="M16" i="2" s="1"/>
  <c r="M17" i="2" s="1" a="1"/>
  <c r="M17" i="2" s="1"/>
  <c r="V13" i="2"/>
  <c r="W13" i="2"/>
  <c r="AF13" i="2" s="1"/>
  <c r="S13" i="2"/>
  <c r="AB13" i="2" s="1"/>
  <c r="AA13" i="2"/>
  <c r="AC13" i="2"/>
  <c r="AA14" i="2"/>
  <c r="AB14" i="2"/>
  <c r="V15" i="2"/>
  <c r="R15" i="2"/>
  <c r="U15" i="2"/>
  <c r="AD15" i="2" s="1"/>
  <c r="Q15" i="2"/>
  <c r="Y15" i="2"/>
  <c r="T15" i="2"/>
  <c r="W15" i="2"/>
  <c r="AF15" i="2" s="1"/>
  <c r="S15" i="2"/>
  <c r="AC14" i="2" l="1"/>
  <c r="AE13" i="2"/>
  <c r="AE14" i="2"/>
  <c r="N16" i="2" a="1"/>
  <c r="N16" i="2" s="1"/>
  <c r="N17" i="2" s="1" a="1"/>
  <c r="N17" i="2" s="1"/>
  <c r="P16" i="2"/>
  <c r="Y16" i="2" s="1"/>
  <c r="P17" i="2"/>
  <c r="M18" i="2" a="1"/>
  <c r="M18" i="2" s="1"/>
  <c r="AA15" i="2"/>
  <c r="Z15" i="2"/>
  <c r="AC15" i="2"/>
  <c r="AB15" i="2"/>
  <c r="AE15" i="2" l="1"/>
  <c r="U16" i="2"/>
  <c r="AD16" i="2" s="1"/>
  <c r="Q16" i="2"/>
  <c r="Z16" i="2" s="1"/>
  <c r="R16" i="2"/>
  <c r="AA16" i="2" s="1"/>
  <c r="V16" i="2"/>
  <c r="S16" i="2"/>
  <c r="AB16" i="2" s="1"/>
  <c r="W16" i="2"/>
  <c r="AF16" i="2" s="1"/>
  <c r="T16" i="2"/>
  <c r="AC16" i="2" s="1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N23" i="2" s="1" a="1"/>
  <c r="N23" i="2" s="1"/>
  <c r="N24" i="2" s="1" a="1"/>
  <c r="N24" i="2" s="1"/>
  <c r="N25" i="2" s="1" a="1"/>
  <c r="N25" i="2" s="1"/>
  <c r="N26" i="2" s="1" a="1"/>
  <c r="N26" i="2" s="1"/>
  <c r="N27" i="2" s="1" a="1"/>
  <c r="N27" i="2" s="1"/>
  <c r="N28" i="2" s="1" a="1"/>
  <c r="N28" i="2" s="1"/>
  <c r="N29" i="2" s="1" a="1"/>
  <c r="N29" i="2" s="1"/>
  <c r="N30" i="2" s="1" a="1"/>
  <c r="N30" i="2" s="1"/>
  <c r="N31" i="2" s="1" a="1"/>
  <c r="N31" i="2" s="1"/>
  <c r="N32" i="2" s="1" a="1"/>
  <c r="N32" i="2" s="1"/>
  <c r="N33" i="2" s="1" a="1"/>
  <c r="N33" i="2" s="1"/>
  <c r="N34" i="2" s="1" a="1"/>
  <c r="N34" i="2" s="1"/>
  <c r="N35" i="2" s="1" a="1"/>
  <c r="N35" i="2" s="1"/>
  <c r="N36" i="2" s="1" a="1"/>
  <c r="N36" i="2" s="1"/>
  <c r="N37" i="2" s="1" a="1"/>
  <c r="N37" i="2" s="1"/>
  <c r="N38" i="2" s="1" a="1"/>
  <c r="N38" i="2" s="1"/>
  <c r="P18" i="2"/>
  <c r="M19" i="2" a="1"/>
  <c r="M19" i="2" s="1"/>
  <c r="U17" i="2"/>
  <c r="AD17" i="2" s="1"/>
  <c r="Q17" i="2"/>
  <c r="Y17" i="2"/>
  <c r="S17" i="2"/>
  <c r="W17" i="2"/>
  <c r="AF17" i="2" s="1"/>
  <c r="R17" i="2"/>
  <c r="V17" i="2"/>
  <c r="T17" i="2"/>
  <c r="AE16" i="2" l="1"/>
  <c r="P19" i="2"/>
  <c r="M20" i="2" a="1"/>
  <c r="M20" i="2" s="1"/>
  <c r="Z17" i="2"/>
  <c r="AC17" i="2"/>
  <c r="AB17" i="2"/>
  <c r="AA17" i="2"/>
  <c r="W18" i="2"/>
  <c r="AF18" i="2" s="1"/>
  <c r="S18" i="2"/>
  <c r="V18" i="2"/>
  <c r="Q18" i="2"/>
  <c r="U18" i="2"/>
  <c r="AD18" i="2" s="1"/>
  <c r="T18" i="2"/>
  <c r="Y18" i="2"/>
  <c r="R18" i="2"/>
  <c r="AE17" i="2" l="1"/>
  <c r="P20" i="2"/>
  <c r="M21" i="2" a="1"/>
  <c r="M21" i="2" s="1"/>
  <c r="AB18" i="2"/>
  <c r="AC18" i="2"/>
  <c r="AA18" i="2"/>
  <c r="Z18" i="2"/>
  <c r="U19" i="2"/>
  <c r="AD19" i="2" s="1"/>
  <c r="Q19" i="2"/>
  <c r="Z19" i="2" s="1"/>
  <c r="V19" i="2"/>
  <c r="T19" i="2"/>
  <c r="AC19" i="2" s="1"/>
  <c r="Y19" i="2"/>
  <c r="S19" i="2"/>
  <c r="AB19" i="2" s="1"/>
  <c r="R19" i="2"/>
  <c r="AA19" i="2" s="1"/>
  <c r="W19" i="2"/>
  <c r="AF19" i="2" s="1"/>
  <c r="AE18" i="2" l="1"/>
  <c r="AE19" i="2"/>
  <c r="P21" i="2"/>
  <c r="M22" i="2" a="1"/>
  <c r="M22" i="2" s="1"/>
  <c r="W20" i="2"/>
  <c r="AF20" i="2" s="1"/>
  <c r="S20" i="2"/>
  <c r="AB20" i="2" s="1"/>
  <c r="T20" i="2"/>
  <c r="AC20" i="2" s="1"/>
  <c r="Y20" i="2"/>
  <c r="R20" i="2"/>
  <c r="AA20" i="2" s="1"/>
  <c r="V20" i="2"/>
  <c r="Q20" i="2"/>
  <c r="Z20" i="2" s="1"/>
  <c r="U20" i="2"/>
  <c r="AD20" i="2" s="1"/>
  <c r="AE20" i="2" l="1"/>
  <c r="P22" i="2"/>
  <c r="M23" i="2" a="1"/>
  <c r="M23" i="2" s="1"/>
  <c r="U21" i="2"/>
  <c r="AD21" i="2" s="1"/>
  <c r="Q21" i="2"/>
  <c r="Z21" i="2" s="1"/>
  <c r="Y21" i="2"/>
  <c r="S21" i="2"/>
  <c r="AB21" i="2" s="1"/>
  <c r="W21" i="2"/>
  <c r="AF21" i="2" s="1"/>
  <c r="R21" i="2"/>
  <c r="AA21" i="2" s="1"/>
  <c r="V21" i="2"/>
  <c r="T21" i="2"/>
  <c r="AC21" i="2" s="1"/>
  <c r="AE21" i="2" l="1"/>
  <c r="P23" i="2"/>
  <c r="M24" i="2" a="1"/>
  <c r="M24" i="2" s="1"/>
  <c r="U22" i="2"/>
  <c r="AD22" i="2" s="1"/>
  <c r="Y22" i="2"/>
  <c r="S22" i="2"/>
  <c r="AB22" i="2" s="1"/>
  <c r="W22" i="2"/>
  <c r="AF22" i="2" s="1"/>
  <c r="Q22" i="2"/>
  <c r="Z22" i="2" s="1"/>
  <c r="V22" i="2"/>
  <c r="T22" i="2"/>
  <c r="AC22" i="2" s="1"/>
  <c r="R22" i="2"/>
  <c r="AA22" i="2" s="1"/>
  <c r="AE22" i="2" l="1"/>
  <c r="P24" i="2"/>
  <c r="M25" i="2" a="1"/>
  <c r="M25" i="2" s="1"/>
  <c r="W23" i="2"/>
  <c r="AF23" i="2" s="1"/>
  <c r="S23" i="2"/>
  <c r="AB23" i="2" s="1"/>
  <c r="V23" i="2"/>
  <c r="Q23" i="2"/>
  <c r="Z23" i="2" s="1"/>
  <c r="U23" i="2"/>
  <c r="AD23" i="2" s="1"/>
  <c r="T23" i="2"/>
  <c r="AC23" i="2" s="1"/>
  <c r="R23" i="2"/>
  <c r="AA23" i="2" s="1"/>
  <c r="Y23" i="2"/>
  <c r="AE23" i="2" l="1"/>
  <c r="P25" i="2"/>
  <c r="M26" i="2" a="1"/>
  <c r="M26" i="2" s="1"/>
  <c r="U24" i="2"/>
  <c r="AD24" i="2" s="1"/>
  <c r="Q24" i="2"/>
  <c r="Z24" i="2" s="1"/>
  <c r="V24" i="2"/>
  <c r="S24" i="2"/>
  <c r="AB24" i="2" s="1"/>
  <c r="Y24" i="2"/>
  <c r="R24" i="2"/>
  <c r="AA24" i="2" s="1"/>
  <c r="W24" i="2"/>
  <c r="AF24" i="2" s="1"/>
  <c r="T24" i="2"/>
  <c r="AC24" i="2" s="1"/>
  <c r="AE24" i="2" l="1"/>
  <c r="P26" i="2"/>
  <c r="M27" i="2" a="1"/>
  <c r="M27" i="2" s="1"/>
  <c r="W25" i="2"/>
  <c r="AF25" i="2" s="1"/>
  <c r="S25" i="2"/>
  <c r="AB25" i="2" s="1"/>
  <c r="T25" i="2"/>
  <c r="AC25" i="2" s="1"/>
  <c r="V25" i="2"/>
  <c r="U25" i="2"/>
  <c r="AD25" i="2" s="1"/>
  <c r="R25" i="2"/>
  <c r="AA25" i="2" s="1"/>
  <c r="Y25" i="2"/>
  <c r="Q25" i="2"/>
  <c r="Z25" i="2" s="1"/>
  <c r="AE25" i="2" l="1"/>
  <c r="P27" i="2"/>
  <c r="M28" i="2" a="1"/>
  <c r="M28" i="2" s="1"/>
  <c r="U26" i="2"/>
  <c r="AD26" i="2" s="1"/>
  <c r="Q26" i="2"/>
  <c r="Z26" i="2" s="1"/>
  <c r="Y26" i="2"/>
  <c r="S26" i="2"/>
  <c r="AB26" i="2" s="1"/>
  <c r="V26" i="2"/>
  <c r="T26" i="2"/>
  <c r="AC26" i="2" s="1"/>
  <c r="R26" i="2"/>
  <c r="AA26" i="2" s="1"/>
  <c r="W26" i="2"/>
  <c r="AF26" i="2" s="1"/>
  <c r="AE26" i="2" l="1"/>
  <c r="P28" i="2"/>
  <c r="M29" i="2" a="1"/>
  <c r="M29" i="2" s="1"/>
  <c r="W27" i="2"/>
  <c r="AF27" i="2" s="1"/>
  <c r="S27" i="2"/>
  <c r="AB27" i="2" s="1"/>
  <c r="V27" i="2"/>
  <c r="Q27" i="2"/>
  <c r="Z27" i="2" s="1"/>
  <c r="T27" i="2"/>
  <c r="AC27" i="2" s="1"/>
  <c r="R27" i="2"/>
  <c r="AA27" i="2" s="1"/>
  <c r="Y27" i="2"/>
  <c r="U27" i="2"/>
  <c r="AD27" i="2" s="1"/>
  <c r="AE27" i="2" l="1"/>
  <c r="P29" i="2"/>
  <c r="M30" i="2" a="1"/>
  <c r="M30" i="2" s="1"/>
  <c r="U28" i="2"/>
  <c r="AD28" i="2" s="1"/>
  <c r="Q28" i="2"/>
  <c r="Z28" i="2" s="1"/>
  <c r="V28" i="2"/>
  <c r="Y28" i="2"/>
  <c r="R28" i="2"/>
  <c r="AA28" i="2" s="1"/>
  <c r="W28" i="2"/>
  <c r="AF28" i="2" s="1"/>
  <c r="T28" i="2"/>
  <c r="AC28" i="2" s="1"/>
  <c r="S28" i="2"/>
  <c r="AB28" i="2" s="1"/>
  <c r="AE28" i="2" l="1"/>
  <c r="P30" i="2"/>
  <c r="M31" i="2" a="1"/>
  <c r="M31" i="2" s="1"/>
  <c r="W29" i="2"/>
  <c r="AF29" i="2" s="1"/>
  <c r="S29" i="2"/>
  <c r="AB29" i="2" s="1"/>
  <c r="T29" i="2"/>
  <c r="AC29" i="2" s="1"/>
  <c r="U29" i="2"/>
  <c r="AD29" i="2" s="1"/>
  <c r="R29" i="2"/>
  <c r="AA29" i="2" s="1"/>
  <c r="Y29" i="2"/>
  <c r="Q29" i="2"/>
  <c r="Z29" i="2" s="1"/>
  <c r="V29" i="2"/>
  <c r="AE29" i="2" l="1"/>
  <c r="P31" i="2"/>
  <c r="M32" i="2" a="1"/>
  <c r="M32" i="2" s="1"/>
  <c r="U30" i="2"/>
  <c r="AD30" i="2" s="1"/>
  <c r="Q30" i="2"/>
  <c r="Z30" i="2" s="1"/>
  <c r="Y30" i="2"/>
  <c r="S30" i="2"/>
  <c r="AB30" i="2" s="1"/>
  <c r="T30" i="2"/>
  <c r="AC30" i="2" s="1"/>
  <c r="R30" i="2"/>
  <c r="AA30" i="2" s="1"/>
  <c r="W30" i="2"/>
  <c r="AF30" i="2" s="1"/>
  <c r="V30" i="2"/>
  <c r="AE30" i="2" l="1"/>
  <c r="P32" i="2"/>
  <c r="M33" i="2" a="1"/>
  <c r="M33" i="2" s="1"/>
  <c r="W31" i="2"/>
  <c r="AF31" i="2" s="1"/>
  <c r="S31" i="2"/>
  <c r="AB31" i="2" s="1"/>
  <c r="V31" i="2"/>
  <c r="Q31" i="2"/>
  <c r="Z31" i="2" s="1"/>
  <c r="R31" i="2"/>
  <c r="AA31" i="2" s="1"/>
  <c r="Y31" i="2"/>
  <c r="U31" i="2"/>
  <c r="AD31" i="2" s="1"/>
  <c r="T31" i="2"/>
  <c r="AC31" i="2" s="1"/>
  <c r="AE31" i="2" l="1"/>
  <c r="P33" i="2"/>
  <c r="M34" i="2" a="1"/>
  <c r="M34" i="2" s="1"/>
  <c r="U32" i="2"/>
  <c r="AD32" i="2" s="1"/>
  <c r="Q32" i="2"/>
  <c r="Z32" i="2" s="1"/>
  <c r="V32" i="2"/>
  <c r="Y32" i="2"/>
  <c r="S32" i="2"/>
  <c r="AB32" i="2" s="1"/>
  <c r="R32" i="2"/>
  <c r="AA32" i="2" s="1"/>
  <c r="W32" i="2"/>
  <c r="AF32" i="2" s="1"/>
  <c r="T32" i="2"/>
  <c r="AC32" i="2" s="1"/>
  <c r="AE32" i="2" l="1"/>
  <c r="P34" i="2"/>
  <c r="M35" i="2" a="1"/>
  <c r="M35" i="2" s="1"/>
  <c r="W33" i="2"/>
  <c r="AF33" i="2" s="1"/>
  <c r="S33" i="2"/>
  <c r="AB33" i="2" s="1"/>
  <c r="T33" i="2"/>
  <c r="AC33" i="2" s="1"/>
  <c r="V33" i="2"/>
  <c r="Q33" i="2"/>
  <c r="Z33" i="2" s="1"/>
  <c r="Y33" i="2"/>
  <c r="U33" i="2"/>
  <c r="AD33" i="2" s="1"/>
  <c r="R33" i="2"/>
  <c r="AA33" i="2" s="1"/>
  <c r="AE33" i="2" l="1"/>
  <c r="P35" i="2"/>
  <c r="M36" i="2" a="1"/>
  <c r="M36" i="2" s="1"/>
  <c r="U34" i="2"/>
  <c r="AD34" i="2" s="1"/>
  <c r="Q34" i="2"/>
  <c r="Z34" i="2" s="1"/>
  <c r="Y34" i="2"/>
  <c r="S34" i="2"/>
  <c r="AB34" i="2" s="1"/>
  <c r="W34" i="2"/>
  <c r="AF34" i="2" s="1"/>
  <c r="R34" i="2"/>
  <c r="AA34" i="2" s="1"/>
  <c r="V34" i="2"/>
  <c r="T34" i="2"/>
  <c r="AC34" i="2" s="1"/>
  <c r="AE34" i="2" l="1"/>
  <c r="P36" i="2"/>
  <c r="M37" i="2" a="1"/>
  <c r="M37" i="2" s="1"/>
  <c r="W35" i="2"/>
  <c r="AF35" i="2" s="1"/>
  <c r="S35" i="2"/>
  <c r="AB35" i="2" s="1"/>
  <c r="V35" i="2"/>
  <c r="Q35" i="2"/>
  <c r="Z35" i="2" s="1"/>
  <c r="U35" i="2"/>
  <c r="AD35" i="2" s="1"/>
  <c r="T35" i="2"/>
  <c r="AC35" i="2" s="1"/>
  <c r="R35" i="2"/>
  <c r="AA35" i="2" s="1"/>
  <c r="Y35" i="2"/>
  <c r="AE35" i="2" l="1"/>
  <c r="P37" i="2"/>
  <c r="M38" i="2" a="1"/>
  <c r="M38" i="2" s="1"/>
  <c r="P38" i="2" s="1"/>
  <c r="U36" i="2"/>
  <c r="AD36" i="2" s="1"/>
  <c r="Q36" i="2"/>
  <c r="Z36" i="2" s="1"/>
  <c r="V36" i="2"/>
  <c r="T36" i="2"/>
  <c r="AC36" i="2" s="1"/>
  <c r="Y36" i="2"/>
  <c r="S36" i="2"/>
  <c r="AB36" i="2" s="1"/>
  <c r="W36" i="2"/>
  <c r="AF36" i="2" s="1"/>
  <c r="R36" i="2"/>
  <c r="AA36" i="2" s="1"/>
  <c r="AE36" i="2" l="1"/>
  <c r="V38" i="2"/>
  <c r="R38" i="2"/>
  <c r="AA38" i="2" s="1"/>
  <c r="U38" i="2"/>
  <c r="AD38" i="2" s="1"/>
  <c r="Q38" i="2"/>
  <c r="Z38" i="2" s="1"/>
  <c r="Y38" i="2"/>
  <c r="T38" i="2"/>
  <c r="AC38" i="2" s="1"/>
  <c r="S38" i="2"/>
  <c r="AB38" i="2" s="1"/>
  <c r="W38" i="2"/>
  <c r="AF38" i="2" s="1"/>
  <c r="W37" i="2"/>
  <c r="AF37" i="2" s="1"/>
  <c r="S37" i="2"/>
  <c r="AB37" i="2" s="1"/>
  <c r="T37" i="2"/>
  <c r="AC37" i="2" s="1"/>
  <c r="Y37" i="2"/>
  <c r="R37" i="2"/>
  <c r="AA37" i="2" s="1"/>
  <c r="V37" i="2"/>
  <c r="Q37" i="2"/>
  <c r="Z37" i="2" s="1"/>
  <c r="U37" i="2"/>
  <c r="AD37" i="2" s="1"/>
  <c r="AC5" i="2" l="1"/>
  <c r="AA5" i="2"/>
  <c r="AB5" i="2"/>
  <c r="Z5" i="2"/>
  <c r="AH7" i="2"/>
  <c r="AD5" i="2"/>
  <c r="AE37" i="2"/>
  <c r="AE38" i="2"/>
  <c r="AG5" i="3" l="1"/>
  <c r="U4" i="3" s="1"/>
  <c r="I19" i="1"/>
  <c r="I27" i="1"/>
  <c r="I35" i="1"/>
  <c r="I30" i="1"/>
  <c r="I22" i="1"/>
  <c r="I23" i="1"/>
  <c r="I24" i="1"/>
  <c r="I25" i="1"/>
  <c r="I20" i="1"/>
  <c r="I28" i="1"/>
  <c r="I36" i="1"/>
  <c r="I21" i="1"/>
  <c r="I29" i="1"/>
  <c r="I37" i="1"/>
  <c r="I18" i="1"/>
  <c r="I26" i="1"/>
  <c r="I31" i="1"/>
  <c r="I32" i="1"/>
  <c r="I33" i="1"/>
  <c r="I34" i="1"/>
</calcChain>
</file>

<file path=xl/sharedStrings.xml><?xml version="1.0" encoding="utf-8"?>
<sst xmlns="http://schemas.openxmlformats.org/spreadsheetml/2006/main" count="474" uniqueCount="185">
  <si>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</si>
  <si>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</si>
  <si>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</si>
  <si>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</si>
  <si>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</si>
  <si>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</si>
  <si>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</si>
  <si>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</si>
  <si>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</si>
  <si>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</si>
  <si>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Подгруппа А</t>
  </si>
  <si>
    <t>Подгруппа Б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</si>
  <si>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</si>
  <si>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</si>
  <si>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</si>
  <si>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</si>
  <si>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</si>
  <si>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</si>
  <si>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</si>
  <si>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</si>
  <si>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</si>
  <si>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</si>
  <si>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3 м</t>
  </si>
  <si>
    <t>ВСЕРОССИЙСКАЯ ФЕДЕРАЦИЯ САМБО</t>
  </si>
  <si>
    <t xml:space="preserve">ПРОТОКОЛ ХОДА СОРЕВНОВАНИЙ        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</si>
  <si>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</si>
  <si>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</si>
  <si>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</si>
  <si>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</si>
  <si>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</si>
  <si>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</si>
  <si>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</si>
  <si>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1/16</t>
  </si>
  <si>
    <t>B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</si>
  <si>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</si>
  <si>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</si>
  <si>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</si>
  <si>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</si>
  <si>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</si>
  <si>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</si>
  <si>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</si>
  <si>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</si>
  <si>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</si>
  <si>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 xml:space="preserve"> место</t>
  </si>
  <si>
    <t>7-8</t>
  </si>
  <si>
    <t>1 место</t>
  </si>
  <si>
    <t>Тренер победителя:</t>
  </si>
  <si>
    <t>9-12</t>
  </si>
  <si>
    <t>гл.судья:</t>
  </si>
  <si>
    <t>гл.секретарь:</t>
  </si>
  <si>
    <t>судьи:</t>
  </si>
  <si>
    <t>врач:</t>
  </si>
  <si>
    <t>ут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</si>
  <si>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</si>
  <si>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</si>
  <si>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</si>
  <si>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</si>
  <si>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</si>
  <si>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</si>
  <si>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</si>
  <si>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</si>
  <si>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</si>
  <si>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</si>
  <si>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</si>
  <si>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</si>
  <si>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</si>
  <si>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</si>
  <si>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</si>
  <si>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</si>
  <si>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</si>
  <si>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>ИТОГОВЫЙ ПРОТОКОЛ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</si>
  <si>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</si>
  <si>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</si>
  <si>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</si>
  <si>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</si>
  <si>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</si>
  <si>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</si>
  <si>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</si>
  <si>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</si>
  <si>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</si>
  <si>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</si>
  <si>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</si>
  <si>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</si>
  <si>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</si>
  <si>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</si>
  <si>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</si>
  <si>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</si>
  <si>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</si>
  <si>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</si>
  <si>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</si>
  <si>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</si>
  <si>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</si>
  <si>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</si>
  <si>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</si>
  <si>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</si>
  <si>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</si>
  <si>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</si>
  <si>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</si>
  <si>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</si>
  <si>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</si>
  <si>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</si>
  <si>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</si>
  <si>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</si>
  <si>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</si>
  <si>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</si>
  <si>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/>
  </si>
  <si>
    <t>Первенство России по самбо среди юниорок  1998-99 г.р.</t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</si>
  <si>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</si>
  <si>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</si>
  <si>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</si>
  <si>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</si>
  <si>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 xml:space="preserve"> (Утешительные встречи) 3 круг</t>
  </si>
  <si>
    <t>За 3-е место</t>
  </si>
  <si>
    <t>Шайхов Абдулло Пулодович</t>
  </si>
  <si>
    <t>28.12.90, мс</t>
  </si>
  <si>
    <t>ЦФО</t>
  </si>
  <si>
    <t>Тверская, Тверь</t>
  </si>
  <si>
    <t>Рыбинкин КВ Матюшенский АВ</t>
  </si>
  <si>
    <t>Минажетдинов Ринат Рафаилевич</t>
  </si>
  <si>
    <t>22.05.98, кмс</t>
  </si>
  <si>
    <t>М</t>
  </si>
  <si>
    <t>Москва, НИУ МГСУ</t>
  </si>
  <si>
    <t>Гарник В.С., Никишкин В.В.</t>
  </si>
  <si>
    <t>Ломиворотов Илья Романович</t>
  </si>
  <si>
    <t>19.03.01, кмс</t>
  </si>
  <si>
    <t>Тульская, Тула</t>
  </si>
  <si>
    <t>Ломиворотов РН</t>
  </si>
  <si>
    <t>Щербаков Денис Алексеевич</t>
  </si>
  <si>
    <t>21.07.00, кмс</t>
  </si>
  <si>
    <t>Москва, ГБОУ ЦО "Самбо-70"</t>
  </si>
  <si>
    <t>Савкин АВ Соломатин АВ</t>
  </si>
  <si>
    <t>Никишкин Максим Вячеславович</t>
  </si>
  <si>
    <t>15.08.99, кмс</t>
  </si>
  <si>
    <t>Никишкин В.В., Гарник В.С.</t>
  </si>
  <si>
    <t>Корочанский Данила Дмитриевич</t>
  </si>
  <si>
    <t>23.07.00, кмс</t>
  </si>
  <si>
    <t>Фролов Кирилл Михайлович</t>
  </si>
  <si>
    <t>06.11.98, кмс</t>
  </si>
  <si>
    <t>Магомедкеримов Вагаб Гераклиевич</t>
  </si>
  <si>
    <t>21.10.99, кмс</t>
  </si>
  <si>
    <t>Остапенко АА</t>
  </si>
  <si>
    <t>Солодянников Сергей Константинович</t>
  </si>
  <si>
    <t>08.10.94, кмс</t>
  </si>
  <si>
    <t>Тверская, ОСН "Рысь"</t>
  </si>
  <si>
    <t>Харитонов ДЗ</t>
  </si>
  <si>
    <t>Киселёв Сергей Николаевич</t>
  </si>
  <si>
    <t>01.01.85, кмс</t>
  </si>
  <si>
    <t>Шахбазов Ислам Асланбекович</t>
  </si>
  <si>
    <t>11.07.98, кмс</t>
  </si>
  <si>
    <t>Тверская, Кашин</t>
  </si>
  <si>
    <t>Кириллов СВ</t>
  </si>
  <si>
    <t>Макаров Артем Юрьевич</t>
  </si>
  <si>
    <t>07.08.97, кмс</t>
  </si>
  <si>
    <t>Тверская, Кимры</t>
  </si>
  <si>
    <t>Серебряков РА</t>
  </si>
  <si>
    <t>Прокофьев Иван Николаевич</t>
  </si>
  <si>
    <t>09.04.00, кмс</t>
  </si>
  <si>
    <t>Воронежская, Воронеж</t>
  </si>
  <si>
    <t>Ефремов МА</t>
  </si>
  <si>
    <t>Нечаев Максим Михайлович</t>
  </si>
  <si>
    <t>26.01.94, кмс</t>
  </si>
  <si>
    <t>СЗФО</t>
  </si>
  <si>
    <t>Новгородская, Боровичи</t>
  </si>
  <si>
    <t>Аристархов ВН</t>
  </si>
  <si>
    <t>Матвеев Александр Петрович</t>
  </si>
  <si>
    <t>27.04.98, кмс</t>
  </si>
  <si>
    <t>Вологодская, Вологда</t>
  </si>
  <si>
    <t>Мельников АВ Селяков ЮЛ</t>
  </si>
  <si>
    <t>Айриян Николай Сержикович</t>
  </si>
  <si>
    <t>21.03.87, кмс</t>
  </si>
  <si>
    <t>Московская, Дубна</t>
  </si>
  <si>
    <t>Малышев НН Карачевцев МС</t>
  </si>
  <si>
    <t>Соловьев Михаил Алексеевич</t>
  </si>
  <si>
    <t>13.11.96, кмс</t>
  </si>
  <si>
    <t>Рязанская, Рязань</t>
  </si>
  <si>
    <t>Жуков СИ Ханинёв АВ</t>
  </si>
  <si>
    <t>Наджмонов Авзунмехр Муминджонович</t>
  </si>
  <si>
    <t>03.07.95, кмс</t>
  </si>
  <si>
    <t>Каверзин ПИ Павлов ВВ</t>
  </si>
  <si>
    <t>В.к. 68 кг.</t>
  </si>
  <si>
    <t>3/0</t>
  </si>
  <si>
    <t>4/0</t>
  </si>
  <si>
    <t>3/1</t>
  </si>
  <si>
    <t>13-14</t>
  </si>
  <si>
    <t>15-18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</si>
</sst>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51"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sz val="9"/>
      <name val="Arial Narrow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 Cyr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2"/>
      <name val="Arial Cyr"/>
      <charset val="204"/>
    </font>
    <font>
      <i/>
      <sz val="10"/>
      <name val="Arial Narrow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b/>
      <i/>
      <sz val="16"/>
      <name val="Arial Narrow"/>
      <family val="2"/>
      <charset val="204"/>
    </font>
    <font>
      <b/>
      <i/>
      <sz val="14"/>
      <name val="Arial Narrow"/>
      <family val="2"/>
      <charset val="204"/>
    </font>
    <font>
      <b/>
      <sz val="16"/>
      <name val="Arial"/>
      <family val="2"/>
      <charset val="204"/>
    </font>
    <font>
      <b/>
      <sz val="10"/>
      <color theme="0"/>
      <name val="Arial"/>
      <family val="2"/>
      <charset val="204"/>
    </font>
    <font>
      <b/>
      <sz val="10"/>
      <color theme="0"/>
      <name val="Arial Narrow"/>
      <family val="2"/>
      <charset val="204"/>
    </font>
    <font>
      <b/>
      <sz val="8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1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89">
    <xf numFmtId="0" fontId="0" fillId="0" borderId="0" xfId="0"/>
    <xf numFmtId="0" fontId="0" fillId="0" borderId="0" xfId="0" applyAlignment="1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/>
    <xf numFmtId="0" fontId="3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7" fillId="0" borderId="0" xfId="0" applyFont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8" fillId="0" borderId="0" xfId="0" applyFont="1"/>
    <xf numFmtId="0" fontId="0" fillId="0" borderId="8" xfId="0" applyBorder="1"/>
    <xf numFmtId="0" fontId="8" fillId="0" borderId="0" xfId="0" applyFont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49" fontId="0" fillId="0" borderId="0" xfId="0" applyNumberFormat="1"/>
    <xf numFmtId="0" fontId="9" fillId="0" borderId="0" xfId="1" applyNumberFormat="1" applyFont="1" applyAlignment="1" applyProtection="1">
      <alignment vertical="center" wrapText="1"/>
    </xf>
    <xf numFmtId="0" fontId="10" fillId="0" borderId="0" xfId="0" applyFont="1"/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Border="1" applyAlignment="1" applyProtection="1"/>
    <xf numFmtId="0" fontId="12" fillId="0" borderId="0" xfId="1" applyFont="1" applyBorder="1" applyAlignment="1" applyProtection="1"/>
    <xf numFmtId="0" fontId="12" fillId="0" borderId="0" xfId="1" applyFont="1" applyAlignment="1" applyProtection="1"/>
    <xf numFmtId="0" fontId="7" fillId="0" borderId="0" xfId="0" applyFont="1" applyBorder="1"/>
    <xf numFmtId="0" fontId="7" fillId="0" borderId="0" xfId="0" applyFont="1"/>
    <xf numFmtId="0" fontId="2" fillId="0" borderId="0" xfId="0" applyFont="1" applyBorder="1" applyAlignment="1">
      <alignment vertical="center" wrapText="1"/>
    </xf>
    <xf numFmtId="49" fontId="0" fillId="0" borderId="0" xfId="0" applyNumberFormat="1" applyBorder="1"/>
    <xf numFmtId="0" fontId="3" fillId="0" borderId="9" xfId="0" applyFont="1" applyBorder="1" applyAlignment="1">
      <alignment horizontal="center" vertical="center" wrapText="1"/>
    </xf>
    <xf numFmtId="0" fontId="5" fillId="0" borderId="0" xfId="0" applyFont="1" applyAlignment="1"/>
    <xf numFmtId="0" fontId="0" fillId="0" borderId="12" xfId="0" applyBorder="1"/>
    <xf numFmtId="0" fontId="0" fillId="0" borderId="13" xfId="0" applyBorder="1"/>
    <xf numFmtId="0" fontId="0" fillId="0" borderId="1" xfId="0" applyBorder="1"/>
    <xf numFmtId="0" fontId="0" fillId="0" borderId="14" xfId="0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0" fillId="0" borderId="15" xfId="0" applyBorder="1"/>
    <xf numFmtId="0" fontId="0" fillId="0" borderId="4" xfId="0" applyBorder="1"/>
    <xf numFmtId="0" fontId="0" fillId="0" borderId="7" xfId="0" applyBorder="1"/>
    <xf numFmtId="0" fontId="4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0" fillId="0" borderId="16" xfId="0" applyBorder="1"/>
    <xf numFmtId="0" fontId="7" fillId="0" borderId="0" xfId="1" applyFont="1" applyBorder="1" applyAlignment="1" applyProtection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0" fillId="0" borderId="17" xfId="0" applyBorder="1"/>
    <xf numFmtId="0" fontId="7" fillId="0" borderId="0" xfId="0" applyFont="1" applyBorder="1" applyAlignment="1">
      <alignment horizontal="center"/>
    </xf>
    <xf numFmtId="0" fontId="10" fillId="0" borderId="0" xfId="1" applyFont="1" applyAlignment="1" applyProtection="1"/>
    <xf numFmtId="0" fontId="10" fillId="0" borderId="0" xfId="0" applyFont="1" applyBorder="1"/>
    <xf numFmtId="0" fontId="7" fillId="0" borderId="0" xfId="1" applyFont="1" applyBorder="1" applyAlignment="1" applyProtection="1">
      <alignment vertical="center" wrapText="1"/>
    </xf>
    <xf numFmtId="0" fontId="0" fillId="0" borderId="0" xfId="0" applyBorder="1" applyAlignment="1">
      <alignment horizontal="center"/>
    </xf>
    <xf numFmtId="0" fontId="5" fillId="0" borderId="0" xfId="1" applyFont="1" applyAlignment="1" applyProtection="1">
      <alignment horizontal="center" vertical="center"/>
    </xf>
    <xf numFmtId="0" fontId="22" fillId="0" borderId="0" xfId="0" applyFont="1"/>
    <xf numFmtId="0" fontId="21" fillId="0" borderId="0" xfId="0" applyFont="1"/>
    <xf numFmtId="0" fontId="21" fillId="0" borderId="8" xfId="0" applyFont="1" applyBorder="1"/>
    <xf numFmtId="0" fontId="21" fillId="0" borderId="0" xfId="0" applyFont="1" applyBorder="1"/>
    <xf numFmtId="0" fontId="21" fillId="0" borderId="9" xfId="0" applyFont="1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4" fillId="0" borderId="0" xfId="0" applyNumberFormat="1" applyFont="1" applyBorder="1" applyAlignment="1">
      <alignment horizontal="center" vertical="center"/>
    </xf>
    <xf numFmtId="49" fontId="14" fillId="0" borderId="18" xfId="0" applyNumberFormat="1" applyFont="1" applyBorder="1" applyAlignment="1">
      <alignment vertical="center"/>
    </xf>
    <xf numFmtId="0" fontId="5" fillId="0" borderId="18" xfId="0" applyNumberFormat="1" applyFont="1" applyBorder="1" applyAlignment="1">
      <alignment vertical="center"/>
    </xf>
    <xf numFmtId="0" fontId="14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4" fillId="0" borderId="0" xfId="0" applyNumberFormat="1" applyFont="1" applyAlignment="1">
      <alignment horizontal="center" vertical="center"/>
    </xf>
    <xf numFmtId="0" fontId="19" fillId="0" borderId="0" xfId="1" applyNumberFormat="1" applyFont="1" applyAlignment="1" applyProtection="1"/>
    <xf numFmtId="0" fontId="19" fillId="0" borderId="0" xfId="1" applyNumberFormat="1" applyFont="1" applyBorder="1" applyAlignment="1" applyProtection="1"/>
    <xf numFmtId="0" fontId="10" fillId="0" borderId="0" xfId="1" applyNumberFormat="1" applyFont="1" applyBorder="1" applyAlignment="1" applyProtection="1">
      <alignment horizontal="center"/>
    </xf>
    <xf numFmtId="49" fontId="5" fillId="0" borderId="18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7" borderId="0" xfId="0" applyFill="1"/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7" borderId="0" xfId="0" applyFill="1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0" borderId="0" xfId="1" applyNumberFormat="1" applyFont="1" applyAlignment="1" applyProtection="1">
      <alignment vertical="center" wrapText="1"/>
      <protection locked="0"/>
    </xf>
    <xf numFmtId="0" fontId="1" fillId="0" borderId="0" xfId="1" applyNumberFormat="1" applyFont="1" applyBorder="1" applyAlignment="1" applyProtection="1">
      <alignment vertical="center" wrapText="1"/>
      <protection locked="0"/>
    </xf>
    <xf numFmtId="0" fontId="5" fillId="0" borderId="0" xfId="0" applyNumberFormat="1" applyFont="1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9" fillId="0" borderId="0" xfId="0" applyNumberFormat="1" applyFont="1" applyProtection="1">
      <protection locked="0"/>
    </xf>
    <xf numFmtId="0" fontId="5" fillId="0" borderId="18" xfId="0" applyNumberFormat="1" applyFont="1" applyBorder="1" applyAlignment="1" applyProtection="1">
      <alignment vertical="center" wrapText="1"/>
      <protection locked="0"/>
    </xf>
    <xf numFmtId="0" fontId="0" fillId="0" borderId="0" xfId="0" applyNumberFormat="1" applyBorder="1" applyProtection="1">
      <protection locked="0"/>
    </xf>
    <xf numFmtId="49" fontId="15" fillId="0" borderId="4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0" fontId="39" fillId="0" borderId="0" xfId="0" applyNumberFormat="1" applyFont="1" applyBorder="1" applyAlignment="1" applyProtection="1">
      <alignment horizontal="right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8" fillId="0" borderId="0" xfId="0" applyNumberFormat="1" applyFont="1" applyProtection="1">
      <protection locked="0"/>
    </xf>
    <xf numFmtId="0" fontId="8" fillId="0" borderId="0" xfId="0" applyNumberFormat="1" applyFont="1" applyAlignment="1" applyProtection="1">
      <protection locked="0"/>
    </xf>
    <xf numFmtId="0" fontId="7" fillId="0" borderId="7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11" fillId="0" borderId="0" xfId="0" applyNumberFormat="1" applyFont="1" applyBorder="1" applyAlignment="1" applyProtection="1">
      <alignment horizontal="center"/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4" fillId="0" borderId="2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Protection="1"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0" fontId="10" fillId="0" borderId="0" xfId="0" applyNumberFormat="1" applyFont="1" applyBorder="1" applyAlignment="1" applyProtection="1">
      <alignment horizontal="center"/>
      <protection locked="0"/>
    </xf>
    <xf numFmtId="0" fontId="8" fillId="0" borderId="7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49" fontId="10" fillId="0" borderId="22" xfId="0" applyNumberFormat="1" applyFont="1" applyBorder="1" applyAlignment="1" applyProtection="1">
      <alignment horizontal="center" vertical="center" wrapText="1"/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8" fillId="0" borderId="5" xfId="0" applyNumberFormat="1" applyFont="1" applyBorder="1" applyAlignment="1" applyProtection="1">
      <alignment horizontal="center"/>
      <protection locked="0"/>
    </xf>
    <xf numFmtId="0" fontId="8" fillId="0" borderId="23" xfId="0" applyNumberFormat="1" applyFont="1" applyBorder="1" applyAlignment="1" applyProtection="1">
      <alignment horizontal="center"/>
      <protection locked="0"/>
    </xf>
    <xf numFmtId="0" fontId="0" fillId="0" borderId="8" xfId="0" applyNumberFormat="1" applyBorder="1" applyProtection="1">
      <protection locked="0"/>
    </xf>
    <xf numFmtId="0" fontId="4" fillId="0" borderId="0" xfId="0" applyNumberFormat="1" applyFont="1" applyBorder="1" applyAlignment="1" applyProtection="1">
      <alignment horizontal="center" vertical="center" wrapText="1"/>
      <protection locked="0"/>
    </xf>
    <xf numFmtId="0" fontId="11" fillId="0" borderId="0" xfId="0" applyNumberFormat="1" applyFont="1" applyFill="1" applyBorder="1" applyAlignment="1" applyProtection="1">
      <alignment horizontal="center"/>
      <protection locked="0"/>
    </xf>
    <xf numFmtId="0" fontId="0" fillId="0" borderId="5" xfId="0" applyNumberFormat="1" applyBorder="1" applyProtection="1">
      <protection locked="0"/>
    </xf>
    <xf numFmtId="0" fontId="10" fillId="0" borderId="8" xfId="0" applyNumberFormat="1" applyFont="1" applyBorder="1" applyAlignment="1" applyProtection="1">
      <alignment horizontal="center"/>
      <protection locked="0"/>
    </xf>
    <xf numFmtId="0" fontId="7" fillId="0" borderId="14" xfId="0" applyNumberFormat="1" applyFont="1" applyBorder="1" applyAlignment="1" applyProtection="1">
      <alignment horizontal="center"/>
      <protection locked="0"/>
    </xf>
    <xf numFmtId="0" fontId="7" fillId="0" borderId="17" xfId="0" applyNumberFormat="1" applyFont="1" applyBorder="1" applyAlignment="1" applyProtection="1">
      <alignment horizontal="center"/>
      <protection locked="0"/>
    </xf>
    <xf numFmtId="0" fontId="0" fillId="0" borderId="24" xfId="0" applyNumberFormat="1" applyBorder="1" applyProtection="1"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8" fillId="0" borderId="14" xfId="0" applyNumberFormat="1" applyFont="1" applyBorder="1" applyAlignment="1" applyProtection="1">
      <alignment horizontal="center"/>
      <protection locked="0"/>
    </xf>
    <xf numFmtId="49" fontId="10" fillId="0" borderId="0" xfId="0" applyNumberFormat="1" applyFont="1" applyBorder="1" applyAlignment="1" applyProtection="1">
      <alignment horizontal="center"/>
      <protection locked="0"/>
    </xf>
    <xf numFmtId="0" fontId="11" fillId="0" borderId="5" xfId="0" applyNumberFormat="1" applyFont="1" applyBorder="1" applyAlignment="1" applyProtection="1">
      <alignment horizontal="center"/>
      <protection locked="0"/>
    </xf>
    <xf numFmtId="0" fontId="4" fillId="0" borderId="14" xfId="0" applyNumberFormat="1" applyFont="1" applyBorder="1" applyAlignment="1" applyProtection="1">
      <alignment horizontal="center"/>
      <protection locked="0"/>
    </xf>
    <xf numFmtId="0" fontId="0" fillId="0" borderId="25" xfId="0" applyNumberFormat="1" applyBorder="1" applyProtection="1">
      <protection locked="0"/>
    </xf>
    <xf numFmtId="0" fontId="0" fillId="0" borderId="9" xfId="0" applyNumberFormat="1" applyBorder="1" applyProtection="1">
      <protection locked="0"/>
    </xf>
    <xf numFmtId="0" fontId="4" fillId="0" borderId="14" xfId="0" applyNumberFormat="1" applyFont="1" applyBorder="1" applyAlignment="1" applyProtection="1">
      <alignment horizontal="center" vertical="center" wrapText="1"/>
      <protection locked="0"/>
    </xf>
    <xf numFmtId="0" fontId="0" fillId="0" borderId="14" xfId="0" applyNumberFormat="1" applyBorder="1" applyProtection="1">
      <protection locked="0"/>
    </xf>
    <xf numFmtId="0" fontId="3" fillId="0" borderId="14" xfId="0" applyNumberFormat="1" applyFont="1" applyBorder="1" applyAlignment="1" applyProtection="1">
      <alignment horizontal="center" vertical="center" wrapText="1"/>
      <protection locked="0"/>
    </xf>
    <xf numFmtId="0" fontId="10" fillId="0" borderId="5" xfId="0" applyNumberFormat="1" applyFont="1" applyBorder="1" applyAlignment="1" applyProtection="1">
      <alignment horizontal="center"/>
      <protection locked="0"/>
    </xf>
    <xf numFmtId="0" fontId="12" fillId="0" borderId="14" xfId="0" applyNumberFormat="1" applyFont="1" applyBorder="1" applyAlignment="1" applyProtection="1">
      <alignment horizontal="center"/>
      <protection locked="0"/>
    </xf>
    <xf numFmtId="0" fontId="0" fillId="0" borderId="17" xfId="0" applyNumberFormat="1" applyBorder="1" applyProtection="1">
      <protection locked="0"/>
    </xf>
    <xf numFmtId="0" fontId="0" fillId="0" borderId="0" xfId="0" applyNumberFormat="1" applyFill="1" applyBorder="1" applyProtection="1">
      <protection locked="0"/>
    </xf>
    <xf numFmtId="0" fontId="8" fillId="0" borderId="0" xfId="0" applyNumberFormat="1" applyFont="1" applyFill="1" applyAlignment="1" applyProtection="1">
      <protection locked="0"/>
    </xf>
    <xf numFmtId="0" fontId="8" fillId="0" borderId="0" xfId="0" applyNumberFormat="1" applyFont="1" applyAlignment="1" applyProtection="1">
      <alignment horizontal="center"/>
      <protection locked="0"/>
    </xf>
    <xf numFmtId="0" fontId="9" fillId="0" borderId="0" xfId="0" applyNumberFormat="1" applyFont="1" applyBorder="1" applyProtection="1">
      <protection locked="0"/>
    </xf>
    <xf numFmtId="0" fontId="7" fillId="0" borderId="14" xfId="0" applyNumberFormat="1" applyFont="1" applyBorder="1" applyAlignment="1" applyProtection="1">
      <protection locked="0"/>
    </xf>
    <xf numFmtId="0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26" xfId="0" applyNumberFormat="1" applyFont="1" applyBorder="1" applyAlignment="1" applyProtection="1">
      <alignment horizontal="center"/>
      <protection locked="0"/>
    </xf>
    <xf numFmtId="0" fontId="9" fillId="0" borderId="14" xfId="0" applyNumberFormat="1" applyFont="1" applyBorder="1" applyProtection="1">
      <protection locked="0"/>
    </xf>
    <xf numFmtId="0" fontId="8" fillId="0" borderId="12" xfId="0" applyNumberFormat="1" applyFont="1" applyBorder="1" applyAlignment="1" applyProtection="1">
      <alignment horizontal="center"/>
      <protection locked="0"/>
    </xf>
    <xf numFmtId="0" fontId="4" fillId="0" borderId="17" xfId="0" applyNumberFormat="1" applyFont="1" applyBorder="1" applyAlignment="1" applyProtection="1">
      <alignment horizontal="center"/>
      <protection locked="0"/>
    </xf>
    <xf numFmtId="0" fontId="7" fillId="0" borderId="9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NumberFormat="1" applyFont="1" applyBorder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horizontal="right"/>
      <protection locked="0"/>
    </xf>
    <xf numFmtId="0" fontId="0" fillId="0" borderId="0" xfId="0" applyNumberFormat="1" applyAlignment="1" applyProtection="1">
      <protection locked="0"/>
    </xf>
    <xf numFmtId="0" fontId="40" fillId="0" borderId="0" xfId="0" applyNumberFormat="1" applyFont="1" applyProtection="1">
      <protection locked="0"/>
    </xf>
    <xf numFmtId="0" fontId="10" fillId="0" borderId="0" xfId="1" applyNumberFormat="1" applyFont="1" applyAlignment="1" applyProtection="1">
      <protection locked="0"/>
    </xf>
    <xf numFmtId="0" fontId="3" fillId="0" borderId="0" xfId="0" applyNumberFormat="1" applyFont="1" applyProtection="1">
      <protection locked="0"/>
    </xf>
    <xf numFmtId="0" fontId="3" fillId="0" borderId="0" xfId="0" applyNumberFormat="1" applyFont="1" applyBorder="1" applyProtection="1">
      <protection locked="0"/>
    </xf>
    <xf numFmtId="0" fontId="1" fillId="0" borderId="0" xfId="0" applyNumberFormat="1" applyFont="1" applyBorder="1" applyProtection="1">
      <protection locked="0"/>
    </xf>
    <xf numFmtId="0" fontId="11" fillId="0" borderId="0" xfId="1" applyNumberFormat="1" applyFont="1" applyBorder="1" applyAlignment="1" applyProtection="1">
      <alignment horizontal="left"/>
      <protection locked="0"/>
    </xf>
    <xf numFmtId="0" fontId="10" fillId="0" borderId="0" xfId="0" applyNumberFormat="1" applyFont="1" applyProtection="1">
      <protection locked="0"/>
    </xf>
    <xf numFmtId="0" fontId="1" fillId="0" borderId="0" xfId="0" applyNumberFormat="1" applyFont="1" applyProtection="1">
      <protection locked="0"/>
    </xf>
    <xf numFmtId="0" fontId="10" fillId="0" borderId="8" xfId="0" applyNumberFormat="1" applyFont="1" applyBorder="1" applyProtection="1">
      <protection locked="0"/>
    </xf>
    <xf numFmtId="0" fontId="1" fillId="0" borderId="8" xfId="0" applyNumberFormat="1" applyFont="1" applyBorder="1" applyProtection="1">
      <protection locked="0"/>
    </xf>
    <xf numFmtId="0" fontId="35" fillId="0" borderId="0" xfId="1" applyNumberFormat="1" applyFont="1" applyBorder="1" applyAlignment="1" applyProtection="1">
      <protection locked="0"/>
    </xf>
    <xf numFmtId="0" fontId="10" fillId="0" borderId="9" xfId="0" applyNumberFormat="1" applyFont="1" applyBorder="1" applyProtection="1">
      <protection locked="0"/>
    </xf>
    <xf numFmtId="0" fontId="1" fillId="0" borderId="9" xfId="0" applyNumberFormat="1" applyFont="1" applyBorder="1" applyProtection="1">
      <protection locked="0"/>
    </xf>
    <xf numFmtId="0" fontId="18" fillId="0" borderId="0" xfId="0" applyNumberFormat="1" applyFont="1" applyProtection="1">
      <protection locked="0"/>
    </xf>
    <xf numFmtId="0" fontId="8" fillId="0" borderId="0" xfId="1" applyNumberFormat="1" applyFont="1" applyFill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49" fontId="12" fillId="0" borderId="0" xfId="1" applyNumberFormat="1" applyFont="1" applyBorder="1" applyAlignment="1" applyProtection="1">
      <protection locked="0"/>
    </xf>
    <xf numFmtId="49" fontId="0" fillId="0" borderId="0" xfId="0" applyNumberFormat="1" applyBorder="1" applyProtection="1">
      <protection locked="0"/>
    </xf>
    <xf numFmtId="0" fontId="7" fillId="0" borderId="0" xfId="1" applyNumberFormat="1" applyFont="1" applyBorder="1" applyAlignment="1" applyProtection="1">
      <protection locked="0"/>
    </xf>
    <xf numFmtId="0" fontId="0" fillId="0" borderId="0" xfId="0" applyBorder="1" applyAlignment="1"/>
    <xf numFmtId="0" fontId="0" fillId="0" borderId="27" xfId="0" applyBorder="1" applyProtection="1">
      <protection locked="0" hidden="1"/>
    </xf>
    <xf numFmtId="0" fontId="0" fillId="0" borderId="0" xfId="0" applyProtection="1">
      <protection locked="0" hidden="1"/>
    </xf>
    <xf numFmtId="0" fontId="0" fillId="0" borderId="27" xfId="0" applyBorder="1" applyProtection="1">
      <protection hidden="1"/>
    </xf>
    <xf numFmtId="0" fontId="0" fillId="7" borderId="0" xfId="0" applyFill="1" applyProtection="1">
      <protection locked="0" hidden="1"/>
    </xf>
    <xf numFmtId="0" fontId="0" fillId="0" borderId="28" xfId="0" applyBorder="1" applyProtection="1">
      <protection hidden="1"/>
    </xf>
    <xf numFmtId="0" fontId="4" fillId="0" borderId="29" xfId="0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0" fontId="3" fillId="0" borderId="32" xfId="0" applyFont="1" applyBorder="1" applyAlignment="1" applyProtection="1">
      <alignment horizontal="center"/>
      <protection locked="0" hidden="1"/>
    </xf>
    <xf numFmtId="0" fontId="3" fillId="0" borderId="13" xfId="0" applyFont="1" applyBorder="1" applyAlignment="1">
      <alignment horizontal="left" vertical="center"/>
    </xf>
    <xf numFmtId="0" fontId="3" fillId="0" borderId="6" xfId="0" applyNumberFormat="1" applyFont="1" applyFill="1" applyBorder="1" applyAlignment="1" applyProtection="1">
      <alignment horizontal="center"/>
      <protection locked="0" hidden="1"/>
    </xf>
    <xf numFmtId="0" fontId="3" fillId="7" borderId="6" xfId="0" applyNumberFormat="1" applyFont="1" applyFill="1" applyBorder="1" applyAlignment="1" applyProtection="1">
      <alignment horizontal="center"/>
      <protection locked="0" hidden="1"/>
    </xf>
    <xf numFmtId="0" fontId="3" fillId="0" borderId="33" xfId="0" applyFont="1" applyBorder="1" applyAlignment="1" applyProtection="1">
      <alignment horizontal="center"/>
      <protection locked="0" hidden="1"/>
    </xf>
    <xf numFmtId="0" fontId="3" fillId="0" borderId="34" xfId="0" applyFont="1" applyBorder="1" applyAlignment="1" applyProtection="1">
      <alignment horizontal="center"/>
      <protection locked="0" hidden="1"/>
    </xf>
    <xf numFmtId="0" fontId="39" fillId="0" borderId="34" xfId="0" applyFont="1" applyBorder="1" applyAlignment="1" applyProtection="1">
      <alignment horizontal="center"/>
      <protection locked="0" hidden="1"/>
    </xf>
    <xf numFmtId="0" fontId="39" fillId="0" borderId="6" xfId="0" applyNumberFormat="1" applyFont="1" applyFill="1" applyBorder="1" applyAlignment="1" applyProtection="1">
      <alignment horizontal="center"/>
      <protection locked="0" hidden="1"/>
    </xf>
    <xf numFmtId="0" fontId="39" fillId="7" borderId="6" xfId="0" applyNumberFormat="1" applyFont="1" applyFill="1" applyBorder="1" applyAlignment="1" applyProtection="1">
      <alignment horizontal="center"/>
      <protection locked="0" hidden="1"/>
    </xf>
    <xf numFmtId="0" fontId="39" fillId="0" borderId="33" xfId="0" applyFont="1" applyBorder="1" applyAlignment="1" applyProtection="1">
      <alignment horizontal="center"/>
      <protection locked="0" hidden="1"/>
    </xf>
    <xf numFmtId="0" fontId="39" fillId="0" borderId="13" xfId="0" applyFont="1" applyBorder="1" applyAlignment="1">
      <alignment horizontal="left" vertical="center"/>
    </xf>
    <xf numFmtId="0" fontId="39" fillId="0" borderId="33" xfId="0" applyFont="1" applyBorder="1" applyAlignment="1">
      <alignment horizontal="left" vertical="center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Fill="1" applyBorder="1"/>
    <xf numFmtId="0" fontId="4" fillId="3" borderId="35" xfId="0" applyNumberFormat="1" applyFont="1" applyFill="1" applyBorder="1" applyAlignment="1" applyProtection="1">
      <alignment horizontal="center" vertical="center"/>
      <protection locked="0" hidden="1"/>
    </xf>
    <xf numFmtId="0" fontId="3" fillId="0" borderId="33" xfId="0" applyFont="1" applyBorder="1" applyAlignment="1">
      <alignment horizontal="left" vertical="center"/>
    </xf>
    <xf numFmtId="0" fontId="7" fillId="0" borderId="0" xfId="1" applyNumberFormat="1" applyFont="1" applyBorder="1" applyAlignment="1" applyProtection="1">
      <alignment wrapText="1"/>
      <protection locked="0"/>
    </xf>
    <xf numFmtId="0" fontId="17" fillId="0" borderId="0" xfId="0" applyFont="1" applyAlignment="1">
      <alignment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36" xfId="0" applyFont="1" applyFill="1" applyBorder="1" applyAlignment="1" applyProtection="1">
      <alignment horizontal="center" vertical="center"/>
      <protection locked="0"/>
    </xf>
    <xf numFmtId="0" fontId="3" fillId="0" borderId="37" xfId="0" applyFont="1" applyBorder="1" applyAlignment="1" applyProtection="1">
      <alignment horizontal="center"/>
      <protection locked="0" hidden="1"/>
    </xf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3" fillId="0" borderId="41" xfId="0" applyFont="1" applyBorder="1" applyAlignment="1" applyProtection="1">
      <alignment horizontal="center"/>
      <protection locked="0" hidden="1"/>
    </xf>
    <xf numFmtId="0" fontId="0" fillId="0" borderId="42" xfId="0" applyBorder="1"/>
    <xf numFmtId="0" fontId="0" fillId="0" borderId="27" xfId="0" applyBorder="1"/>
    <xf numFmtId="0" fontId="0" fillId="0" borderId="43" xfId="0" applyBorder="1"/>
    <xf numFmtId="0" fontId="3" fillId="0" borderId="12" xfId="0" applyFont="1" applyBorder="1" applyAlignment="1" applyProtection="1">
      <alignment horizontal="center"/>
      <protection locked="0" hidden="1"/>
    </xf>
    <xf numFmtId="0" fontId="3" fillId="0" borderId="44" xfId="0" applyFont="1" applyBorder="1" applyAlignment="1" applyProtection="1">
      <alignment horizontal="center"/>
      <protection locked="0" hidden="1"/>
    </xf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4" fillId="3" borderId="29" xfId="0" applyNumberFormat="1" applyFont="1" applyFill="1" applyBorder="1" applyAlignment="1" applyProtection="1">
      <alignment horizontal="center" vertical="center"/>
      <protection locked="0" hidden="1"/>
    </xf>
    <xf numFmtId="0" fontId="2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48" xfId="0" applyBorder="1" applyProtection="1">
      <protection hidden="1"/>
    </xf>
    <xf numFmtId="0" fontId="0" fillId="0" borderId="49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0" fillId="0" borderId="15" xfId="0" applyBorder="1" applyProtection="1">
      <protection hidden="1"/>
    </xf>
    <xf numFmtId="0" fontId="0" fillId="7" borderId="5" xfId="0" applyFill="1" applyBorder="1" applyProtection="1">
      <protection locked="0" hidden="1"/>
    </xf>
    <xf numFmtId="0" fontId="0" fillId="0" borderId="14" xfId="0" applyFill="1" applyBorder="1" applyProtection="1">
      <protection hidden="1"/>
    </xf>
    <xf numFmtId="0" fontId="10" fillId="0" borderId="8" xfId="0" applyFont="1" applyBorder="1"/>
    <xf numFmtId="0" fontId="10" fillId="0" borderId="27" xfId="0" applyFont="1" applyBorder="1" applyAlignment="1" applyProtection="1">
      <alignment vertical="center" wrapText="1"/>
      <protection hidden="1"/>
    </xf>
    <xf numFmtId="0" fontId="10" fillId="0" borderId="27" xfId="0" applyFont="1" applyBorder="1" applyAlignment="1">
      <alignment vertical="center" wrapText="1"/>
    </xf>
    <xf numFmtId="0" fontId="0" fillId="0" borderId="10" xfId="0" applyBorder="1" applyProtection="1">
      <protection locked="0" hidden="1"/>
    </xf>
    <xf numFmtId="0" fontId="1" fillId="0" borderId="27" xfId="0" applyFont="1" applyBorder="1" applyProtection="1">
      <protection locked="0" hidden="1"/>
    </xf>
    <xf numFmtId="0" fontId="1" fillId="0" borderId="48" xfId="0" applyFont="1" applyBorder="1" applyProtection="1">
      <protection hidden="1"/>
    </xf>
    <xf numFmtId="49" fontId="0" fillId="0" borderId="27" xfId="0" applyNumberFormat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10" fillId="7" borderId="27" xfId="0" applyFont="1" applyFill="1" applyBorder="1" applyAlignment="1">
      <alignment vertical="center" wrapText="1"/>
    </xf>
    <xf numFmtId="0" fontId="0" fillId="0" borderId="49" xfId="0" applyBorder="1" applyAlignment="1" applyProtection="1">
      <protection hidden="1"/>
    </xf>
    <xf numFmtId="0" fontId="10" fillId="0" borderId="27" xfId="0" applyFont="1" applyBorder="1" applyAlignment="1" applyProtection="1">
      <alignment horizontal="center" vertical="center" wrapText="1"/>
      <protection hidden="1"/>
    </xf>
    <xf numFmtId="0" fontId="41" fillId="7" borderId="27" xfId="0" applyFont="1" applyFill="1" applyBorder="1" applyProtection="1">
      <protection hidden="1"/>
    </xf>
    <xf numFmtId="0" fontId="1" fillId="7" borderId="27" xfId="0" applyFont="1" applyFill="1" applyBorder="1" applyProtection="1">
      <protection locked="0" hidden="1"/>
    </xf>
    <xf numFmtId="0" fontId="1" fillId="7" borderId="49" xfId="2" applyNumberFormat="1" applyFont="1" applyFill="1" applyBorder="1" applyProtection="1">
      <protection locked="0" hidden="1"/>
    </xf>
    <xf numFmtId="0" fontId="1" fillId="7" borderId="27" xfId="2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7" xfId="0" applyFont="1" applyFill="1" applyBorder="1" applyProtection="1">
      <protection hidden="1"/>
    </xf>
    <xf numFmtId="49" fontId="10" fillId="0" borderId="27" xfId="0" applyNumberFormat="1" applyFont="1" applyBorder="1" applyAlignment="1">
      <alignment vertical="center" wrapText="1"/>
    </xf>
    <xf numFmtId="14" fontId="10" fillId="0" borderId="27" xfId="0" applyNumberFormat="1" applyFont="1" applyBorder="1" applyAlignment="1">
      <alignment vertical="center" wrapText="1"/>
    </xf>
    <xf numFmtId="0" fontId="10" fillId="0" borderId="27" xfId="0" applyNumberFormat="1" applyFont="1" applyBorder="1" applyAlignment="1" applyProtection="1">
      <alignment vertical="center" wrapText="1"/>
      <protection hidden="1"/>
    </xf>
    <xf numFmtId="49" fontId="10" fillId="0" borderId="27" xfId="0" applyNumberFormat="1" applyFont="1" applyBorder="1" applyAlignment="1" applyProtection="1">
      <alignment vertical="center" wrapText="1"/>
      <protection hidden="1"/>
    </xf>
    <xf numFmtId="0" fontId="1" fillId="0" borderId="0" xfId="0" applyFont="1"/>
    <xf numFmtId="49" fontId="0" fillId="0" borderId="0" xfId="0" applyNumberFormat="1" applyBorder="1" applyAlignment="1">
      <alignment vertical="center" wrapText="1"/>
    </xf>
    <xf numFmtId="0" fontId="12" fillId="9" borderId="14" xfId="0" applyNumberFormat="1" applyFont="1" applyFill="1" applyBorder="1" applyAlignment="1" applyProtection="1">
      <alignment horizontal="center"/>
      <protection locked="0"/>
    </xf>
    <xf numFmtId="49" fontId="11" fillId="0" borderId="33" xfId="0" applyNumberFormat="1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32" fillId="0" borderId="86" xfId="0" applyFont="1" applyBorder="1" applyAlignment="1">
      <alignment horizontal="center" vertical="center" wrapText="1"/>
    </xf>
    <xf numFmtId="49" fontId="11" fillId="0" borderId="57" xfId="0" applyNumberFormat="1" applyFont="1" applyBorder="1" applyAlignment="1">
      <alignment horizontal="center" vertical="center" wrapText="1"/>
    </xf>
    <xf numFmtId="0" fontId="10" fillId="0" borderId="9" xfId="0" applyFont="1" applyBorder="1"/>
    <xf numFmtId="0" fontId="2" fillId="0" borderId="0" xfId="1" applyFont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44" fillId="0" borderId="0" xfId="0" applyFont="1" applyAlignment="1">
      <alignment horizontal="center" vertical="center"/>
    </xf>
    <xf numFmtId="0" fontId="10" fillId="7" borderId="27" xfId="0" applyFont="1" applyFill="1" applyBorder="1" applyAlignment="1">
      <alignment vertical="top" wrapText="1"/>
    </xf>
    <xf numFmtId="0" fontId="10" fillId="0" borderId="27" xfId="0" applyFont="1" applyBorder="1" applyAlignment="1">
      <alignment vertical="top" wrapText="1"/>
    </xf>
    <xf numFmtId="0" fontId="10" fillId="0" borderId="27" xfId="0" applyFont="1" applyBorder="1" applyAlignment="1" applyProtection="1">
      <alignment vertical="top" wrapText="1"/>
      <protection hidden="1"/>
    </xf>
    <xf numFmtId="0" fontId="10" fillId="7" borderId="28" xfId="0" applyFont="1" applyFill="1" applyBorder="1" applyAlignment="1">
      <alignment vertical="top" wrapText="1"/>
    </xf>
    <xf numFmtId="0" fontId="10" fillId="0" borderId="28" xfId="0" applyFont="1" applyBorder="1" applyAlignment="1">
      <alignment vertical="top" wrapText="1"/>
    </xf>
    <xf numFmtId="0" fontId="10" fillId="0" borderId="28" xfId="0" applyFont="1" applyBorder="1" applyAlignment="1" applyProtection="1">
      <alignment vertical="top" wrapText="1"/>
      <protection hidden="1"/>
    </xf>
    <xf numFmtId="14" fontId="10" fillId="7" borderId="27" xfId="0" applyNumberFormat="1" applyFont="1" applyFill="1" applyBorder="1" applyAlignment="1">
      <alignment vertical="center" wrapText="1"/>
    </xf>
    <xf numFmtId="49" fontId="10" fillId="7" borderId="27" xfId="0" applyNumberFormat="1" applyFont="1" applyFill="1" applyBorder="1" applyAlignment="1">
      <alignment vertical="center" wrapText="1"/>
    </xf>
    <xf numFmtId="0" fontId="10" fillId="0" borderId="27" xfId="0" applyFont="1" applyBorder="1" applyAlignment="1">
      <alignment vertical="top"/>
    </xf>
    <xf numFmtId="0" fontId="44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47" fillId="0" borderId="27" xfId="0" applyFont="1" applyBorder="1" applyProtection="1">
      <protection hidden="1"/>
    </xf>
    <xf numFmtId="0" fontId="10" fillId="0" borderId="0" xfId="0" applyFont="1" applyAlignment="1">
      <alignment horizontal="center" vertical="center"/>
    </xf>
    <xf numFmtId="0" fontId="11" fillId="0" borderId="0" xfId="0" applyNumberFormat="1" applyFont="1" applyBorder="1" applyAlignment="1">
      <alignment horizontal="center" vertical="center" wrapText="1"/>
    </xf>
    <xf numFmtId="0" fontId="11" fillId="7" borderId="0" xfId="0" applyNumberFormat="1" applyFont="1" applyFill="1" applyBorder="1" applyAlignment="1">
      <alignment horizontal="center" vertical="center" wrapText="1"/>
    </xf>
    <xf numFmtId="0" fontId="11" fillId="8" borderId="0" xfId="0" applyNumberFormat="1" applyFont="1" applyFill="1" applyBorder="1" applyAlignment="1">
      <alignment horizontal="center" vertical="center" wrapText="1"/>
    </xf>
    <xf numFmtId="0" fontId="45" fillId="7" borderId="0" xfId="1" applyFont="1" applyFill="1" applyBorder="1" applyAlignment="1" applyProtection="1">
      <alignment horizontal="center" vertical="center" wrapText="1"/>
    </xf>
    <xf numFmtId="0" fontId="0" fillId="0" borderId="86" xfId="0" applyBorder="1"/>
    <xf numFmtId="0" fontId="48" fillId="0" borderId="0" xfId="0" applyNumberFormat="1" applyFont="1" applyBorder="1" applyAlignment="1" applyProtection="1">
      <alignment horizontal="center"/>
      <protection locked="0"/>
    </xf>
    <xf numFmtId="0" fontId="32" fillId="0" borderId="90" xfId="0" applyFont="1" applyBorder="1" applyAlignment="1">
      <alignment horizontal="center" vertical="center" wrapText="1"/>
    </xf>
    <xf numFmtId="0" fontId="11" fillId="0" borderId="50" xfId="0" applyNumberFormat="1" applyFont="1" applyBorder="1" applyAlignment="1">
      <alignment vertical="center" wrapText="1"/>
    </xf>
    <xf numFmtId="0" fontId="11" fillId="0" borderId="85" xfId="0" applyNumberFormat="1" applyFont="1" applyBorder="1" applyAlignment="1">
      <alignment vertical="center" wrapText="1"/>
    </xf>
    <xf numFmtId="0" fontId="11" fillId="0" borderId="78" xfId="1" applyFont="1" applyFill="1" applyBorder="1" applyAlignment="1" applyProtection="1">
      <alignment vertical="center" wrapText="1"/>
    </xf>
    <xf numFmtId="0" fontId="11" fillId="0" borderId="39" xfId="0" applyNumberFormat="1" applyFont="1" applyBorder="1" applyAlignment="1">
      <alignment vertical="center" wrapText="1"/>
    </xf>
    <xf numFmtId="0" fontId="49" fillId="0" borderId="76" xfId="0" applyNumberFormat="1" applyFont="1" applyBorder="1" applyAlignment="1">
      <alignment vertical="center" wrapText="1"/>
    </xf>
    <xf numFmtId="0" fontId="11" fillId="0" borderId="87" xfId="0" applyNumberFormat="1" applyFont="1" applyBorder="1" applyAlignment="1">
      <alignment vertical="center" wrapText="1"/>
    </xf>
    <xf numFmtId="0" fontId="11" fillId="0" borderId="89" xfId="0" applyNumberFormat="1" applyFont="1" applyBorder="1" applyAlignment="1">
      <alignment vertical="center" wrapText="1"/>
    </xf>
    <xf numFmtId="0" fontId="11" fillId="0" borderId="2" xfId="0" applyNumberFormat="1" applyFont="1" applyBorder="1" applyAlignment="1">
      <alignment vertical="center" wrapText="1"/>
    </xf>
    <xf numFmtId="0" fontId="11" fillId="0" borderId="10" xfId="1" applyFont="1" applyFill="1" applyBorder="1" applyAlignment="1" applyProtection="1">
      <alignment vertical="center" wrapText="1"/>
    </xf>
    <xf numFmtId="0" fontId="11" fillId="0" borderId="10" xfId="0" applyNumberFormat="1" applyFont="1" applyBorder="1" applyAlignment="1">
      <alignment vertical="center" wrapText="1"/>
    </xf>
    <xf numFmtId="0" fontId="49" fillId="0" borderId="10" xfId="0" applyNumberFormat="1" applyFont="1" applyBorder="1" applyAlignment="1">
      <alignment vertical="center" wrapText="1"/>
    </xf>
    <xf numFmtId="0" fontId="11" fillId="0" borderId="80" xfId="0" applyNumberFormat="1" applyFont="1" applyBorder="1" applyAlignment="1">
      <alignment vertical="center" wrapText="1"/>
    </xf>
    <xf numFmtId="0" fontId="11" fillId="0" borderId="57" xfId="0" applyNumberFormat="1" applyFont="1" applyBorder="1" applyAlignment="1">
      <alignment vertical="center" wrapText="1"/>
    </xf>
    <xf numFmtId="0" fontId="11" fillId="0" borderId="45" xfId="0" applyNumberFormat="1" applyFont="1" applyBorder="1" applyAlignment="1">
      <alignment vertical="center" wrapText="1"/>
    </xf>
    <xf numFmtId="0" fontId="11" fillId="0" borderId="46" xfId="1" applyFont="1" applyFill="1" applyBorder="1" applyAlignment="1" applyProtection="1">
      <alignment vertical="center" wrapText="1"/>
    </xf>
    <xf numFmtId="0" fontId="11" fillId="0" borderId="46" xfId="0" applyNumberFormat="1" applyFont="1" applyBorder="1" applyAlignment="1">
      <alignment vertical="center" wrapText="1"/>
    </xf>
    <xf numFmtId="0" fontId="49" fillId="0" borderId="46" xfId="0" applyNumberFormat="1" applyFont="1" applyBorder="1" applyAlignment="1">
      <alignment vertical="center" wrapText="1"/>
    </xf>
    <xf numFmtId="0" fontId="11" fillId="0" borderId="47" xfId="0" applyNumberFormat="1" applyFont="1" applyBorder="1" applyAlignment="1">
      <alignment vertical="center" wrapText="1"/>
    </xf>
    <xf numFmtId="0" fontId="38" fillId="0" borderId="0" xfId="0" applyFont="1" applyAlignment="1">
      <alignment horizontal="center" vertical="center"/>
    </xf>
    <xf numFmtId="0" fontId="2" fillId="0" borderId="0" xfId="1" applyFont="1" applyBorder="1" applyAlignment="1" applyProtection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10" fillId="0" borderId="24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0" fillId="0" borderId="14" xfId="0" applyNumberFormat="1" applyFont="1" applyBorder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44" fillId="0" borderId="0" xfId="1" applyNumberFormat="1" applyFont="1" applyFill="1" applyBorder="1" applyAlignment="1" applyProtection="1">
      <alignment horizontal="center" vertical="center" wrapText="1"/>
    </xf>
    <xf numFmtId="0" fontId="42" fillId="0" borderId="50" xfId="0" applyFont="1" applyBorder="1" applyAlignment="1">
      <alignment horizontal="center" vertical="center"/>
    </xf>
    <xf numFmtId="0" fontId="42" fillId="0" borderId="51" xfId="0" applyFont="1" applyBorder="1" applyAlignment="1">
      <alignment horizontal="center" vertical="center"/>
    </xf>
    <xf numFmtId="0" fontId="42" fillId="0" borderId="52" xfId="0" applyFont="1" applyBorder="1" applyAlignment="1">
      <alignment horizontal="center" vertical="center"/>
    </xf>
    <xf numFmtId="0" fontId="42" fillId="0" borderId="53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10" fillId="0" borderId="0" xfId="0" applyFont="1" applyBorder="1" applyAlignment="1" applyProtection="1">
      <alignment vertical="center" wrapText="1"/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5" fillId="0" borderId="0" xfId="0" applyNumberFormat="1" applyFont="1" applyBorder="1" applyAlignment="1" applyProtection="1">
      <alignment horizontal="center" vertical="center" wrapText="1"/>
      <protection locked="0"/>
    </xf>
    <xf numFmtId="0" fontId="10" fillId="0" borderId="21" xfId="1" applyNumberFormat="1" applyFont="1" applyBorder="1" applyAlignment="1" applyProtection="1">
      <alignment horizontal="center" vertical="center" wrapText="1"/>
      <protection locked="0"/>
    </xf>
    <xf numFmtId="0" fontId="10" fillId="0" borderId="22" xfId="1" applyNumberFormat="1" applyFont="1" applyBorder="1" applyAlignment="1" applyProtection="1">
      <alignment horizontal="center" vertical="center" wrapText="1"/>
      <protection locked="0"/>
    </xf>
    <xf numFmtId="0" fontId="10" fillId="0" borderId="89" xfId="1" applyNumberFormat="1" applyFont="1" applyBorder="1" applyAlignment="1" applyProtection="1">
      <alignment horizontal="left" vertical="center" wrapText="1"/>
      <protection locked="0"/>
    </xf>
    <xf numFmtId="0" fontId="10" fillId="0" borderId="22" xfId="1" applyNumberFormat="1" applyFont="1" applyBorder="1" applyAlignment="1" applyProtection="1">
      <alignment horizontal="left" vertical="center" wrapText="1"/>
      <protection locked="0"/>
    </xf>
    <xf numFmtId="0" fontId="5" fillId="0" borderId="32" xfId="0" applyNumberFormat="1" applyFont="1" applyBorder="1" applyAlignment="1" applyProtection="1">
      <alignment horizontal="center" vertical="center" wrapText="1"/>
      <protection locked="0"/>
    </xf>
    <xf numFmtId="0" fontId="5" fillId="0" borderId="33" xfId="0" applyNumberFormat="1" applyFont="1" applyBorder="1" applyAlignment="1" applyProtection="1">
      <alignment horizontal="center" vertical="center" wrapText="1"/>
      <protection locked="0"/>
    </xf>
    <xf numFmtId="0" fontId="5" fillId="0" borderId="57" xfId="0" applyNumberFormat="1" applyFont="1" applyBorder="1" applyAlignment="1" applyProtection="1">
      <alignment horizontal="center" vertical="center" wrapText="1"/>
      <protection locked="0"/>
    </xf>
    <xf numFmtId="0" fontId="10" fillId="0" borderId="32" xfId="1" applyNumberFormat="1" applyFont="1" applyBorder="1" applyAlignment="1" applyProtection="1">
      <alignment horizontal="left" vertical="center" wrapText="1"/>
      <protection locked="0"/>
    </xf>
    <xf numFmtId="0" fontId="10" fillId="0" borderId="33" xfId="0" applyNumberFormat="1" applyFont="1" applyBorder="1" applyAlignment="1" applyProtection="1">
      <alignment horizontal="left" vertical="center" wrapText="1"/>
      <protection locked="0"/>
    </xf>
    <xf numFmtId="0" fontId="10" fillId="0" borderId="21" xfId="1" applyNumberFormat="1" applyFont="1" applyBorder="1" applyAlignment="1" applyProtection="1">
      <alignment horizontal="left" vertical="center" wrapText="1"/>
      <protection locked="0"/>
    </xf>
    <xf numFmtId="0" fontId="10" fillId="0" borderId="34" xfId="1" applyNumberFormat="1" applyFont="1" applyBorder="1" applyAlignment="1" applyProtection="1">
      <alignment horizontal="left" vertical="center" wrapText="1"/>
      <protection locked="0"/>
    </xf>
    <xf numFmtId="0" fontId="7" fillId="0" borderId="64" xfId="0" applyNumberFormat="1" applyFont="1" applyBorder="1" applyAlignment="1" applyProtection="1">
      <alignment horizontal="center" vertical="center" wrapText="1"/>
      <protection locked="0"/>
    </xf>
    <xf numFmtId="0" fontId="7" fillId="0" borderId="65" xfId="0" applyNumberFormat="1" applyFont="1" applyBorder="1" applyAlignment="1" applyProtection="1">
      <alignment horizontal="center" vertical="center" wrapText="1"/>
      <protection locked="0"/>
    </xf>
    <xf numFmtId="0" fontId="7" fillId="0" borderId="66" xfId="0" applyNumberFormat="1" applyFont="1" applyBorder="1" applyAlignment="1" applyProtection="1">
      <alignment horizontal="center" vertical="center" wrapText="1"/>
      <protection locked="0"/>
    </xf>
    <xf numFmtId="0" fontId="7" fillId="0" borderId="67" xfId="0" applyNumberFormat="1" applyFont="1" applyBorder="1" applyAlignment="1" applyProtection="1">
      <alignment horizontal="center" vertical="center" wrapText="1"/>
      <protection locked="0"/>
    </xf>
    <xf numFmtId="0" fontId="7" fillId="0" borderId="68" xfId="0" applyNumberFormat="1" applyFont="1" applyBorder="1" applyAlignment="1" applyProtection="1">
      <alignment horizontal="center" vertical="center" wrapText="1"/>
      <protection locked="0"/>
    </xf>
    <xf numFmtId="0" fontId="7" fillId="0" borderId="69" xfId="0" applyNumberFormat="1" applyFont="1" applyBorder="1" applyAlignment="1" applyProtection="1">
      <alignment horizontal="center" vertical="center" wrapText="1"/>
      <protection locked="0"/>
    </xf>
    <xf numFmtId="0" fontId="7" fillId="0" borderId="58" xfId="0" applyNumberFormat="1" applyFont="1" applyBorder="1" applyAlignment="1" applyProtection="1">
      <alignment horizontal="center" vertical="center" wrapText="1"/>
      <protection locked="0"/>
    </xf>
    <xf numFmtId="0" fontId="7" fillId="0" borderId="59" xfId="0" applyNumberFormat="1" applyFont="1" applyBorder="1" applyAlignment="1" applyProtection="1">
      <alignment horizontal="center" vertical="center" wrapText="1"/>
      <protection locked="0"/>
    </xf>
    <xf numFmtId="0" fontId="7" fillId="0" borderId="60" xfId="0" applyNumberFormat="1" applyFont="1" applyBorder="1" applyAlignment="1" applyProtection="1">
      <alignment horizontal="center" vertical="center" wrapText="1"/>
      <protection locked="0"/>
    </xf>
    <xf numFmtId="0" fontId="7" fillId="0" borderId="61" xfId="0" applyNumberFormat="1" applyFont="1" applyBorder="1" applyAlignment="1" applyProtection="1">
      <alignment horizontal="center" vertical="center" wrapText="1"/>
      <protection locked="0"/>
    </xf>
    <xf numFmtId="0" fontId="7" fillId="0" borderId="62" xfId="0" applyNumberFormat="1" applyFont="1" applyBorder="1" applyAlignment="1" applyProtection="1">
      <alignment horizontal="center" vertical="center" wrapText="1"/>
      <protection locked="0"/>
    </xf>
    <xf numFmtId="0" fontId="7" fillId="0" borderId="63" xfId="0" applyNumberFormat="1" applyFont="1" applyBorder="1" applyAlignment="1" applyProtection="1">
      <alignment horizontal="center" vertical="center" wrapText="1"/>
      <protection locked="0"/>
    </xf>
    <xf numFmtId="0" fontId="7" fillId="0" borderId="70" xfId="0" applyNumberFormat="1" applyFont="1" applyBorder="1" applyAlignment="1" applyProtection="1">
      <alignment horizontal="center" vertical="center" wrapText="1"/>
      <protection locked="0"/>
    </xf>
    <xf numFmtId="0" fontId="7" fillId="0" borderId="71" xfId="0" applyNumberFormat="1" applyFont="1" applyBorder="1" applyAlignment="1" applyProtection="1">
      <alignment horizontal="center" vertical="center" wrapText="1"/>
      <protection locked="0"/>
    </xf>
    <xf numFmtId="0" fontId="7" fillId="0" borderId="72" xfId="0" applyNumberFormat="1" applyFont="1" applyBorder="1" applyAlignment="1" applyProtection="1">
      <alignment horizontal="center" vertical="center" wrapText="1"/>
      <protection locked="0"/>
    </xf>
    <xf numFmtId="0" fontId="7" fillId="0" borderId="73" xfId="0" applyNumberFormat="1" applyFont="1" applyBorder="1" applyAlignment="1" applyProtection="1">
      <alignment horizontal="center" vertical="center" wrapText="1"/>
      <protection locked="0"/>
    </xf>
    <xf numFmtId="0" fontId="7" fillId="0" borderId="74" xfId="0" applyNumberFormat="1" applyFont="1" applyBorder="1" applyAlignment="1" applyProtection="1">
      <alignment horizontal="center" vertical="center" wrapText="1"/>
      <protection locked="0"/>
    </xf>
    <xf numFmtId="0" fontId="7" fillId="0" borderId="75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49" fontId="9" fillId="0" borderId="0" xfId="0" applyNumberFormat="1" applyFont="1" applyBorder="1" applyAlignment="1" applyProtection="1">
      <alignment horizontal="center"/>
      <protection locked="0"/>
    </xf>
    <xf numFmtId="49" fontId="0" fillId="0" borderId="0" xfId="0" applyNumberFormat="1" applyBorder="1" applyAlignment="1" applyProtection="1">
      <alignment horizontal="center"/>
      <protection locked="0"/>
    </xf>
    <xf numFmtId="0" fontId="5" fillId="0" borderId="41" xfId="0" applyNumberFormat="1" applyFont="1" applyBorder="1" applyAlignment="1" applyProtection="1">
      <alignment horizontal="center" vertical="center" wrapText="1"/>
      <protection locked="0"/>
    </xf>
    <xf numFmtId="0" fontId="5" fillId="0" borderId="44" xfId="0" applyNumberFormat="1" applyFont="1" applyBorder="1" applyAlignment="1" applyProtection="1">
      <alignment horizontal="center" vertical="center" wrapText="1"/>
      <protection locked="0"/>
    </xf>
    <xf numFmtId="0" fontId="5" fillId="0" borderId="37" xfId="0" applyNumberFormat="1" applyFont="1" applyBorder="1" applyAlignment="1" applyProtection="1">
      <alignment horizontal="center" vertical="center" wrapText="1"/>
      <protection locked="0"/>
    </xf>
    <xf numFmtId="0" fontId="44" fillId="3" borderId="55" xfId="1" applyNumberFormat="1" applyFont="1" applyFill="1" applyBorder="1" applyAlignment="1" applyProtection="1">
      <alignment horizontal="center" vertical="center" wrapText="1"/>
      <protection locked="0"/>
    </xf>
    <xf numFmtId="0" fontId="44" fillId="3" borderId="19" xfId="1" applyNumberFormat="1" applyFont="1" applyFill="1" applyBorder="1" applyAlignment="1" applyProtection="1">
      <alignment horizontal="center" vertical="center" wrapText="1"/>
      <protection locked="0"/>
    </xf>
    <xf numFmtId="0" fontId="44" fillId="3" borderId="56" xfId="1" applyNumberFormat="1" applyFont="1" applyFill="1" applyBorder="1" applyAlignment="1" applyProtection="1">
      <alignment horizontal="center" vertical="center" wrapText="1"/>
      <protection locked="0"/>
    </xf>
    <xf numFmtId="0" fontId="17" fillId="0" borderId="0" xfId="0" applyNumberFormat="1" applyFont="1" applyAlignment="1" applyProtection="1">
      <alignment horizontal="center" vertical="center"/>
      <protection locked="0"/>
    </xf>
    <xf numFmtId="0" fontId="5" fillId="0" borderId="50" xfId="1" applyNumberFormat="1" applyFont="1" applyBorder="1" applyAlignment="1" applyProtection="1">
      <alignment horizontal="center" vertical="center"/>
      <protection locked="0"/>
    </xf>
    <xf numFmtId="0" fontId="5" fillId="0" borderId="51" xfId="0" applyNumberFormat="1" applyFont="1" applyBorder="1" applyAlignment="1" applyProtection="1">
      <alignment horizontal="center" vertical="center"/>
      <protection locked="0"/>
    </xf>
    <xf numFmtId="0" fontId="5" fillId="0" borderId="52" xfId="0" applyNumberFormat="1" applyFont="1" applyBorder="1" applyAlignment="1" applyProtection="1">
      <alignment horizontal="center" vertical="center"/>
      <protection locked="0"/>
    </xf>
    <xf numFmtId="0" fontId="5" fillId="0" borderId="53" xfId="0" applyNumberFormat="1" applyFont="1" applyBorder="1" applyAlignment="1" applyProtection="1">
      <alignment horizontal="center" vertical="center"/>
      <protection locked="0"/>
    </xf>
    <xf numFmtId="0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18" xfId="0" applyNumberFormat="1" applyFont="1" applyBorder="1" applyAlignment="1" applyProtection="1">
      <alignment horizontal="center" vertical="center" wrapText="1"/>
      <protection locked="0"/>
    </xf>
    <xf numFmtId="0" fontId="50" fillId="0" borderId="58" xfId="0" applyNumberFormat="1" applyFont="1" applyBorder="1" applyAlignment="1" applyProtection="1">
      <alignment horizontal="center" vertical="center" wrapText="1"/>
      <protection locked="0"/>
    </xf>
    <xf numFmtId="0" fontId="50" fillId="0" borderId="59" xfId="0" applyNumberFormat="1" applyFont="1" applyBorder="1" applyAlignment="1" applyProtection="1">
      <alignment horizontal="center" vertical="center" wrapText="1"/>
      <protection locked="0"/>
    </xf>
    <xf numFmtId="0" fontId="50" fillId="0" borderId="60" xfId="0" applyNumberFormat="1" applyFont="1" applyBorder="1" applyAlignment="1" applyProtection="1">
      <alignment horizontal="center" vertical="center" wrapText="1"/>
      <protection locked="0"/>
    </xf>
    <xf numFmtId="0" fontId="50" fillId="0" borderId="61" xfId="0" applyNumberFormat="1" applyFont="1" applyBorder="1" applyAlignment="1" applyProtection="1">
      <alignment horizontal="center" vertical="center" wrapText="1"/>
      <protection locked="0"/>
    </xf>
    <xf numFmtId="0" fontId="50" fillId="0" borderId="62" xfId="0" applyNumberFormat="1" applyFont="1" applyBorder="1" applyAlignment="1" applyProtection="1">
      <alignment horizontal="center" vertical="center" wrapText="1"/>
      <protection locked="0"/>
    </xf>
    <xf numFmtId="0" fontId="50" fillId="0" borderId="63" xfId="0" applyNumberFormat="1" applyFont="1" applyBorder="1" applyAlignment="1" applyProtection="1">
      <alignment horizontal="center" vertical="center" wrapText="1"/>
      <protection locked="0"/>
    </xf>
    <xf numFmtId="0" fontId="37" fillId="0" borderId="18" xfId="0" applyNumberFormat="1" applyFont="1" applyBorder="1" applyAlignment="1" applyProtection="1">
      <alignment horizontal="center"/>
      <protection locked="0"/>
    </xf>
    <xf numFmtId="0" fontId="1" fillId="0" borderId="0" xfId="1" applyNumberFormat="1" applyFont="1" applyBorder="1" applyAlignment="1" applyProtection="1">
      <alignment horizontal="center" vertical="center" wrapText="1"/>
      <protection locked="0"/>
    </xf>
    <xf numFmtId="0" fontId="14" fillId="0" borderId="11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49" fontId="10" fillId="0" borderId="39" xfId="0" applyNumberFormat="1" applyFont="1" applyBorder="1" applyAlignment="1">
      <alignment horizontal="center" vertical="center" wrapText="1"/>
    </xf>
    <xf numFmtId="49" fontId="10" fillId="0" borderId="27" xfId="0" applyNumberFormat="1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0" xfId="1" applyFont="1" applyBorder="1" applyAlignment="1" applyProtection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1" fillId="0" borderId="76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4" fillId="0" borderId="76" xfId="0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1" fillId="0" borderId="76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9" fillId="0" borderId="10" xfId="1" applyFont="1" applyBorder="1" applyAlignment="1" applyProtection="1">
      <alignment horizontal="center" vertical="center" wrapText="1"/>
    </xf>
    <xf numFmtId="0" fontId="9" fillId="0" borderId="30" xfId="1" applyFont="1" applyBorder="1" applyAlignment="1" applyProtection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49" fontId="28" fillId="0" borderId="39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1" fillId="0" borderId="10" xfId="1" applyFont="1" applyBorder="1" applyAlignment="1" applyProtection="1">
      <alignment horizontal="left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9" fillId="0" borderId="10" xfId="1" applyFont="1" applyBorder="1" applyAlignment="1" applyProtection="1">
      <alignment horizontal="left" vertical="center" wrapText="1"/>
    </xf>
    <xf numFmtId="0" fontId="9" fillId="0" borderId="30" xfId="1" applyFont="1" applyBorder="1" applyAlignment="1" applyProtection="1">
      <alignment horizontal="left" vertical="center" wrapText="1"/>
    </xf>
    <xf numFmtId="0" fontId="10" fillId="0" borderId="8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9" fillId="0" borderId="76" xfId="1" applyFont="1" applyBorder="1" applyAlignment="1" applyProtection="1">
      <alignment horizontal="center" vertical="center" wrapText="1"/>
    </xf>
    <xf numFmtId="0" fontId="9" fillId="0" borderId="15" xfId="1" applyFont="1" applyBorder="1" applyAlignment="1" applyProtection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1" fillId="0" borderId="11" xfId="1" applyFont="1" applyBorder="1" applyAlignment="1" applyProtection="1">
      <alignment horizontal="left" vertical="center" wrapText="1"/>
    </xf>
    <xf numFmtId="0" fontId="29" fillId="0" borderId="15" xfId="0" applyFont="1" applyBorder="1" applyAlignment="1">
      <alignment horizontal="center" vertical="center" wrapText="1"/>
    </xf>
    <xf numFmtId="0" fontId="1" fillId="0" borderId="11" xfId="1" applyFont="1" applyBorder="1" applyAlignment="1" applyProtection="1">
      <alignment horizontal="center" vertical="center" wrapText="1"/>
    </xf>
    <xf numFmtId="49" fontId="10" fillId="0" borderId="76" xfId="0" applyNumberFormat="1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11" fillId="0" borderId="76" xfId="0" applyFont="1" applyBorder="1" applyAlignment="1">
      <alignment horizontal="center" vertical="center" wrapText="1"/>
    </xf>
    <xf numFmtId="49" fontId="11" fillId="0" borderId="76" xfId="0" applyNumberFormat="1" applyFont="1" applyBorder="1" applyAlignment="1">
      <alignment horizontal="center" vertical="center" wrapText="1"/>
    </xf>
    <xf numFmtId="0" fontId="30" fillId="0" borderId="76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49" fontId="30" fillId="0" borderId="40" xfId="0" applyNumberFormat="1" applyFont="1" applyBorder="1" applyAlignment="1">
      <alignment horizontal="center" vertical="center" wrapText="1"/>
    </xf>
    <xf numFmtId="0" fontId="30" fillId="0" borderId="47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 wrapText="1"/>
    </xf>
    <xf numFmtId="49" fontId="30" fillId="0" borderId="76" xfId="0" applyNumberFormat="1" applyFont="1" applyBorder="1" applyAlignment="1">
      <alignment horizontal="center" vertical="center" wrapText="1"/>
    </xf>
    <xf numFmtId="49" fontId="30" fillId="0" borderId="30" xfId="0" applyNumberFormat="1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31" fillId="0" borderId="77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49" fontId="26" fillId="0" borderId="30" xfId="0" applyNumberFormat="1" applyFont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49" fontId="29" fillId="0" borderId="39" xfId="0" applyNumberFormat="1" applyFont="1" applyBorder="1" applyAlignment="1">
      <alignment horizontal="center" vertical="center" wrapText="1"/>
    </xf>
    <xf numFmtId="49" fontId="26" fillId="0" borderId="10" xfId="0" applyNumberFormat="1" applyFont="1" applyBorder="1" applyAlignment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4" fillId="0" borderId="50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" fillId="0" borderId="40" xfId="1" applyFont="1" applyBorder="1" applyAlignment="1" applyProtection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81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10" fillId="0" borderId="77" xfId="0" applyFont="1" applyBorder="1" applyAlignment="1">
      <alignment horizontal="center" vertical="center" wrapText="1"/>
    </xf>
    <xf numFmtId="0" fontId="10" fillId="0" borderId="82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14" fillId="0" borderId="7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9" fillId="0" borderId="76" xfId="1" applyFont="1" applyBorder="1" applyAlignment="1" applyProtection="1">
      <alignment horizontal="left" vertical="center" wrapText="1"/>
    </xf>
    <xf numFmtId="0" fontId="9" fillId="0" borderId="15" xfId="1" applyFont="1" applyBorder="1" applyAlignment="1" applyProtection="1">
      <alignment horizontal="left" vertical="center" wrapText="1"/>
    </xf>
    <xf numFmtId="0" fontId="9" fillId="0" borderId="40" xfId="1" applyFont="1" applyBorder="1" applyAlignment="1" applyProtection="1">
      <alignment horizontal="center" vertical="center" wrapText="1"/>
    </xf>
    <xf numFmtId="0" fontId="2" fillId="0" borderId="7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4" fillId="0" borderId="46" xfId="0" applyFont="1" applyBorder="1" applyAlignment="1">
      <alignment horizontal="center" vertical="center"/>
    </xf>
    <xf numFmtId="0" fontId="1" fillId="0" borderId="39" xfId="1" applyFont="1" applyBorder="1" applyAlignment="1" applyProtection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0" borderId="24" xfId="1" applyFont="1" applyFill="1" applyBorder="1" applyAlignment="1" applyProtection="1">
      <alignment horizontal="center" vertical="center" wrapText="1"/>
    </xf>
    <xf numFmtId="0" fontId="10" fillId="0" borderId="4" xfId="1" applyFont="1" applyFill="1" applyBorder="1" applyAlignment="1" applyProtection="1">
      <alignment horizontal="center" vertical="center" wrapText="1"/>
    </xf>
    <xf numFmtId="0" fontId="10" fillId="0" borderId="17" xfId="1" applyFont="1" applyFill="1" applyBorder="1" applyAlignment="1" applyProtection="1">
      <alignment horizontal="center" vertical="center" wrapText="1"/>
    </xf>
    <xf numFmtId="0" fontId="10" fillId="0" borderId="7" xfId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center"/>
    </xf>
    <xf numFmtId="0" fontId="10" fillId="5" borderId="27" xfId="0" applyFont="1" applyFill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0" fillId="0" borderId="10" xfId="1" applyFont="1" applyFill="1" applyBorder="1" applyAlignment="1" applyProtection="1">
      <alignment horizontal="left" vertical="center" wrapText="1"/>
    </xf>
    <xf numFmtId="0" fontId="10" fillId="0" borderId="15" xfId="1" applyFont="1" applyFill="1" applyBorder="1" applyAlignment="1" applyProtection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9" fontId="1" fillId="0" borderId="27" xfId="1" applyNumberFormat="1" applyFont="1" applyBorder="1" applyAlignment="1" applyProtection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4" fillId="2" borderId="35" xfId="0" applyFont="1" applyFill="1" applyBorder="1" applyAlignment="1" applyProtection="1">
      <alignment horizontal="center" vertical="center"/>
      <protection locked="0" hidden="1"/>
    </xf>
    <xf numFmtId="0" fontId="4" fillId="2" borderId="83" xfId="0" applyFont="1" applyFill="1" applyBorder="1" applyAlignment="1" applyProtection="1">
      <alignment horizontal="center" vertical="center"/>
      <protection locked="0" hidden="1"/>
    </xf>
    <xf numFmtId="0" fontId="4" fillId="2" borderId="84" xfId="0" applyFont="1" applyFill="1" applyBorder="1" applyAlignment="1" applyProtection="1">
      <alignment horizontal="center" vertical="center"/>
      <protection locked="0" hidden="1"/>
    </xf>
    <xf numFmtId="0" fontId="36" fillId="0" borderId="21" xfId="0" applyFont="1" applyBorder="1" applyAlignment="1" applyProtection="1">
      <alignment horizontal="center" vertical="center" textRotation="90" wrapText="1"/>
    </xf>
    <xf numFmtId="0" fontId="36" fillId="0" borderId="22" xfId="0" applyFont="1" applyBorder="1" applyAlignment="1" applyProtection="1">
      <alignment horizontal="center" vertical="center" textRotation="90" wrapText="1"/>
    </xf>
    <xf numFmtId="0" fontId="36" fillId="0" borderId="21" xfId="0" applyFont="1" applyBorder="1" applyAlignment="1" applyProtection="1">
      <alignment horizontal="center" vertical="center" wrapText="1"/>
    </xf>
    <xf numFmtId="0" fontId="36" fillId="0" borderId="88" xfId="0" applyFont="1" applyBorder="1" applyAlignment="1" applyProtection="1">
      <alignment horizontal="center" vertical="center" wrapText="1"/>
    </xf>
    <xf numFmtId="0" fontId="9" fillId="0" borderId="18" xfId="1" applyFont="1" applyBorder="1" applyAlignment="1" applyProtection="1">
      <alignment horizontal="center" vertical="center"/>
    </xf>
    <xf numFmtId="0" fontId="7" fillId="0" borderId="0" xfId="1" applyFont="1" applyBorder="1" applyAlignment="1" applyProtection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3" fillId="0" borderId="79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46" fillId="3" borderId="55" xfId="1" applyFont="1" applyFill="1" applyBorder="1" applyAlignment="1" applyProtection="1">
      <alignment horizontal="center" vertical="center" wrapText="1"/>
    </xf>
    <xf numFmtId="0" fontId="46" fillId="3" borderId="19" xfId="1" applyFont="1" applyFill="1" applyBorder="1" applyAlignment="1" applyProtection="1">
      <alignment horizontal="center" vertical="center" wrapText="1"/>
    </xf>
    <xf numFmtId="0" fontId="46" fillId="3" borderId="56" xfId="1" applyFont="1" applyFill="1" applyBorder="1" applyAlignment="1" applyProtection="1">
      <alignment horizontal="center" vertical="center" wrapText="1"/>
    </xf>
    <xf numFmtId="0" fontId="10" fillId="0" borderId="87" xfId="0" applyFont="1" applyBorder="1" applyAlignment="1">
      <alignment horizontal="center" vertical="center" wrapText="1"/>
    </xf>
    <xf numFmtId="0" fontId="36" fillId="0" borderId="22" xfId="0" applyFont="1" applyBorder="1" applyAlignment="1" applyProtection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6" fillId="0" borderId="21" xfId="0" applyFont="1" applyBorder="1" applyAlignment="1" applyProtection="1">
      <alignment vertical="center" textRotation="90" wrapText="1"/>
    </xf>
    <xf numFmtId="0" fontId="36" fillId="0" borderId="22" xfId="0" applyFont="1" applyBorder="1" applyAlignment="1" applyProtection="1">
      <alignment vertical="center" textRotation="90" wrapText="1"/>
    </xf>
    <xf numFmtId="0" fontId="1" fillId="0" borderId="79" xfId="1" applyFont="1" applyBorder="1" applyAlignment="1" applyProtection="1">
      <alignment horizontal="center" vertical="center"/>
    </xf>
    <xf numFmtId="0" fontId="21" fillId="0" borderId="0" xfId="0" applyFont="1" applyAlignment="1">
      <alignment horizontal="center" vertical="center"/>
    </xf>
    <xf numFmtId="0" fontId="23" fillId="4" borderId="55" xfId="1" applyFont="1" applyFill="1" applyBorder="1" applyAlignment="1" applyProtection="1">
      <alignment horizontal="center" vertical="center"/>
    </xf>
    <xf numFmtId="0" fontId="23" fillId="4" borderId="19" xfId="1" applyFont="1" applyFill="1" applyBorder="1" applyAlignment="1" applyProtection="1">
      <alignment horizontal="center" vertical="center"/>
    </xf>
    <xf numFmtId="0" fontId="23" fillId="4" borderId="56" xfId="1" applyFont="1" applyFill="1" applyBorder="1" applyAlignment="1" applyProtection="1">
      <alignment horizontal="center" vertical="center"/>
    </xf>
    <xf numFmtId="0" fontId="24" fillId="4" borderId="50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52" xfId="0" applyFont="1" applyFill="1" applyBorder="1" applyAlignment="1">
      <alignment horizontal="center" vertical="center"/>
    </xf>
    <xf numFmtId="0" fontId="25" fillId="0" borderId="79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24" fillId="5" borderId="50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/>
    </xf>
    <xf numFmtId="0" fontId="24" fillId="5" borderId="52" xfId="0" applyFont="1" applyFill="1" applyBorder="1" applyAlignment="1">
      <alignment horizontal="center" vertical="center"/>
    </xf>
    <xf numFmtId="0" fontId="24" fillId="6" borderId="50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24" fillId="6" borderId="52" xfId="0" applyFont="1" applyFill="1" applyBorder="1" applyAlignment="1">
      <alignment horizontal="center" vertical="center"/>
    </xf>
    <xf numFmtId="0" fontId="21" fillId="0" borderId="50" xfId="0" applyFont="1" applyBorder="1" applyAlignment="1">
      <alignment horizontal="center" vertical="center" wrapText="1"/>
    </xf>
    <xf numFmtId="0" fontId="21" fillId="0" borderId="79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10" fillId="0" borderId="21" xfId="1" applyFont="1" applyBorder="1" applyAlignment="1" applyProtection="1">
      <alignment horizontal="left" vertical="center" wrapText="1"/>
    </xf>
    <xf numFmtId="0" fontId="10" fillId="0" borderId="34" xfId="1" applyFont="1" applyBorder="1" applyAlignment="1" applyProtection="1">
      <alignment horizontal="left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10" fillId="0" borderId="32" xfId="1" applyFont="1" applyBorder="1" applyAlignment="1" applyProtection="1">
      <alignment horizontal="left" vertical="center" wrapText="1"/>
    </xf>
    <xf numFmtId="0" fontId="10" fillId="0" borderId="33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0" fillId="0" borderId="89" xfId="1" applyFont="1" applyBorder="1" applyAlignment="1" applyProtection="1">
      <alignment horizontal="left" vertical="center" wrapText="1"/>
    </xf>
    <xf numFmtId="0" fontId="10" fillId="0" borderId="22" xfId="1" applyFont="1" applyBorder="1" applyAlignment="1" applyProtection="1">
      <alignment horizontal="left" vertical="center" wrapText="1"/>
    </xf>
    <xf numFmtId="0" fontId="5" fillId="0" borderId="44" xfId="0" applyFont="1" applyBorder="1" applyAlignment="1">
      <alignment horizontal="center" vertical="center" wrapText="1"/>
    </xf>
    <xf numFmtId="0" fontId="10" fillId="0" borderId="57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0" xfId="1" applyFont="1" applyBorder="1" applyAlignment="1" applyProtection="1">
      <alignment horizontal="center" vertical="center"/>
    </xf>
    <xf numFmtId="0" fontId="1" fillId="0" borderId="0" xfId="1" applyFont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3"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0</xdr:row>
      <xdr:rowOff>22225</xdr:rowOff>
    </xdr:from>
    <xdr:to>
      <xdr:col>1</xdr:col>
      <xdr:colOff>187324</xdr:colOff>
      <xdr:row>1</xdr:row>
      <xdr:rowOff>107950</xdr:rowOff>
    </xdr:to>
    <xdr:pic>
      <xdr:nvPicPr>
        <xdr:cNvPr id="430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4" y="22225"/>
          <a:ext cx="457200" cy="45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1619250</xdr:colOff>
          <xdr:row>3</xdr:row>
          <xdr:rowOff>9525</xdr:rowOff>
        </xdr:from>
        <xdr:to>
          <xdr:col>5</xdr:col>
          <xdr:colOff>1743075</xdr:colOff>
          <xdr:row>3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0</xdr:row>
          <xdr:rowOff>152400</xdr:rowOff>
        </xdr:from>
        <xdr:to>
          <xdr:col>1</xdr:col>
          <xdr:colOff>28575</xdr:colOff>
          <xdr:row>0</xdr:row>
          <xdr:rowOff>295275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Кнопка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3</xdr:row>
          <xdr:rowOff>19050</xdr:rowOff>
        </xdr:from>
        <xdr:to>
          <xdr:col>2</xdr:col>
          <xdr:colOff>9525</xdr:colOff>
          <xdr:row>3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ВКнопка 3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1044574</xdr:colOff>
      <xdr:row>0</xdr:row>
      <xdr:rowOff>9525</xdr:rowOff>
    </xdr:from>
    <xdr:to>
      <xdr:col>7</xdr:col>
      <xdr:colOff>1501774</xdr:colOff>
      <xdr:row>1</xdr:row>
      <xdr:rowOff>95250</xdr:rowOff>
    </xdr:to>
    <xdr:pic>
      <xdr:nvPicPr>
        <xdr:cNvPr id="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6674" y="9525"/>
          <a:ext cx="457200" cy="45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50800</xdr:rowOff>
    </xdr:from>
    <xdr:to>
      <xdr:col>27</xdr:col>
      <xdr:colOff>177652</xdr:colOff>
      <xdr:row>2</xdr:row>
      <xdr:rowOff>121397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57150" y="50800"/>
          <a:ext cx="11607652" cy="470647"/>
          <a:chOff x="9" y="4"/>
          <a:chExt cx="905" cy="35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61" y="9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22</xdr:col>
      <xdr:colOff>88900</xdr:colOff>
      <xdr:row>0</xdr:row>
      <xdr:rowOff>38100</xdr:rowOff>
    </xdr:from>
    <xdr:to>
      <xdr:col>27</xdr:col>
      <xdr:colOff>233547</xdr:colOff>
      <xdr:row>3</xdr:row>
      <xdr:rowOff>119343</xdr:rowOff>
    </xdr:to>
    <xdr:grpSp>
      <xdr:nvGrpSpPr>
        <xdr:cNvPr id="8" name="Group 322"/>
        <xdr:cNvGrpSpPr>
          <a:grpSpLocks/>
        </xdr:cNvGrpSpPr>
      </xdr:nvGrpSpPr>
      <xdr:grpSpPr bwMode="auto">
        <a:xfrm>
          <a:off x="8804275" y="38100"/>
          <a:ext cx="2916422" cy="1005168"/>
          <a:chOff x="9" y="4"/>
          <a:chExt cx="230" cy="62"/>
        </a:xfrm>
      </xdr:grpSpPr>
      <xdr:pic>
        <xdr:nvPicPr>
          <xdr:cNvPr id="9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2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6" y="36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47625</xdr:colOff>
          <xdr:row>1</xdr:row>
          <xdr:rowOff>219075</xdr:rowOff>
        </xdr:from>
        <xdr:to>
          <xdr:col>43</xdr:col>
          <xdr:colOff>19050</xdr:colOff>
          <xdr:row>1</xdr:row>
          <xdr:rowOff>428625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сортмест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44450</xdr:colOff>
      <xdr:row>0</xdr:row>
      <xdr:rowOff>31750</xdr:rowOff>
    </xdr:from>
    <xdr:to>
      <xdr:col>48</xdr:col>
      <xdr:colOff>126631</xdr:colOff>
      <xdr:row>1</xdr:row>
      <xdr:rowOff>538349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44450" y="31750"/>
          <a:ext cx="11064506" cy="744724"/>
          <a:chOff x="9" y="4"/>
          <a:chExt cx="900" cy="55"/>
        </a:xfrm>
      </xdr:grpSpPr>
      <xdr:pic>
        <xdr:nvPicPr>
          <xdr:cNvPr id="7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56" y="29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0</xdr:rowOff>
    </xdr:from>
    <xdr:to>
      <xdr:col>1</xdr:col>
      <xdr:colOff>361950</xdr:colOff>
      <xdr:row>1</xdr:row>
      <xdr:rowOff>107950</xdr:rowOff>
    </xdr:to>
    <xdr:pic>
      <xdr:nvPicPr>
        <xdr:cNvPr id="266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50" y="0"/>
          <a:ext cx="62230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209550</xdr:colOff>
      <xdr:row>0</xdr:row>
      <xdr:rowOff>0</xdr:rowOff>
    </xdr:from>
    <xdr:to>
      <xdr:col>8</xdr:col>
      <xdr:colOff>571500</xdr:colOff>
      <xdr:row>1</xdr:row>
      <xdr:rowOff>107950</xdr:rowOff>
    </xdr:to>
    <xdr:pic>
      <xdr:nvPicPr>
        <xdr:cNvPr id="2661" name="Picture 2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6900" y="0"/>
          <a:ext cx="69215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1295400</xdr:colOff>
      <xdr:row>12</xdr:row>
      <xdr:rowOff>0</xdr:rowOff>
    </xdr:from>
    <xdr:to>
      <xdr:col>6</xdr:col>
      <xdr:colOff>1308100</xdr:colOff>
      <xdr:row>29</xdr:row>
      <xdr:rowOff>6350</xdr:rowOff>
    </xdr:to>
    <xdr:sp macro="" textlink="">
      <xdr:nvSpPr>
        <xdr:cNvPr id="2662" name="Line 4"/>
        <xdr:cNvSpPr>
          <a:spLocks noChangeShapeType="1"/>
        </xdr:cNvSpPr>
      </xdr:nvSpPr>
      <xdr:spPr bwMode="auto">
        <a:xfrm>
          <a:off x="6686550" y="2603500"/>
          <a:ext cx="12700" cy="3378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мандатка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>
        <row r="2">
          <cell r="A2" t="str">
            <v>Всероссийские соревнования по спортивному и боевому самбо среди мужчин на призы УФСИН России</v>
          </cell>
        </row>
        <row r="3">
          <cell r="A3" t="str">
            <v>20-22 апреля 2019 г           г.Тверь</v>
          </cell>
        </row>
        <row r="6">
          <cell r="A6" t="str">
            <v>Гл. судья, судья ВК</v>
          </cell>
          <cell r="G6" t="str">
            <v xml:space="preserve">Н.Н.Малышев </v>
          </cell>
        </row>
        <row r="7">
          <cell r="G7" t="str">
            <v>/Дубна 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/Рыбинск/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86"/>
  <sheetViews>
    <sheetView workbookViewId="0">
      <selection activeCell="D4" sqref="D4"/>
    </sheetView>
  </sheetViews>
  <sheetFormatPr defaultRowHeight="12.75"/>
  <cols>
    <col min="1" max="1" width="4.28515625" customWidth="1"/>
    <col min="2" max="2" width="4" customWidth="1"/>
    <col min="3" max="3" width="27.140625" customWidth="1"/>
    <col min="4" max="4" width="11.5703125" customWidth="1"/>
    <col min="5" max="5" width="4.5703125" customWidth="1"/>
    <col min="6" max="6" width="25.140625" customWidth="1"/>
    <col min="7" max="7" width="10.28515625" hidden="1" customWidth="1"/>
    <col min="8" max="8" width="22" customWidth="1"/>
    <col min="9" max="9" width="4.28515625" customWidth="1"/>
    <col min="10" max="13" width="9.140625" hidden="1" customWidth="1"/>
    <col min="14" max="14" width="17.28515625" hidden="1" customWidth="1"/>
    <col min="15" max="19" width="9.140625" hidden="1" customWidth="1"/>
    <col min="20" max="20" width="15.85546875" hidden="1" customWidth="1"/>
    <col min="21" max="24" width="9.140625" hidden="1" customWidth="1"/>
    <col min="25" max="25" width="29.140625" customWidth="1"/>
    <col min="26" max="27" width="4.85546875" customWidth="1"/>
    <col min="28" max="35" width="4.7109375" customWidth="1"/>
    <col min="36" max="36" width="2.140625" customWidth="1"/>
    <col min="37" max="37" width="4.42578125" customWidth="1"/>
  </cols>
  <sheetData>
    <row r="1" spans="1:35" ht="29.25" customHeight="1">
      <c r="A1" s="309" t="s">
        <v>71</v>
      </c>
      <c r="B1" s="309"/>
      <c r="C1" s="309"/>
      <c r="D1" s="309"/>
      <c r="E1" s="309"/>
      <c r="F1" s="309"/>
      <c r="G1" s="309"/>
      <c r="H1" s="309"/>
    </row>
    <row r="2" spans="1:35" ht="27.75" customHeight="1">
      <c r="A2" s="318" t="str">
        <f>[1]реквизиты!$A$2</f>
        <v>Всероссийские соревнования по спортивному и боевому самбо среди мужчин на призы УФСИН России</v>
      </c>
      <c r="B2" s="318"/>
      <c r="C2" s="318"/>
      <c r="D2" s="318"/>
      <c r="E2" s="318"/>
      <c r="F2" s="318"/>
      <c r="G2" s="318"/>
      <c r="H2" s="318"/>
      <c r="I2" s="226"/>
      <c r="J2" s="226"/>
      <c r="K2" s="226"/>
    </row>
    <row r="3" spans="1:35" ht="12.75" customHeight="1">
      <c r="A3" s="310" t="str">
        <f>[1]реквизиты!$A$3</f>
        <v>20-22 апреля 2019 г           г.Тверь</v>
      </c>
      <c r="B3" s="310"/>
      <c r="C3" s="310"/>
      <c r="D3" s="310"/>
      <c r="E3" s="310"/>
      <c r="F3" s="310"/>
      <c r="G3" s="310"/>
      <c r="H3" s="310"/>
    </row>
    <row r="4" spans="1:35" ht="15">
      <c r="D4" s="37" t="s">
        <v>179</v>
      </c>
      <c r="E4" s="37"/>
      <c r="Y4" s="326" t="s">
        <v>68</v>
      </c>
      <c r="Z4" s="326"/>
      <c r="AA4" s="326"/>
      <c r="AB4" s="326"/>
      <c r="AC4" s="326"/>
      <c r="AD4" s="326"/>
      <c r="AE4" s="326"/>
    </row>
    <row r="5" spans="1:35" ht="12.75" customHeight="1" thickBot="1">
      <c r="A5" s="311" t="s">
        <v>72</v>
      </c>
      <c r="B5" s="313" t="s">
        <v>4</v>
      </c>
      <c r="C5" s="311" t="s">
        <v>5</v>
      </c>
      <c r="D5" s="311" t="s">
        <v>6</v>
      </c>
      <c r="E5" s="314" t="s">
        <v>7</v>
      </c>
      <c r="F5" s="315"/>
      <c r="G5" s="311" t="s">
        <v>9</v>
      </c>
      <c r="H5" s="311" t="s">
        <v>8</v>
      </c>
      <c r="Q5" s="327"/>
      <c r="R5" s="327"/>
      <c r="S5" s="327"/>
      <c r="T5" s="181"/>
      <c r="U5" s="181"/>
      <c r="V5" s="181"/>
      <c r="W5" s="181"/>
      <c r="X5" s="181"/>
      <c r="Y5" s="227"/>
      <c r="Z5" s="97">
        <f>SUM(Z7:Z38)</f>
        <v>17</v>
      </c>
      <c r="AA5" s="97">
        <f t="shared" ref="AA5:AD5" si="0">SUM(AA7:AA38)</f>
        <v>1</v>
      </c>
      <c r="AB5" s="97">
        <f t="shared" si="0"/>
        <v>0</v>
      </c>
      <c r="AC5" s="97">
        <f t="shared" si="0"/>
        <v>0</v>
      </c>
      <c r="AD5" s="97">
        <f t="shared" si="0"/>
        <v>0</v>
      </c>
      <c r="AE5" s="97"/>
    </row>
    <row r="6" spans="1:35" ht="12.75" customHeight="1" thickBot="1">
      <c r="A6" s="312"/>
      <c r="B6" s="312"/>
      <c r="C6" s="312"/>
      <c r="D6" s="312"/>
      <c r="E6" s="316"/>
      <c r="F6" s="317"/>
      <c r="G6" s="312"/>
      <c r="H6" s="312"/>
      <c r="J6" s="92"/>
      <c r="K6" s="92"/>
      <c r="L6" s="92"/>
      <c r="M6" s="92"/>
      <c r="N6" s="92"/>
      <c r="O6" s="92"/>
      <c r="P6" s="239"/>
      <c r="Q6" s="239" t="str">
        <f>N7</f>
        <v>кмс</v>
      </c>
      <c r="R6" s="239" t="str">
        <f>N8</f>
        <v>мс</v>
      </c>
      <c r="S6" s="240" t="str">
        <f>N9</f>
        <v/>
      </c>
      <c r="T6" s="240" t="str">
        <f>N10</f>
        <v/>
      </c>
      <c r="U6" s="240" t="str">
        <f>N11</f>
        <v/>
      </c>
      <c r="V6" s="240" t="str">
        <f>N12</f>
        <v/>
      </c>
      <c r="W6" s="240" t="str">
        <f>N13</f>
        <v/>
      </c>
      <c r="X6" s="183"/>
      <c r="Y6" s="228" t="s">
        <v>69</v>
      </c>
      <c r="Z6" s="229" t="str">
        <f t="shared" ref="Z6:AF6" si="1">Q6</f>
        <v>кмс</v>
      </c>
      <c r="AA6" s="229" t="str">
        <f t="shared" si="1"/>
        <v>мс</v>
      </c>
      <c r="AB6" s="241" t="str">
        <f t="shared" si="1"/>
        <v/>
      </c>
      <c r="AC6" s="241" t="str">
        <f t="shared" si="1"/>
        <v/>
      </c>
      <c r="AD6" s="229" t="str">
        <f t="shared" si="1"/>
        <v/>
      </c>
      <c r="AE6" s="230" t="str">
        <f t="shared" si="1"/>
        <v/>
      </c>
      <c r="AF6" s="231" t="str">
        <f t="shared" si="1"/>
        <v/>
      </c>
    </row>
    <row r="7" spans="1:35" ht="18.95" customHeight="1">
      <c r="A7" s="242" t="s">
        <v>73</v>
      </c>
      <c r="B7" s="243">
        <v>1</v>
      </c>
      <c r="C7" s="270" t="s">
        <v>113</v>
      </c>
      <c r="D7" s="244" t="s">
        <v>114</v>
      </c>
      <c r="E7" s="276" t="s">
        <v>115</v>
      </c>
      <c r="F7" s="270" t="s">
        <v>116</v>
      </c>
      <c r="G7" s="277"/>
      <c r="H7" s="273" t="s">
        <v>117</v>
      </c>
      <c r="I7" s="45"/>
      <c r="J7" s="245">
        <v>1</v>
      </c>
      <c r="K7" s="237" t="str">
        <f>IFERROR(RIGHT(D7,LEN(D7)-FIND("*",SUBSTITUTE(D7," ","*",LEN(D7)-LEN(SUBSTITUTE(D7," ",""))))),D7)</f>
        <v>мс</v>
      </c>
      <c r="L7" s="237" t="str">
        <f>IFERROR(LEFT(F7,FIND(",",F7)-1),F7)</f>
        <v>Тверская</v>
      </c>
      <c r="M7" s="246" t="str">
        <f t="array" ref="M7">IFERROR(INDEX(субъект,MATCH(SUM(COUNTIF(M$6:M6,субъект)),COUNTIF(субъект,"&lt;"&amp;субъект),0)),"")</f>
        <v>Вологодская</v>
      </c>
      <c r="N7" s="246" t="str">
        <f t="array" ref="N7">IFERROR(INDEX(разряд,MATCH(SUM(COUNTIF(N$6:N6,разряд)),COUNTIF(разряд,"&lt;"&amp;разряд),0)),"")</f>
        <v>кмс</v>
      </c>
      <c r="O7" s="247">
        <v>1</v>
      </c>
      <c r="P7" s="182" t="str">
        <f t="shared" ref="P7:P38" si="2">M7</f>
        <v>Вологодская</v>
      </c>
      <c r="Q7" s="248">
        <f t="shared" ref="Q7:Q38" si="3">SUMIFS($J$7:$J$54,$L$7:$L$54,P7,$K$7:$K$54,Q$6)</f>
        <v>1</v>
      </c>
      <c r="R7" s="248">
        <f t="shared" ref="R7:R38" si="4">SUMIFS($J$7:$J$54,$L$7:$L$54,P7,$K$7:$K$54,R$6)</f>
        <v>0</v>
      </c>
      <c r="S7" s="249">
        <f t="shared" ref="S7:S38" si="5">SUMIFS($J$7:$J$54,$L$7:$L$54,P7,$K$7:$K$54,S$6)</f>
        <v>0</v>
      </c>
      <c r="T7" s="250">
        <f t="shared" ref="T7:T38" si="6">SUMIFS($J$7:$J$54,$L$7:$L$54,P7,$K$7:$K$54,T$6)</f>
        <v>0</v>
      </c>
      <c r="U7" s="250">
        <f t="shared" ref="U7:U38" si="7">SUMIFS($J$7:$J$54,$L$7:$L$54,P7,$K$7:$K$54,U$6)</f>
        <v>0</v>
      </c>
      <c r="V7" s="250">
        <f t="shared" ref="V7:V38" si="8">SUMIFS($J$7:$J$54,$L$7:$L$54,P7,$K$7:$K$54,V$6)</f>
        <v>0</v>
      </c>
      <c r="W7" s="250">
        <f t="shared" ref="W7:W38" si="9">SUMIFS($J$7:$J$54,$L$7:$L$54,P7,$K$7:$K$54,W$6)</f>
        <v>0</v>
      </c>
      <c r="X7" s="251"/>
      <c r="Y7" s="252" t="str">
        <f>P7</f>
        <v>Вологодская</v>
      </c>
      <c r="Z7" s="233">
        <f>IF(Q7=0," ",Q7)</f>
        <v>1</v>
      </c>
      <c r="AA7" s="233" t="str">
        <f>IF(R7=0," ",R7)</f>
        <v xml:space="preserve"> </v>
      </c>
      <c r="AB7" s="233" t="str">
        <f>IF(S7=0," ",S7)</f>
        <v xml:space="preserve"> </v>
      </c>
      <c r="AC7" s="233" t="str">
        <f>IF(T7=0," ",T7)</f>
        <v xml:space="preserve"> </v>
      </c>
      <c r="AD7" s="233" t="str">
        <f t="shared" ref="AD7:AF22" si="10">IF(U7=0," ",U7)</f>
        <v xml:space="preserve"> </v>
      </c>
      <c r="AE7" s="282">
        <f>SUM(Z7:AD7)</f>
        <v>1</v>
      </c>
      <c r="AF7" s="184" t="str">
        <f t="shared" si="10"/>
        <v xml:space="preserve"> </v>
      </c>
      <c r="AH7" s="319">
        <f>SUM(Z7:AD38)</f>
        <v>18</v>
      </c>
      <c r="AI7" s="320"/>
    </row>
    <row r="8" spans="1:35" ht="18.95" customHeight="1" thickBot="1">
      <c r="A8" s="242" t="s">
        <v>74</v>
      </c>
      <c r="B8" s="243">
        <v>2</v>
      </c>
      <c r="C8" s="270" t="s">
        <v>118</v>
      </c>
      <c r="D8" s="244" t="s">
        <v>119</v>
      </c>
      <c r="E8" s="276" t="s">
        <v>120</v>
      </c>
      <c r="F8" s="270" t="s">
        <v>121</v>
      </c>
      <c r="G8" s="277"/>
      <c r="H8" s="273" t="s">
        <v>122</v>
      </c>
      <c r="I8" s="45"/>
      <c r="J8" s="245">
        <v>1</v>
      </c>
      <c r="K8" s="237" t="str">
        <f t="shared" ref="K8:K38" si="11">IFERROR(RIGHT(D8,LEN(D8)-FIND("*",SUBSTITUTE(D8," ","*",LEN(D8)-LEN(SUBSTITUTE(D8," ",""))))),D8)</f>
        <v>кмс</v>
      </c>
      <c r="L8" s="237" t="str">
        <f t="shared" ref="L8:L22" si="12">IFERROR(LEFT(F8,FIND(",",F8)-1),F8)</f>
        <v>Москва</v>
      </c>
      <c r="M8" s="246" t="str">
        <f t="array" ref="M8">IFERROR(INDEX(субъект,MATCH(SUM(COUNTIF(M$6:M7,субъект)),COUNTIF(субъект,"&lt;"&amp;субъект),0)),"")</f>
        <v>Воронежская</v>
      </c>
      <c r="N8" s="246" t="str">
        <f t="array" ref="N8">IFERROR(INDEX(разряд,MATCH(SUM(COUNTIF(N$6:N7,разряд)),COUNTIF(разряд,"&lt;"&amp;разряд),0)),"")</f>
        <v>мс</v>
      </c>
      <c r="O8" s="247">
        <v>2</v>
      </c>
      <c r="P8" s="182" t="str">
        <f t="shared" si="2"/>
        <v>Воронежская</v>
      </c>
      <c r="Q8" s="248">
        <f t="shared" si="3"/>
        <v>1</v>
      </c>
      <c r="R8" s="248">
        <f t="shared" si="4"/>
        <v>0</v>
      </c>
      <c r="S8" s="249">
        <f t="shared" si="5"/>
        <v>0</v>
      </c>
      <c r="T8" s="250">
        <f t="shared" si="6"/>
        <v>0</v>
      </c>
      <c r="U8" s="250">
        <f t="shared" si="7"/>
        <v>0</v>
      </c>
      <c r="V8" s="250">
        <f t="shared" si="8"/>
        <v>0</v>
      </c>
      <c r="W8" s="250">
        <f t="shared" si="9"/>
        <v>0</v>
      </c>
      <c r="X8" s="185"/>
      <c r="Y8" s="184" t="str">
        <f t="shared" ref="Y8:Y22" si="13">P8</f>
        <v>Воронежская</v>
      </c>
      <c r="Z8" s="184">
        <f>IF($Y$8=$Y$7," ",IF(Q8=0," ",Q8))</f>
        <v>1</v>
      </c>
      <c r="AA8" s="184" t="str">
        <f>IF($Y$8=$Y$7," ",IF(R8=0," ",R8))</f>
        <v xml:space="preserve"> </v>
      </c>
      <c r="AB8" s="184" t="str">
        <f>IF($Y$8=$Y$7," ",IF(S8=0," ",S8))</f>
        <v xml:space="preserve"> </v>
      </c>
      <c r="AC8" s="184" t="str">
        <f>IF($Y$8=$Y$7," ",IF(T8=0," ",T8))</f>
        <v xml:space="preserve"> </v>
      </c>
      <c r="AD8" s="184" t="str">
        <f t="shared" si="10"/>
        <v xml:space="preserve"> </v>
      </c>
      <c r="AE8" s="282">
        <f t="shared" ref="AE8:AE38" si="14">SUM(Z8:AD8)</f>
        <v>1</v>
      </c>
      <c r="AF8" s="184" t="str">
        <f t="shared" si="10"/>
        <v xml:space="preserve"> </v>
      </c>
      <c r="AH8" s="321"/>
      <c r="AI8" s="322"/>
    </row>
    <row r="9" spans="1:35" ht="18.95" customHeight="1">
      <c r="A9" s="242" t="s">
        <v>75</v>
      </c>
      <c r="B9" s="243">
        <v>3</v>
      </c>
      <c r="C9" s="270" t="s">
        <v>123</v>
      </c>
      <c r="D9" s="244" t="s">
        <v>124</v>
      </c>
      <c r="E9" s="276" t="s">
        <v>115</v>
      </c>
      <c r="F9" s="270" t="s">
        <v>125</v>
      </c>
      <c r="G9" s="277"/>
      <c r="H9" s="273" t="s">
        <v>126</v>
      </c>
      <c r="I9" s="45"/>
      <c r="J9" s="245">
        <v>1</v>
      </c>
      <c r="K9" s="237" t="str">
        <f t="shared" si="11"/>
        <v>кмс</v>
      </c>
      <c r="L9" s="237" t="str">
        <f t="shared" si="12"/>
        <v>Тульская</v>
      </c>
      <c r="M9" s="246" t="str">
        <f t="array" ref="M9">IFERROR(INDEX(субъект,MATCH(SUM(COUNTIF(M$6:M8,субъект)),COUNTIF(субъект,"&lt;"&amp;субъект),0)),"")</f>
        <v>Москва</v>
      </c>
      <c r="N9" s="246" t="str">
        <f t="array" ref="N9">IFERROR(INDEX(разряд,MATCH(SUM(COUNTIF(N$6:N8,разряд)),COUNTIF(разряд,"&lt;"&amp;разряд),0)),"")</f>
        <v/>
      </c>
      <c r="O9" s="247">
        <v>3</v>
      </c>
      <c r="P9" s="182" t="str">
        <f t="shared" si="2"/>
        <v>Москва</v>
      </c>
      <c r="Q9" s="248">
        <f t="shared" si="3"/>
        <v>5</v>
      </c>
      <c r="R9" s="248">
        <f t="shared" si="4"/>
        <v>0</v>
      </c>
      <c r="S9" s="249">
        <f t="shared" si="5"/>
        <v>0</v>
      </c>
      <c r="T9" s="250">
        <f t="shared" si="6"/>
        <v>0</v>
      </c>
      <c r="U9" s="250">
        <f t="shared" si="7"/>
        <v>0</v>
      </c>
      <c r="V9" s="250">
        <f t="shared" si="8"/>
        <v>0</v>
      </c>
      <c r="W9" s="250">
        <f t="shared" si="9"/>
        <v>0</v>
      </c>
      <c r="X9" s="185"/>
      <c r="Y9" s="184" t="str">
        <f t="shared" si="13"/>
        <v>Москва</v>
      </c>
      <c r="Z9" s="184">
        <f>IF(OR($Y9=$Y7,$Y9=$Y8)," ",IF(Q9=0," ",Q9))</f>
        <v>5</v>
      </c>
      <c r="AA9" s="184" t="str">
        <f>IF(OR($Y9=$Y7,$Y9=$Y8)," ",IF(R9=0," ",R9))</f>
        <v xml:space="preserve"> </v>
      </c>
      <c r="AB9" s="184" t="str">
        <f>IF(OR($Y9=$Y7,$Y9=$Y8)," ",IF(S9=0," ",S9))</f>
        <v xml:space="preserve"> </v>
      </c>
      <c r="AC9" s="184" t="str">
        <f>IF(OR($Y9=$Y7,$Y9=$Y8)," ",IF(T9=0," ",T9))</f>
        <v xml:space="preserve"> </v>
      </c>
      <c r="AD9" s="184" t="str">
        <f t="shared" si="10"/>
        <v xml:space="preserve"> </v>
      </c>
      <c r="AE9" s="282">
        <f t="shared" si="14"/>
        <v>5</v>
      </c>
      <c r="AF9" s="184" t="str">
        <f t="shared" si="10"/>
        <v xml:space="preserve"> </v>
      </c>
    </row>
    <row r="10" spans="1:35" ht="18.95" customHeight="1">
      <c r="A10" s="242" t="s">
        <v>76</v>
      </c>
      <c r="B10" s="243">
        <v>4</v>
      </c>
      <c r="C10" s="270" t="s">
        <v>127</v>
      </c>
      <c r="D10" s="244" t="s">
        <v>128</v>
      </c>
      <c r="E10" s="276" t="s">
        <v>120</v>
      </c>
      <c r="F10" s="270" t="s">
        <v>129</v>
      </c>
      <c r="G10" s="277"/>
      <c r="H10" s="273" t="s">
        <v>130</v>
      </c>
      <c r="I10" s="45"/>
      <c r="J10" s="245">
        <v>1</v>
      </c>
      <c r="K10" s="237" t="str">
        <f t="shared" si="11"/>
        <v>кмс</v>
      </c>
      <c r="L10" s="237" t="str">
        <f t="shared" si="12"/>
        <v>Москва</v>
      </c>
      <c r="M10" s="246" t="str">
        <f t="array" ref="M10">IFERROR(INDEX(субъект,MATCH(SUM(COUNTIF(M$6:M9,субъект)),COUNTIF(субъект,"&lt;"&amp;субъект),0)),"")</f>
        <v>Московская</v>
      </c>
      <c r="N10" s="246" t="str">
        <f t="array" ref="N10">IFERROR(INDEX(разряд,MATCH(SUM(COUNTIF(N$6:N9,разряд)),COUNTIF(разряд,"&lt;"&amp;разряд),0)),"")</f>
        <v/>
      </c>
      <c r="O10" s="247">
        <v>4</v>
      </c>
      <c r="P10" s="182" t="str">
        <f t="shared" si="2"/>
        <v>Московская</v>
      </c>
      <c r="Q10" s="248">
        <f t="shared" si="3"/>
        <v>1</v>
      </c>
      <c r="R10" s="248">
        <f t="shared" si="4"/>
        <v>0</v>
      </c>
      <c r="S10" s="249">
        <f t="shared" si="5"/>
        <v>0</v>
      </c>
      <c r="T10" s="250">
        <f t="shared" si="6"/>
        <v>0</v>
      </c>
      <c r="U10" s="250">
        <f t="shared" si="7"/>
        <v>0</v>
      </c>
      <c r="V10" s="250">
        <f t="shared" si="8"/>
        <v>0</v>
      </c>
      <c r="W10" s="250">
        <f t="shared" si="9"/>
        <v>0</v>
      </c>
      <c r="X10" s="183"/>
      <c r="Y10" s="184" t="str">
        <f t="shared" si="13"/>
        <v>Московская</v>
      </c>
      <c r="Z10" s="184">
        <f>IF(OR($Y10=$Y8,$Y10=$Y9,$Y10=$Y7)," ",IF(Q10=0," ",Q10))</f>
        <v>1</v>
      </c>
      <c r="AA10" s="184" t="str">
        <f>IF(OR($Y10=$Y8,$Y10=$Y9,$Y10=$Y7)," ",IF(R10=0," ",R10))</f>
        <v xml:space="preserve"> </v>
      </c>
      <c r="AB10" s="184" t="str">
        <f>IF(OR($Y10=$Y8,$Y10=$Y9,$Y10=$Y7)," ",IF(S10=0," ",S10))</f>
        <v xml:space="preserve"> </v>
      </c>
      <c r="AC10" s="184" t="str">
        <f>IF(OR($Y10=$Y8,$Y10=$Y9,$Y10=$Y7)," ",IF(T10=0," ",T10))</f>
        <v xml:space="preserve"> </v>
      </c>
      <c r="AD10" s="184" t="str">
        <f t="shared" si="10"/>
        <v xml:space="preserve"> </v>
      </c>
      <c r="AE10" s="282">
        <f t="shared" si="14"/>
        <v>1</v>
      </c>
      <c r="AF10" s="184" t="str">
        <f t="shared" si="10"/>
        <v xml:space="preserve"> </v>
      </c>
    </row>
    <row r="11" spans="1:35" ht="18.95" customHeight="1">
      <c r="A11" s="242" t="s">
        <v>77</v>
      </c>
      <c r="B11" s="243">
        <v>5</v>
      </c>
      <c r="C11" s="270" t="s">
        <v>131</v>
      </c>
      <c r="D11" s="244" t="s">
        <v>132</v>
      </c>
      <c r="E11" s="276" t="s">
        <v>120</v>
      </c>
      <c r="F11" s="270" t="s">
        <v>121</v>
      </c>
      <c r="G11" s="277"/>
      <c r="H11" s="273" t="s">
        <v>133</v>
      </c>
      <c r="I11" s="45"/>
      <c r="J11" s="245">
        <v>1</v>
      </c>
      <c r="K11" s="237" t="str">
        <f t="shared" si="11"/>
        <v>кмс</v>
      </c>
      <c r="L11" s="237" t="str">
        <f t="shared" si="12"/>
        <v>Москва</v>
      </c>
      <c r="M11" s="246" t="str">
        <f t="array" ref="M11">IFERROR(INDEX(субъект,MATCH(SUM(COUNTIF(M$6:M10,субъект)),COUNTIF(субъект,"&lt;"&amp;субъект),0)),"")</f>
        <v>Новгородская</v>
      </c>
      <c r="N11" s="246" t="str">
        <f t="array" ref="N11">IFERROR(INDEX(разряд,MATCH(SUM(COUNTIF(N$6:N10,разряд)),COUNTIF(разряд,"&lt;"&amp;разряд),0)),"")</f>
        <v/>
      </c>
      <c r="O11" s="247">
        <v>5</v>
      </c>
      <c r="P11" s="182" t="str">
        <f t="shared" si="2"/>
        <v>Новгородская</v>
      </c>
      <c r="Q11" s="248">
        <f t="shared" si="3"/>
        <v>1</v>
      </c>
      <c r="R11" s="248">
        <f t="shared" si="4"/>
        <v>0</v>
      </c>
      <c r="S11" s="249">
        <f t="shared" si="5"/>
        <v>0</v>
      </c>
      <c r="T11" s="250">
        <f t="shared" si="6"/>
        <v>0</v>
      </c>
      <c r="U11" s="250">
        <f t="shared" si="7"/>
        <v>0</v>
      </c>
      <c r="V11" s="250">
        <f t="shared" si="8"/>
        <v>0</v>
      </c>
      <c r="W11" s="250">
        <f t="shared" si="9"/>
        <v>0</v>
      </c>
      <c r="X11" s="185"/>
      <c r="Y11" s="184" t="str">
        <f t="shared" si="13"/>
        <v>Новгородская</v>
      </c>
      <c r="Z11" s="184">
        <f>IF(OR($Y11=$Y9,$Y11=$Y10,$Y11=$Y8,$Y11=$Y7)," ",IF(Q11=0," ",Q11))</f>
        <v>1</v>
      </c>
      <c r="AA11" s="184" t="str">
        <f>IF(OR($Y11=$Y9,$Y11=$Y10,$Y11=$Y8,$Y11=$Y7)," ",IF(R11=0," ",R11))</f>
        <v xml:space="preserve"> </v>
      </c>
      <c r="AB11" s="184" t="str">
        <f>IF(OR($Y11=$Y9,$Y11=$Y10,$Y11=$Y8,$Y11=$Y7)," ",IF(S11=0," ",S11))</f>
        <v xml:space="preserve"> </v>
      </c>
      <c r="AC11" s="184" t="str">
        <f>IF(OR($Y11=$Y9,$Y11=$Y10,$Y11=$Y8,$Y11=$Y7)," ",IF(T11=0," ",T11))</f>
        <v xml:space="preserve"> </v>
      </c>
      <c r="AD11" s="184" t="str">
        <f t="shared" si="10"/>
        <v xml:space="preserve"> </v>
      </c>
      <c r="AE11" s="282">
        <f t="shared" si="14"/>
        <v>1</v>
      </c>
      <c r="AF11" s="184" t="str">
        <f t="shared" si="10"/>
        <v xml:space="preserve"> </v>
      </c>
    </row>
    <row r="12" spans="1:35" ht="18.95" customHeight="1">
      <c r="A12" s="242" t="s">
        <v>78</v>
      </c>
      <c r="B12" s="243">
        <v>6</v>
      </c>
      <c r="C12" s="270" t="s">
        <v>134</v>
      </c>
      <c r="D12" s="244" t="s">
        <v>135</v>
      </c>
      <c r="E12" s="244" t="s">
        <v>120</v>
      </c>
      <c r="F12" s="270" t="s">
        <v>129</v>
      </c>
      <c r="G12" s="244"/>
      <c r="H12" s="273" t="s">
        <v>130</v>
      </c>
      <c r="I12" s="45"/>
      <c r="J12" s="245">
        <v>1</v>
      </c>
      <c r="K12" s="237" t="str">
        <f t="shared" si="11"/>
        <v>кмс</v>
      </c>
      <c r="L12" s="237" t="str">
        <f t="shared" si="12"/>
        <v>Москва</v>
      </c>
      <c r="M12" s="246" t="str">
        <f t="array" ref="M12">IFERROR(INDEX(субъект,MATCH(SUM(COUNTIF(M$6:M11,субъект)),COUNTIF(субъект,"&lt;"&amp;субъект),0)),"")</f>
        <v>Рязанская</v>
      </c>
      <c r="N12" s="246" t="str">
        <f t="array" ref="N12">IFERROR(INDEX(разряд,MATCH(SUM(COUNTIF(N$6:N11,разряд)),COUNTIF(разряд,"&lt;"&amp;разряд),0)),"")</f>
        <v/>
      </c>
      <c r="O12" s="247">
        <v>6</v>
      </c>
      <c r="P12" s="182" t="str">
        <f t="shared" si="2"/>
        <v>Рязанская</v>
      </c>
      <c r="Q12" s="248">
        <f t="shared" si="3"/>
        <v>1</v>
      </c>
      <c r="R12" s="248">
        <f t="shared" si="4"/>
        <v>0</v>
      </c>
      <c r="S12" s="249">
        <f t="shared" si="5"/>
        <v>0</v>
      </c>
      <c r="T12" s="250">
        <f t="shared" si="6"/>
        <v>0</v>
      </c>
      <c r="U12" s="250">
        <f t="shared" si="7"/>
        <v>0</v>
      </c>
      <c r="V12" s="250">
        <f t="shared" si="8"/>
        <v>0</v>
      </c>
      <c r="W12" s="250">
        <f t="shared" si="9"/>
        <v>0</v>
      </c>
      <c r="X12" s="183"/>
      <c r="Y12" s="184" t="str">
        <f t="shared" si="13"/>
        <v>Рязанская</v>
      </c>
      <c r="Z12" s="184">
        <f>IF(OR($Y12=$Y10,$Y12=$Y11,$Y12=$Y9,$Y12=$Y8,$Y12=$Y7)," ",IF(Q12=0," ",Q12))</f>
        <v>1</v>
      </c>
      <c r="AA12" s="184" t="str">
        <f>IF(OR($Y12=$Y10,$Y12=$Y11,$Y12=$Y9,$Y12=$Y8,$Y12=$Y7)," ",IF(R12=0," ",R12))</f>
        <v xml:space="preserve"> </v>
      </c>
      <c r="AB12" s="184" t="str">
        <f>IF(OR($Y12=$Y10,$Y12=$Y11,$Y12=$Y9,$Y12=$Y8,$Y12=$Y7)," ",IF(S12=0," ",S12))</f>
        <v xml:space="preserve"> </v>
      </c>
      <c r="AC12" s="184" t="str">
        <f>IF(OR($Y12=$Y10,$Y12=$Y11,$Y12=$Y9,$Y12=$Y8,$Y12=$Y7)," ",IF(T12=0," ",T12))</f>
        <v xml:space="preserve"> </v>
      </c>
      <c r="AD12" s="184" t="str">
        <f t="shared" si="10"/>
        <v xml:space="preserve"> </v>
      </c>
      <c r="AE12" s="282">
        <f t="shared" si="14"/>
        <v>1</v>
      </c>
      <c r="AF12" s="184" t="str">
        <f t="shared" si="10"/>
        <v xml:space="preserve"> </v>
      </c>
    </row>
    <row r="13" spans="1:35" ht="18.95" customHeight="1">
      <c r="A13" s="242" t="s">
        <v>79</v>
      </c>
      <c r="B13" s="243">
        <v>7</v>
      </c>
      <c r="C13" s="271" t="s">
        <v>136</v>
      </c>
      <c r="D13" s="238" t="s">
        <v>137</v>
      </c>
      <c r="E13" s="238" t="s">
        <v>120</v>
      </c>
      <c r="F13" s="271" t="s">
        <v>129</v>
      </c>
      <c r="G13" s="253"/>
      <c r="H13" s="274" t="s">
        <v>130</v>
      </c>
      <c r="I13" s="45"/>
      <c r="J13" s="245">
        <v>1</v>
      </c>
      <c r="K13" s="237" t="str">
        <f t="shared" si="11"/>
        <v>кмс</v>
      </c>
      <c r="L13" s="237" t="str">
        <f t="shared" si="12"/>
        <v>Москва</v>
      </c>
      <c r="M13" s="246" t="str">
        <f t="array" ref="M13">IFERROR(INDEX(субъект,MATCH(SUM(COUNTIF(M$6:M12,субъект)),COUNTIF(субъект,"&lt;"&amp;субъект),0)),"")</f>
        <v>Тверская</v>
      </c>
      <c r="N13" s="246" t="str">
        <f t="array" ref="N13">IFERROR(INDEX(разряд,MATCH(SUM(COUNTIF(N$6:N12,разряд)),COUNTIF(разряд,"&lt;"&amp;разряд),0)),"")</f>
        <v/>
      </c>
      <c r="O13" s="247">
        <v>7</v>
      </c>
      <c r="P13" s="182" t="str">
        <f t="shared" si="2"/>
        <v>Тверская</v>
      </c>
      <c r="Q13" s="248">
        <f t="shared" si="3"/>
        <v>6</v>
      </c>
      <c r="R13" s="248">
        <f t="shared" si="4"/>
        <v>1</v>
      </c>
      <c r="S13" s="249">
        <f t="shared" si="5"/>
        <v>0</v>
      </c>
      <c r="T13" s="250">
        <f t="shared" si="6"/>
        <v>0</v>
      </c>
      <c r="U13" s="250">
        <f t="shared" si="7"/>
        <v>0</v>
      </c>
      <c r="V13" s="250">
        <f t="shared" si="8"/>
        <v>0</v>
      </c>
      <c r="W13" s="250">
        <f t="shared" si="9"/>
        <v>0</v>
      </c>
      <c r="X13" s="185"/>
      <c r="Y13" s="184" t="str">
        <f t="shared" si="13"/>
        <v>Тверская</v>
      </c>
      <c r="Z13" s="184">
        <f>IF(OR($Y13=$Y11,$Y13=$Y12,$Y13=$Y10,$Y13=$Y9,$Y13=$Y8,$Y13=$Y7)," ",IF(Q13=0," ",Q13))</f>
        <v>6</v>
      </c>
      <c r="AA13" s="184">
        <f>IF(OR($Y13=$Y11,$Y13=$Y12,$Y13=$Y10,$Y13=$Y9,$Y13=$Y8,$Y13=$Y7)," ",IF(R13=0," ",R13))</f>
        <v>1</v>
      </c>
      <c r="AB13" s="184" t="str">
        <f>IF(OR($Y13=$Y11,$Y13=$Y12,$Y13=$Y10,$Y13=$Y9,$Y13=$Y8,$Y13=$Y7)," ",IF(S13=0," ",S13))</f>
        <v xml:space="preserve"> </v>
      </c>
      <c r="AC13" s="184" t="str">
        <f>IF(OR($Y13=$Y11,$Y13=$Y12,$Y13=$Y10,$Y13=$Y9,$Y13=$Y8,$Y13=$Y7)," ",IF(T13=0," ",T13))</f>
        <v xml:space="preserve"> </v>
      </c>
      <c r="AD13" s="184" t="str">
        <f t="shared" si="10"/>
        <v xml:space="preserve"> </v>
      </c>
      <c r="AE13" s="282">
        <f t="shared" si="14"/>
        <v>7</v>
      </c>
      <c r="AF13" s="184" t="str">
        <f t="shared" si="10"/>
        <v xml:space="preserve"> </v>
      </c>
    </row>
    <row r="14" spans="1:35" ht="18.95" customHeight="1">
      <c r="A14" s="242" t="s">
        <v>80</v>
      </c>
      <c r="B14" s="243">
        <v>8</v>
      </c>
      <c r="C14" s="271" t="s">
        <v>138</v>
      </c>
      <c r="D14" s="238" t="s">
        <v>139</v>
      </c>
      <c r="E14" s="238" t="s">
        <v>115</v>
      </c>
      <c r="F14" s="271" t="s">
        <v>116</v>
      </c>
      <c r="G14" s="253"/>
      <c r="H14" s="274" t="s">
        <v>140</v>
      </c>
      <c r="I14" s="45"/>
      <c r="J14" s="245">
        <v>1</v>
      </c>
      <c r="K14" s="237" t="str">
        <f t="shared" si="11"/>
        <v>кмс</v>
      </c>
      <c r="L14" s="237" t="str">
        <f t="shared" si="12"/>
        <v>Тверская</v>
      </c>
      <c r="M14" s="246" t="str">
        <f t="array" ref="M14">IFERROR(INDEX(субъект,MATCH(SUM(COUNTIF(M$6:M13,субъект)),COUNTIF(субъект,"&lt;"&amp;субъект),0)),"")</f>
        <v>Тульская</v>
      </c>
      <c r="N14" s="246" t="str">
        <f t="array" ref="N14">IFERROR(INDEX(разряд,MATCH(SUM(COUNTIF(N$6:N13,разряд)),COUNTIF(разряд,"&lt;"&amp;разряд),0)),"")</f>
        <v/>
      </c>
      <c r="O14" s="247">
        <v>8</v>
      </c>
      <c r="P14" s="182" t="str">
        <f t="shared" si="2"/>
        <v>Тульская</v>
      </c>
      <c r="Q14" s="248">
        <f t="shared" si="3"/>
        <v>1</v>
      </c>
      <c r="R14" s="248">
        <f t="shared" si="4"/>
        <v>0</v>
      </c>
      <c r="S14" s="249">
        <f t="shared" si="5"/>
        <v>0</v>
      </c>
      <c r="T14" s="250">
        <f t="shared" si="6"/>
        <v>0</v>
      </c>
      <c r="U14" s="250">
        <f t="shared" si="7"/>
        <v>0</v>
      </c>
      <c r="V14" s="250">
        <f t="shared" si="8"/>
        <v>0</v>
      </c>
      <c r="W14" s="250">
        <f t="shared" si="9"/>
        <v>0</v>
      </c>
      <c r="X14" s="185"/>
      <c r="Y14" s="184" t="str">
        <f t="shared" si="13"/>
        <v>Тульская</v>
      </c>
      <c r="Z14" s="184">
        <f>IF(OR($Y14=$Y12,$Y14=$Y13,$Y14=$Y11,$Y14=$Y10,$Y14=$Y9,$Y14=$Y7)," ",IF(Q14=0," ",Q14))</f>
        <v>1</v>
      </c>
      <c r="AA14" s="184" t="str">
        <f>IF(OR($Y14=$Y12,$Y14=$Y13,$Y14=$Y11,$Y14=$Y10,$Y14=$Y9,$Y14=$Y7)," ",IF(R14=0," ",R14))</f>
        <v xml:space="preserve"> </v>
      </c>
      <c r="AB14" s="184" t="str">
        <f>IF(OR($Y14=$Y12,$Y14=$Y13,$Y14=$Y11,$Y14=$Y10,$Y14=$Y9,$Y14=$Y7)," ",IF(S14=0," ",S14))</f>
        <v xml:space="preserve"> </v>
      </c>
      <c r="AC14" s="184" t="str">
        <f>IF(OR($Y14=$Y12,$Y14=$Y13,$Y14=$Y11,$Y14=$Y10,$Y14=$Y9,$Y14=$Y7)," ",IF(T14=0," ",T14))</f>
        <v xml:space="preserve"> </v>
      </c>
      <c r="AD14" s="184" t="str">
        <f t="shared" si="10"/>
        <v xml:space="preserve"> </v>
      </c>
      <c r="AE14" s="282">
        <f t="shared" si="14"/>
        <v>1</v>
      </c>
      <c r="AF14" s="184" t="str">
        <f t="shared" si="10"/>
        <v xml:space="preserve"> </v>
      </c>
    </row>
    <row r="15" spans="1:35" ht="18.95" customHeight="1">
      <c r="A15" s="242" t="s">
        <v>81</v>
      </c>
      <c r="B15" s="243">
        <v>9</v>
      </c>
      <c r="C15" s="270" t="s">
        <v>141</v>
      </c>
      <c r="D15" s="244" t="s">
        <v>142</v>
      </c>
      <c r="E15" s="276" t="s">
        <v>115</v>
      </c>
      <c r="F15" s="270" t="s">
        <v>143</v>
      </c>
      <c r="G15" s="277"/>
      <c r="H15" s="273" t="s">
        <v>144</v>
      </c>
      <c r="I15" s="45"/>
      <c r="J15" s="245">
        <v>1</v>
      </c>
      <c r="K15" s="237" t="str">
        <f t="shared" si="11"/>
        <v>кмс</v>
      </c>
      <c r="L15" s="237" t="str">
        <f t="shared" si="12"/>
        <v>Тверская</v>
      </c>
      <c r="M15" s="246" t="str">
        <f t="array" ref="M15">IFERROR(INDEX(субъект,MATCH(SUM(COUNTIF(M$6:M14,субъект)),COUNTIF(субъект,"&lt;"&amp;субъект),0)),"")</f>
        <v/>
      </c>
      <c r="N15" s="246" t="str">
        <f t="array" ref="N15">IFERROR(INDEX(разряд,MATCH(SUM(COUNTIF(N$6:N14,разряд)),COUNTIF(разряд,"&lt;"&amp;разряд),0)),"")</f>
        <v/>
      </c>
      <c r="O15" s="247">
        <v>9</v>
      </c>
      <c r="P15" s="182" t="str">
        <f t="shared" si="2"/>
        <v/>
      </c>
      <c r="Q15" s="248">
        <f t="shared" si="3"/>
        <v>0</v>
      </c>
      <c r="R15" s="248">
        <f t="shared" si="4"/>
        <v>0</v>
      </c>
      <c r="S15" s="249">
        <f t="shared" si="5"/>
        <v>0</v>
      </c>
      <c r="T15" s="250">
        <f t="shared" si="6"/>
        <v>0</v>
      </c>
      <c r="U15" s="250">
        <f t="shared" si="7"/>
        <v>0</v>
      </c>
      <c r="V15" s="250">
        <f t="shared" si="8"/>
        <v>0</v>
      </c>
      <c r="W15" s="250">
        <f t="shared" si="9"/>
        <v>0</v>
      </c>
      <c r="X15" s="234"/>
      <c r="Y15" s="184" t="str">
        <f t="shared" si="13"/>
        <v/>
      </c>
      <c r="Z15" s="184" t="str">
        <f>IF(OR($Y15=$Y13,$Y15=$Y14,$Y15=$Y12,$Y15=$Y11,$Y15=$Y10,$Y15=$Y8,$Y15=$Y7)," ",IF(Q15=0," ",Q15))</f>
        <v xml:space="preserve"> </v>
      </c>
      <c r="AA15" s="184" t="str">
        <f>IF(OR($Y15=$Y13,$Y15=$Y14,$Y15=$Y12,$Y15=$Y11,$Y15=$Y10,$Y15=$Y8,$Y15=$Y7)," ",IF(R15=0," ",R15))</f>
        <v xml:space="preserve"> </v>
      </c>
      <c r="AB15" s="184" t="str">
        <f>IF(OR($Y15=$Y13,$Y15=$Y14,$Y15=$Y12,$Y15=$Y11,$Y15=$Y10,$Y15=$Y8,$Y15=$Y7)," ",IF(S15=0," ",S15))</f>
        <v xml:space="preserve"> </v>
      </c>
      <c r="AC15" s="184" t="str">
        <f>IF(OR($Y15=$Y13,$Y15=$Y14,$Y15=$Y12,$Y15=$Y11,$Y15=$Y10,$Y15=$Y8,$Y15=$Y7)," ",IF(T15=0," ",T15))</f>
        <v xml:space="preserve"> </v>
      </c>
      <c r="AD15" s="184" t="str">
        <f t="shared" si="10"/>
        <v xml:space="preserve"> </v>
      </c>
      <c r="AE15" s="282">
        <f t="shared" si="14"/>
        <v>0</v>
      </c>
      <c r="AF15" s="184" t="str">
        <f t="shared" si="10"/>
        <v xml:space="preserve"> </v>
      </c>
    </row>
    <row r="16" spans="1:35" ht="18.95" customHeight="1">
      <c r="A16" s="242" t="s">
        <v>82</v>
      </c>
      <c r="B16" s="243">
        <v>10</v>
      </c>
      <c r="C16" s="270" t="s">
        <v>145</v>
      </c>
      <c r="D16" s="244" t="s">
        <v>146</v>
      </c>
      <c r="E16" s="244" t="s">
        <v>115</v>
      </c>
      <c r="F16" s="270" t="s">
        <v>143</v>
      </c>
      <c r="G16" s="244"/>
      <c r="H16" s="273" t="s">
        <v>144</v>
      </c>
      <c r="I16" s="45"/>
      <c r="J16" s="245">
        <v>1</v>
      </c>
      <c r="K16" s="237" t="str">
        <f t="shared" si="11"/>
        <v>кмс</v>
      </c>
      <c r="L16" s="237" t="str">
        <f t="shared" si="12"/>
        <v>Тверская</v>
      </c>
      <c r="M16" s="246" t="str">
        <f t="array" ref="M16">IFERROR(INDEX(субъект,MATCH(SUM(COUNTIF(M$6:M15,субъект)),COUNTIF(субъект,"&lt;"&amp;субъект),0)),"")</f>
        <v/>
      </c>
      <c r="N16" s="246" t="str">
        <f t="array" ref="N16">IFERROR(INDEX(разряд,MATCH(SUM(COUNTIF(N$6:N15,разряд)),COUNTIF(разряд,"&lt;"&amp;разряд),0)),"")</f>
        <v/>
      </c>
      <c r="O16" s="247">
        <v>10</v>
      </c>
      <c r="P16" s="182" t="str">
        <f t="shared" si="2"/>
        <v/>
      </c>
      <c r="Q16" s="248">
        <f t="shared" si="3"/>
        <v>0</v>
      </c>
      <c r="R16" s="248">
        <f t="shared" si="4"/>
        <v>0</v>
      </c>
      <c r="S16" s="249">
        <f t="shared" si="5"/>
        <v>0</v>
      </c>
      <c r="T16" s="250">
        <f t="shared" si="6"/>
        <v>0</v>
      </c>
      <c r="U16" s="250">
        <f t="shared" si="7"/>
        <v>0</v>
      </c>
      <c r="V16" s="250">
        <f t="shared" si="8"/>
        <v>0</v>
      </c>
      <c r="W16" s="250">
        <f t="shared" si="9"/>
        <v>0</v>
      </c>
      <c r="X16" s="92"/>
      <c r="Y16" s="184" t="str">
        <f t="shared" si="13"/>
        <v/>
      </c>
      <c r="Z16" s="184" t="str">
        <f>IF(OR($Y16=$Y14,$Y16=$Y15,$Y16=$Y13,$Y16=$Y12,$Y16=$Y11,$Y16=$Y9,$Y16=$Y8,$Y16=$Y7)," ",IF(Q16=0," ",Q16))</f>
        <v xml:space="preserve"> </v>
      </c>
      <c r="AA16" s="184" t="str">
        <f>IF(OR($Y16=$Y14,$Y16=$Y15,$Y16=$Y13,$Y16=$Y12,$Y16=$Y11,$Y16=$Y9,$Y16=$Y8,$Y16=$Y7)," ",IF(R16=0," ",R16))</f>
        <v xml:space="preserve"> </v>
      </c>
      <c r="AB16" s="184" t="str">
        <f>IF(OR($Y16=$Y14,$Y16=$Y15,$Y16=$Y13,$Y16=$Y12,$Y16=$Y11,$Y16=$Y9,$Y16=$Y8,$Y16=$Y7)," ",IF(S16=0," ",S16))</f>
        <v xml:space="preserve"> </v>
      </c>
      <c r="AC16" s="184" t="str">
        <f>IF(OR($Y16=$Y14,$Y16=$Y15,$Y16=$Y13,$Y16=$Y12,$Y16=$Y11,$Y16=$Y9,$Y16=$Y8,$Y16=$Y7)," ",IF(T16=0," ",T16))</f>
        <v xml:space="preserve"> </v>
      </c>
      <c r="AD16" s="184" t="str">
        <f t="shared" si="10"/>
        <v xml:space="preserve"> </v>
      </c>
      <c r="AE16" s="282">
        <f t="shared" si="14"/>
        <v>0</v>
      </c>
      <c r="AF16" s="184" t="str">
        <f t="shared" si="10"/>
        <v xml:space="preserve"> </v>
      </c>
    </row>
    <row r="17" spans="1:34" ht="18.95" customHeight="1">
      <c r="A17" s="242" t="s">
        <v>83</v>
      </c>
      <c r="B17" s="243">
        <v>11</v>
      </c>
      <c r="C17" s="270" t="s">
        <v>147</v>
      </c>
      <c r="D17" s="244" t="s">
        <v>148</v>
      </c>
      <c r="E17" s="276" t="s">
        <v>115</v>
      </c>
      <c r="F17" s="270" t="s">
        <v>149</v>
      </c>
      <c r="G17" s="277"/>
      <c r="H17" s="273" t="s">
        <v>150</v>
      </c>
      <c r="I17" s="45"/>
      <c r="J17" s="245">
        <v>1</v>
      </c>
      <c r="K17" s="237" t="str">
        <f t="shared" si="11"/>
        <v>кмс</v>
      </c>
      <c r="L17" s="237" t="str">
        <f t="shared" si="12"/>
        <v>Тверская</v>
      </c>
      <c r="M17" s="246" t="str">
        <f t="array" ref="M17">IFERROR(INDEX(субъект,MATCH(SUM(COUNTIF(M$6:M16,субъект)),COUNTIF(субъект,"&lt;"&amp;субъект),0)),"")</f>
        <v/>
      </c>
      <c r="N17" s="246" t="str">
        <f t="array" ref="N17">IFERROR(INDEX(разряд,MATCH(SUM(COUNTIF(N$6:N16,разряд)),COUNTIF(разряд,"&lt;"&amp;разряд),0)),"")</f>
        <v/>
      </c>
      <c r="O17" s="247">
        <v>11</v>
      </c>
      <c r="P17" s="182" t="str">
        <f t="shared" si="2"/>
        <v/>
      </c>
      <c r="Q17" s="248">
        <f t="shared" si="3"/>
        <v>0</v>
      </c>
      <c r="R17" s="248">
        <f t="shared" si="4"/>
        <v>0</v>
      </c>
      <c r="S17" s="249">
        <f t="shared" si="5"/>
        <v>0</v>
      </c>
      <c r="T17" s="250">
        <f t="shared" si="6"/>
        <v>0</v>
      </c>
      <c r="U17" s="250">
        <f t="shared" si="7"/>
        <v>0</v>
      </c>
      <c r="V17" s="250">
        <f t="shared" si="8"/>
        <v>0</v>
      </c>
      <c r="W17" s="250">
        <f t="shared" si="9"/>
        <v>0</v>
      </c>
      <c r="X17" s="92"/>
      <c r="Y17" s="184" t="str">
        <f t="shared" si="13"/>
        <v/>
      </c>
      <c r="Z17" s="184" t="str">
        <f>IF(OR($Y17=$Y15,$Y17=$Y16,$Y17=$Y14,$Y17=$Y13,$Y17=$Y12,$Y17=$Y10,$Y17=$Y9,$Y17=$Y8,$Y17=$Y7)," ",IF(Q17=0," ",Q17))</f>
        <v xml:space="preserve"> </v>
      </c>
      <c r="AA17" s="184" t="str">
        <f>IF(OR($Y17=$Y15,$Y17=$Y16,$Y17=$Y14,$Y17=$Y13,$Y17=$Y12,$Y17=$Y10,$Y17=$Y9,$Y17=$Y8,$Y17=$Y7)," ",IF(R17=0," ",R17))</f>
        <v xml:space="preserve"> </v>
      </c>
      <c r="AB17" s="184" t="str">
        <f>IF(OR($Y17=$Y15,$Y17=$Y16,$Y17=$Y14,$Y17=$Y13,$Y17=$Y12,$Y17=$Y10,$Y17=$Y9,$Y17=$Y8,$Y17=$Y7)," ",IF(S17=0," ",S17))</f>
        <v xml:space="preserve"> </v>
      </c>
      <c r="AC17" s="184" t="str">
        <f>IF(OR($Y17=$Y15,$Y17=$Y16,$Y17=$Y14,$Y17=$Y13,$Y17=$Y12,$Y17=$Y10,$Y17=$Y9,$Y17=$Y8,$Y17=$Y7)," ",IF(T17=0," ",T17))</f>
        <v xml:space="preserve"> </v>
      </c>
      <c r="AD17" s="184" t="str">
        <f t="shared" si="10"/>
        <v xml:space="preserve"> </v>
      </c>
      <c r="AE17" s="282">
        <f t="shared" si="14"/>
        <v>0</v>
      </c>
      <c r="AF17" s="184" t="str">
        <f t="shared" si="10"/>
        <v xml:space="preserve"> </v>
      </c>
    </row>
    <row r="18" spans="1:34" ht="18.95" customHeight="1">
      <c r="A18" s="242" t="s">
        <v>84</v>
      </c>
      <c r="B18" s="243">
        <v>12</v>
      </c>
      <c r="C18" s="270" t="s">
        <v>151</v>
      </c>
      <c r="D18" s="244" t="s">
        <v>152</v>
      </c>
      <c r="E18" s="244" t="s">
        <v>115</v>
      </c>
      <c r="F18" s="270" t="s">
        <v>153</v>
      </c>
      <c r="G18" s="244"/>
      <c r="H18" s="273" t="s">
        <v>154</v>
      </c>
      <c r="I18" s="45"/>
      <c r="J18" s="245">
        <v>1</v>
      </c>
      <c r="K18" s="237" t="str">
        <f t="shared" si="11"/>
        <v>кмс</v>
      </c>
      <c r="L18" s="237" t="str">
        <f t="shared" si="12"/>
        <v>Тверская</v>
      </c>
      <c r="M18" s="246" t="str">
        <f t="array" ref="M18">IFERROR(INDEX(субъект,MATCH(SUM(COUNTIF(M$6:M17,субъект)),COUNTIF(субъект,"&lt;"&amp;субъект),0)),"")</f>
        <v/>
      </c>
      <c r="N18" s="246" t="str">
        <f t="array" ref="N18">IFERROR(INDEX(разряд,MATCH(SUM(COUNTIF(N$6:N17,разряд)),COUNTIF(разряд,"&lt;"&amp;разряд),0)),"")</f>
        <v/>
      </c>
      <c r="O18" s="247">
        <v>12</v>
      </c>
      <c r="P18" s="182" t="str">
        <f t="shared" si="2"/>
        <v/>
      </c>
      <c r="Q18" s="248">
        <f t="shared" si="3"/>
        <v>0</v>
      </c>
      <c r="R18" s="248">
        <f t="shared" si="4"/>
        <v>0</v>
      </c>
      <c r="S18" s="249">
        <f t="shared" si="5"/>
        <v>0</v>
      </c>
      <c r="T18" s="250">
        <f t="shared" si="6"/>
        <v>0</v>
      </c>
      <c r="U18" s="250">
        <f t="shared" si="7"/>
        <v>0</v>
      </c>
      <c r="V18" s="250">
        <f t="shared" si="8"/>
        <v>0</v>
      </c>
      <c r="W18" s="250">
        <f t="shared" si="9"/>
        <v>0</v>
      </c>
      <c r="X18" s="92"/>
      <c r="Y18" s="184" t="str">
        <f t="shared" si="13"/>
        <v/>
      </c>
      <c r="Z18" s="184" t="str">
        <f>IF(OR($Y18=$Y16,$Y18=$Y17,$Y18=$Y15,$Y18=$Y14,$Y18=$Y13,$Y18=$Y11,$Y18=$Y10,$Y18=$Y9,$Y18=$Y8,$Y18=$Y7)," ",IF(Q18=0," ",Q18))</f>
        <v xml:space="preserve"> </v>
      </c>
      <c r="AA18" s="184" t="str">
        <f>IF(OR($Y18=$Y16,$Y18=$Y17,$Y18=$Y15,$Y18=$Y14,$Y18=$Y13,$Y18=$Y11,$Y18=$Y10,$Y18=$Y9,$Y18=$Y8,$Y18=$Y7)," ",IF(R18=0," ",R18))</f>
        <v xml:space="preserve"> </v>
      </c>
      <c r="AB18" s="184" t="str">
        <f>IF(OR($Y18=$Y16,$Y18=$Y17,$Y18=$Y15,$Y18=$Y14,$Y18=$Y13,$Y18=$Y11,$Y18=$Y10,$Y18=$Y9,$Y18=$Y8,$Y18=$Y7)," ",IF(S18=0," ",S18))</f>
        <v xml:space="preserve"> </v>
      </c>
      <c r="AC18" s="184" t="str">
        <f>IF(OR($Y18=$Y16,$Y18=$Y17,$Y18=$Y15,$Y18=$Y14,$Y18=$Y13,$Y18=$Y11,$Y18=$Y10,$Y18=$Y9,$Y18=$Y8,$Y18=$Y7)," ",IF(T18=0," ",T18))</f>
        <v xml:space="preserve"> </v>
      </c>
      <c r="AD18" s="184" t="str">
        <f t="shared" si="10"/>
        <v xml:space="preserve"> </v>
      </c>
      <c r="AE18" s="282">
        <f t="shared" si="14"/>
        <v>0</v>
      </c>
      <c r="AF18" s="184" t="str">
        <f t="shared" si="10"/>
        <v xml:space="preserve"> </v>
      </c>
    </row>
    <row r="19" spans="1:34" ht="18.95" customHeight="1">
      <c r="A19" s="242" t="s">
        <v>85</v>
      </c>
      <c r="B19" s="243">
        <v>13</v>
      </c>
      <c r="C19" s="271" t="s">
        <v>155</v>
      </c>
      <c r="D19" s="244" t="s">
        <v>156</v>
      </c>
      <c r="E19" s="238" t="s">
        <v>115</v>
      </c>
      <c r="F19" s="271" t="s">
        <v>157</v>
      </c>
      <c r="G19" s="238"/>
      <c r="H19" s="274" t="s">
        <v>158</v>
      </c>
      <c r="I19" s="45"/>
      <c r="J19" s="245">
        <v>1</v>
      </c>
      <c r="K19" s="237" t="str">
        <f t="shared" si="11"/>
        <v>кмс</v>
      </c>
      <c r="L19" s="237" t="str">
        <f t="shared" si="12"/>
        <v>Воронежская</v>
      </c>
      <c r="M19" s="246" t="str">
        <f t="array" ref="M19">IFERROR(INDEX(субъект,MATCH(SUM(COUNTIF(M$6:M18,субъект)),COUNTIF(субъект,"&lt;"&amp;субъект),0)),"")</f>
        <v/>
      </c>
      <c r="N19" s="246" t="str">
        <f t="array" ref="N19">IFERROR(INDEX(разряд,MATCH(SUM(COUNTIF(N$6:N18,разряд)),COUNTIF(разряд,"&lt;"&amp;разряд),0)),"")</f>
        <v/>
      </c>
      <c r="O19" s="247">
        <v>13</v>
      </c>
      <c r="P19" s="182" t="str">
        <f t="shared" si="2"/>
        <v/>
      </c>
      <c r="Q19" s="248">
        <f t="shared" si="3"/>
        <v>0</v>
      </c>
      <c r="R19" s="248">
        <f t="shared" si="4"/>
        <v>0</v>
      </c>
      <c r="S19" s="249">
        <f t="shared" si="5"/>
        <v>0</v>
      </c>
      <c r="T19" s="250">
        <f t="shared" si="6"/>
        <v>0</v>
      </c>
      <c r="U19" s="250">
        <f t="shared" si="7"/>
        <v>0</v>
      </c>
      <c r="V19" s="250">
        <f t="shared" si="8"/>
        <v>0</v>
      </c>
      <c r="W19" s="250">
        <f t="shared" si="9"/>
        <v>0</v>
      </c>
      <c r="X19" s="92"/>
      <c r="Y19" s="184" t="str">
        <f t="shared" si="13"/>
        <v/>
      </c>
      <c r="Z19" s="184" t="str">
        <f t="shared" ref="Z19:AC22" si="15">IF(Q19=0," ",Q19)</f>
        <v xml:space="preserve"> </v>
      </c>
      <c r="AA19" s="184" t="str">
        <f t="shared" si="15"/>
        <v xml:space="preserve"> </v>
      </c>
      <c r="AB19" s="184" t="str">
        <f t="shared" si="15"/>
        <v xml:space="preserve"> </v>
      </c>
      <c r="AC19" s="184" t="str">
        <f t="shared" si="15"/>
        <v xml:space="preserve"> </v>
      </c>
      <c r="AD19" s="184" t="str">
        <f t="shared" si="10"/>
        <v xml:space="preserve"> </v>
      </c>
      <c r="AE19" s="282">
        <f t="shared" si="14"/>
        <v>0</v>
      </c>
      <c r="AF19" s="184" t="str">
        <f t="shared" si="10"/>
        <v xml:space="preserve"> </v>
      </c>
    </row>
    <row r="20" spans="1:34" ht="18.95" customHeight="1">
      <c r="A20" s="242" t="s">
        <v>86</v>
      </c>
      <c r="B20" s="243">
        <v>14</v>
      </c>
      <c r="C20" s="271" t="s">
        <v>159</v>
      </c>
      <c r="D20" s="244" t="s">
        <v>160</v>
      </c>
      <c r="E20" s="238" t="s">
        <v>161</v>
      </c>
      <c r="F20" s="271" t="s">
        <v>162</v>
      </c>
      <c r="G20" s="238"/>
      <c r="H20" s="274" t="s">
        <v>163</v>
      </c>
      <c r="I20" s="45"/>
      <c r="J20" s="245">
        <v>1</v>
      </c>
      <c r="K20" s="237" t="str">
        <f t="shared" si="11"/>
        <v>кмс</v>
      </c>
      <c r="L20" s="237" t="str">
        <f t="shared" si="12"/>
        <v>Новгородская</v>
      </c>
      <c r="M20" s="246" t="str">
        <f t="array" ref="M20">IFERROR(INDEX(субъект,MATCH(SUM(COUNTIF(M$6:M19,субъект)),COUNTIF(субъект,"&lt;"&amp;субъект),0)),"")</f>
        <v/>
      </c>
      <c r="N20" s="246" t="str">
        <f t="array" ref="N20">IFERROR(INDEX(разряд,MATCH(SUM(COUNTIF(N$6:N19,разряд)),COUNTIF(разряд,"&lt;"&amp;разряд),0)),"")</f>
        <v/>
      </c>
      <c r="O20" s="247">
        <v>14</v>
      </c>
      <c r="P20" s="182" t="str">
        <f t="shared" si="2"/>
        <v/>
      </c>
      <c r="Q20" s="248">
        <f t="shared" si="3"/>
        <v>0</v>
      </c>
      <c r="R20" s="248">
        <f t="shared" si="4"/>
        <v>0</v>
      </c>
      <c r="S20" s="249">
        <f t="shared" si="5"/>
        <v>0</v>
      </c>
      <c r="T20" s="250">
        <f t="shared" si="6"/>
        <v>0</v>
      </c>
      <c r="U20" s="250">
        <f t="shared" si="7"/>
        <v>0</v>
      </c>
      <c r="V20" s="250">
        <f t="shared" si="8"/>
        <v>0</v>
      </c>
      <c r="W20" s="250">
        <f t="shared" si="9"/>
        <v>0</v>
      </c>
      <c r="X20" s="92"/>
      <c r="Y20" s="184" t="str">
        <f t="shared" si="13"/>
        <v/>
      </c>
      <c r="Z20" s="184" t="str">
        <f t="shared" si="15"/>
        <v xml:space="preserve"> </v>
      </c>
      <c r="AA20" s="184" t="str">
        <f t="shared" si="15"/>
        <v xml:space="preserve"> </v>
      </c>
      <c r="AB20" s="184" t="str">
        <f t="shared" si="15"/>
        <v xml:space="preserve"> </v>
      </c>
      <c r="AC20" s="184" t="str">
        <f t="shared" si="15"/>
        <v xml:space="preserve"> </v>
      </c>
      <c r="AD20" s="184" t="str">
        <f t="shared" si="10"/>
        <v xml:space="preserve"> </v>
      </c>
      <c r="AE20" s="282">
        <f t="shared" si="14"/>
        <v>0</v>
      </c>
      <c r="AF20" s="184" t="str">
        <f t="shared" si="10"/>
        <v xml:space="preserve"> </v>
      </c>
    </row>
    <row r="21" spans="1:34" ht="18.95" customHeight="1">
      <c r="A21" s="242" t="s">
        <v>87</v>
      </c>
      <c r="B21" s="243">
        <v>15</v>
      </c>
      <c r="C21" s="270" t="s">
        <v>164</v>
      </c>
      <c r="D21" s="244" t="s">
        <v>165</v>
      </c>
      <c r="E21" s="276" t="s">
        <v>161</v>
      </c>
      <c r="F21" s="271" t="s">
        <v>166</v>
      </c>
      <c r="G21" s="277"/>
      <c r="H21" s="273" t="s">
        <v>167</v>
      </c>
      <c r="I21" s="45"/>
      <c r="J21" s="245">
        <v>1</v>
      </c>
      <c r="K21" s="237" t="str">
        <f t="shared" si="11"/>
        <v>кмс</v>
      </c>
      <c r="L21" s="237" t="str">
        <f t="shared" si="12"/>
        <v>Вологодская</v>
      </c>
      <c r="M21" s="246" t="str">
        <f t="array" ref="M21">IFERROR(INDEX(субъект,MATCH(SUM(COUNTIF(M$6:M20,субъект)),COUNTIF(субъект,"&lt;"&amp;субъект),0)),"")</f>
        <v/>
      </c>
      <c r="N21" s="246" t="str">
        <f t="array" ref="N21">IFERROR(INDEX(разряд,MATCH(SUM(COUNTIF(N$6:N20,разряд)),COUNTIF(разряд,"&lt;"&amp;разряд),0)),"")</f>
        <v/>
      </c>
      <c r="O21" s="247">
        <v>15</v>
      </c>
      <c r="P21" s="182" t="str">
        <f t="shared" si="2"/>
        <v/>
      </c>
      <c r="Q21" s="248">
        <f t="shared" si="3"/>
        <v>0</v>
      </c>
      <c r="R21" s="248">
        <f t="shared" si="4"/>
        <v>0</v>
      </c>
      <c r="S21" s="249">
        <f t="shared" si="5"/>
        <v>0</v>
      </c>
      <c r="T21" s="250">
        <f t="shared" si="6"/>
        <v>0</v>
      </c>
      <c r="U21" s="250">
        <f t="shared" si="7"/>
        <v>0</v>
      </c>
      <c r="V21" s="250">
        <f t="shared" si="8"/>
        <v>0</v>
      </c>
      <c r="W21" s="250">
        <f t="shared" si="9"/>
        <v>0</v>
      </c>
      <c r="X21" s="92"/>
      <c r="Y21" s="184" t="str">
        <f t="shared" si="13"/>
        <v/>
      </c>
      <c r="Z21" s="184" t="str">
        <f t="shared" si="15"/>
        <v xml:space="preserve"> </v>
      </c>
      <c r="AA21" s="184" t="str">
        <f t="shared" si="15"/>
        <v xml:space="preserve"> </v>
      </c>
      <c r="AB21" s="184" t="str">
        <f t="shared" si="15"/>
        <v xml:space="preserve"> </v>
      </c>
      <c r="AC21" s="184" t="str">
        <f t="shared" si="15"/>
        <v xml:space="preserve"> </v>
      </c>
      <c r="AD21" s="184" t="str">
        <f t="shared" si="10"/>
        <v xml:space="preserve"> </v>
      </c>
      <c r="AE21" s="282">
        <f t="shared" si="14"/>
        <v>0</v>
      </c>
      <c r="AF21" s="184" t="str">
        <f t="shared" si="10"/>
        <v xml:space="preserve"> </v>
      </c>
    </row>
    <row r="22" spans="1:34" ht="18.95" customHeight="1">
      <c r="A22" s="242" t="s">
        <v>88</v>
      </c>
      <c r="B22" s="243">
        <v>16</v>
      </c>
      <c r="C22" s="270" t="s">
        <v>168</v>
      </c>
      <c r="D22" s="244" t="s">
        <v>169</v>
      </c>
      <c r="E22" s="244" t="s">
        <v>115</v>
      </c>
      <c r="F22" s="278" t="s">
        <v>170</v>
      </c>
      <c r="G22" s="244"/>
      <c r="H22" s="273" t="s">
        <v>171</v>
      </c>
      <c r="I22" s="45"/>
      <c r="J22" s="245">
        <v>1</v>
      </c>
      <c r="K22" s="237" t="str">
        <f t="shared" si="11"/>
        <v>кмс</v>
      </c>
      <c r="L22" s="237" t="str">
        <f t="shared" si="12"/>
        <v>Московская</v>
      </c>
      <c r="M22" s="246" t="str">
        <f t="array" ref="M22">IFERROR(INDEX(субъект,MATCH(SUM(COUNTIF(M$6:M21,субъект)),COUNTIF(субъект,"&lt;"&amp;субъект),0)),"")</f>
        <v/>
      </c>
      <c r="N22" s="246" t="str">
        <f t="array" ref="N22">IFERROR(INDEX(разряд,MATCH(SUM(COUNTIF(N$6:N21,разряд)),COUNTIF(разряд,"&lt;"&amp;разряд),0)),"")</f>
        <v/>
      </c>
      <c r="O22" s="247">
        <v>16</v>
      </c>
      <c r="P22" s="182" t="str">
        <f t="shared" si="2"/>
        <v/>
      </c>
      <c r="Q22" s="248">
        <f t="shared" si="3"/>
        <v>0</v>
      </c>
      <c r="R22" s="248">
        <f t="shared" si="4"/>
        <v>0</v>
      </c>
      <c r="S22" s="249">
        <f t="shared" si="5"/>
        <v>0</v>
      </c>
      <c r="T22" s="250">
        <f t="shared" si="6"/>
        <v>0</v>
      </c>
      <c r="U22" s="250">
        <f t="shared" si="7"/>
        <v>0</v>
      </c>
      <c r="V22" s="250">
        <f t="shared" si="8"/>
        <v>0</v>
      </c>
      <c r="W22" s="250">
        <f t="shared" si="9"/>
        <v>0</v>
      </c>
      <c r="X22" s="92"/>
      <c r="Y22" s="184" t="str">
        <f t="shared" si="13"/>
        <v/>
      </c>
      <c r="Z22" s="184" t="str">
        <f t="shared" si="15"/>
        <v xml:space="preserve"> </v>
      </c>
      <c r="AA22" s="184" t="str">
        <f t="shared" si="15"/>
        <v xml:space="preserve"> </v>
      </c>
      <c r="AB22" s="184" t="str">
        <f t="shared" si="15"/>
        <v xml:space="preserve"> </v>
      </c>
      <c r="AC22" s="184" t="str">
        <f t="shared" si="15"/>
        <v xml:space="preserve"> </v>
      </c>
      <c r="AD22" s="184" t="str">
        <f t="shared" si="10"/>
        <v xml:space="preserve"> </v>
      </c>
      <c r="AE22" s="282">
        <f t="shared" si="14"/>
        <v>0</v>
      </c>
      <c r="AF22" s="184" t="str">
        <f t="shared" si="10"/>
        <v xml:space="preserve"> </v>
      </c>
    </row>
    <row r="23" spans="1:34" ht="18.95" customHeight="1">
      <c r="A23" s="242" t="s">
        <v>89</v>
      </c>
      <c r="B23" s="243">
        <v>17</v>
      </c>
      <c r="C23" s="270" t="s">
        <v>172</v>
      </c>
      <c r="D23" s="244" t="s">
        <v>173</v>
      </c>
      <c r="E23" s="276" t="s">
        <v>115</v>
      </c>
      <c r="F23" s="270" t="s">
        <v>174</v>
      </c>
      <c r="G23" s="277"/>
      <c r="H23" s="273" t="s">
        <v>175</v>
      </c>
      <c r="I23" s="45"/>
      <c r="J23" s="245">
        <v>1</v>
      </c>
      <c r="K23" s="237" t="str">
        <f t="shared" si="11"/>
        <v>кмс</v>
      </c>
      <c r="L23" s="237" t="str">
        <f>IFERROR(LEFT(F23,FIND(",",F23)-1),F23)</f>
        <v>Рязанская</v>
      </c>
      <c r="M23" s="246" t="str">
        <f t="array" ref="M23">IFERROR(INDEX(субъект,MATCH(SUM(COUNTIF(M$6:M22,субъект)),COUNTIF(субъект,"&lt;"&amp;субъект),0)),"")</f>
        <v/>
      </c>
      <c r="N23" s="246" t="str">
        <f t="array" ref="N23">IFERROR(INDEX(разряд,MATCH(SUM(COUNTIF(N$6:N22,разряд)),COUNTIF(разряд,"&lt;"&amp;разряд),0)),"")</f>
        <v/>
      </c>
      <c r="O23" s="247">
        <v>17</v>
      </c>
      <c r="P23" s="182" t="str">
        <f t="shared" si="2"/>
        <v/>
      </c>
      <c r="Q23" s="248">
        <f t="shared" si="3"/>
        <v>0</v>
      </c>
      <c r="R23" s="248">
        <f t="shared" si="4"/>
        <v>0</v>
      </c>
      <c r="S23" s="249">
        <f t="shared" si="5"/>
        <v>0</v>
      </c>
      <c r="T23" s="250">
        <f t="shared" si="6"/>
        <v>0</v>
      </c>
      <c r="U23" s="250">
        <f t="shared" si="7"/>
        <v>0</v>
      </c>
      <c r="V23" s="250">
        <f t="shared" si="8"/>
        <v>0</v>
      </c>
      <c r="W23" s="250">
        <f t="shared" si="9"/>
        <v>0</v>
      </c>
      <c r="X23" s="15"/>
      <c r="Y23" s="252" t="str">
        <f>P23</f>
        <v/>
      </c>
      <c r="Z23" s="184" t="str">
        <f>IF(Q23=0," ",Q23)</f>
        <v xml:space="preserve"> </v>
      </c>
      <c r="AA23" s="184" t="str">
        <f>IF(R23=0," ",R23)</f>
        <v xml:space="preserve"> </v>
      </c>
      <c r="AB23" s="184" t="str">
        <f>IF(S23=0," ",S23)</f>
        <v xml:space="preserve"> </v>
      </c>
      <c r="AC23" s="184" t="str">
        <f>IF(T23=0," ",T23)</f>
        <v xml:space="preserve"> </v>
      </c>
      <c r="AD23" s="184" t="str">
        <f t="shared" ref="AD23:AF38" si="16">IF(U23=0," ",U23)</f>
        <v xml:space="preserve"> </v>
      </c>
      <c r="AE23" s="282">
        <f t="shared" si="14"/>
        <v>0</v>
      </c>
      <c r="AF23" s="184" t="str">
        <f t="shared" si="16"/>
        <v xml:space="preserve"> </v>
      </c>
    </row>
    <row r="24" spans="1:34" ht="18.95" customHeight="1">
      <c r="A24" s="242" t="s">
        <v>90</v>
      </c>
      <c r="B24" s="243">
        <v>18</v>
      </c>
      <c r="C24" s="270" t="s">
        <v>176</v>
      </c>
      <c r="D24" s="244" t="s">
        <v>177</v>
      </c>
      <c r="E24" s="244" t="s">
        <v>115</v>
      </c>
      <c r="F24" s="270" t="s">
        <v>116</v>
      </c>
      <c r="G24" s="244"/>
      <c r="H24" s="273" t="s">
        <v>178</v>
      </c>
      <c r="I24" s="45"/>
      <c r="J24" s="245">
        <v>1</v>
      </c>
      <c r="K24" s="237" t="str">
        <f t="shared" si="11"/>
        <v>кмс</v>
      </c>
      <c r="L24" s="237" t="str">
        <f t="shared" ref="L24:L38" si="17">IFERROR(LEFT(F24,FIND(",",F24)-1),F24)</f>
        <v>Тверская</v>
      </c>
      <c r="M24" s="246" t="str">
        <f t="array" ref="M24">IFERROR(INDEX(субъект,MATCH(SUM(COUNTIF(M$6:M23,субъект)),COUNTIF(субъект,"&lt;"&amp;субъект),0)),"")</f>
        <v/>
      </c>
      <c r="N24" s="246" t="str">
        <f t="array" ref="N24">IFERROR(INDEX(разряд,MATCH(SUM(COUNTIF(N$6:N23,разряд)),COUNTIF(разряд,"&lt;"&amp;разряд),0)),"")</f>
        <v/>
      </c>
      <c r="O24" s="247">
        <v>18</v>
      </c>
      <c r="P24" s="182" t="str">
        <f t="shared" si="2"/>
        <v/>
      </c>
      <c r="Q24" s="248">
        <f t="shared" si="3"/>
        <v>0</v>
      </c>
      <c r="R24" s="248">
        <f t="shared" si="4"/>
        <v>0</v>
      </c>
      <c r="S24" s="249">
        <f t="shared" si="5"/>
        <v>0</v>
      </c>
      <c r="T24" s="250">
        <f t="shared" si="6"/>
        <v>0</v>
      </c>
      <c r="U24" s="250">
        <f t="shared" si="7"/>
        <v>0</v>
      </c>
      <c r="V24" s="250">
        <f t="shared" si="8"/>
        <v>0</v>
      </c>
      <c r="W24" s="250">
        <f t="shared" si="9"/>
        <v>0</v>
      </c>
      <c r="Y24" s="184" t="str">
        <f t="shared" ref="Y24:Y38" si="18">P24</f>
        <v/>
      </c>
      <c r="Z24" s="184" t="str">
        <f t="shared" ref="Z24:AC38" si="19">IF(Q24=0," ",Q24)</f>
        <v xml:space="preserve"> </v>
      </c>
      <c r="AA24" s="184" t="str">
        <f t="shared" si="19"/>
        <v xml:space="preserve"> </v>
      </c>
      <c r="AB24" s="184" t="str">
        <f t="shared" si="19"/>
        <v xml:space="preserve"> </v>
      </c>
      <c r="AC24" s="184" t="str">
        <f t="shared" si="19"/>
        <v xml:space="preserve"> </v>
      </c>
      <c r="AD24" s="184" t="str">
        <f t="shared" si="16"/>
        <v xml:space="preserve"> </v>
      </c>
      <c r="AE24" s="282">
        <f t="shared" si="14"/>
        <v>0</v>
      </c>
      <c r="AF24" s="184" t="str">
        <f t="shared" si="16"/>
        <v xml:space="preserve"> </v>
      </c>
    </row>
    <row r="25" spans="1:34" ht="18.95" customHeight="1">
      <c r="A25" s="242" t="s">
        <v>91</v>
      </c>
      <c r="B25" s="243"/>
      <c r="C25" s="270"/>
      <c r="D25" s="244"/>
      <c r="E25" s="276"/>
      <c r="F25" s="270"/>
      <c r="G25" s="277"/>
      <c r="H25" s="273"/>
      <c r="I25" s="45"/>
      <c r="J25" s="245">
        <v>1</v>
      </c>
      <c r="K25" s="237">
        <f t="shared" si="11"/>
        <v>0</v>
      </c>
      <c r="L25" s="237">
        <f t="shared" si="17"/>
        <v>0</v>
      </c>
      <c r="M25" s="246" t="str">
        <f t="array" ref="M25">IFERROR(INDEX(субъект,MATCH(SUM(COUNTIF(M$6:M24,субъект)),COUNTIF(субъект,"&lt;"&amp;субъект),0)),"")</f>
        <v/>
      </c>
      <c r="N25" s="246" t="str">
        <f t="array" ref="N25">IFERROR(INDEX(разряд,MATCH(SUM(COUNTIF(N$6:N24,разряд)),COUNTIF(разряд,"&lt;"&amp;разряд),0)),"")</f>
        <v/>
      </c>
      <c r="O25" s="247">
        <v>19</v>
      </c>
      <c r="P25" s="182" t="str">
        <f t="shared" si="2"/>
        <v/>
      </c>
      <c r="Q25" s="248">
        <f t="shared" si="3"/>
        <v>0</v>
      </c>
      <c r="R25" s="248">
        <f t="shared" si="4"/>
        <v>0</v>
      </c>
      <c r="S25" s="249">
        <f t="shared" si="5"/>
        <v>0</v>
      </c>
      <c r="T25" s="250">
        <f t="shared" si="6"/>
        <v>0</v>
      </c>
      <c r="U25" s="250">
        <f t="shared" si="7"/>
        <v>0</v>
      </c>
      <c r="V25" s="250">
        <f t="shared" si="8"/>
        <v>0</v>
      </c>
      <c r="W25" s="250">
        <f t="shared" si="9"/>
        <v>0</v>
      </c>
      <c r="X25" s="15"/>
      <c r="Y25" s="184" t="str">
        <f t="shared" si="18"/>
        <v/>
      </c>
      <c r="Z25" s="184" t="str">
        <f t="shared" si="19"/>
        <v xml:space="preserve"> </v>
      </c>
      <c r="AA25" s="184" t="str">
        <f t="shared" si="19"/>
        <v xml:space="preserve"> </v>
      </c>
      <c r="AB25" s="184" t="str">
        <f t="shared" si="19"/>
        <v xml:space="preserve"> </v>
      </c>
      <c r="AC25" s="184" t="str">
        <f t="shared" si="19"/>
        <v xml:space="preserve"> </v>
      </c>
      <c r="AD25" s="184" t="str">
        <f t="shared" si="16"/>
        <v xml:space="preserve"> </v>
      </c>
      <c r="AE25" s="282">
        <f t="shared" si="14"/>
        <v>0</v>
      </c>
      <c r="AF25" s="184" t="str">
        <f t="shared" si="16"/>
        <v xml:space="preserve"> </v>
      </c>
    </row>
    <row r="26" spans="1:34" ht="18.95" customHeight="1">
      <c r="A26" s="242" t="s">
        <v>92</v>
      </c>
      <c r="B26" s="243"/>
      <c r="C26" s="270"/>
      <c r="D26" s="244"/>
      <c r="E26" s="244"/>
      <c r="F26" s="270"/>
      <c r="G26" s="244"/>
      <c r="H26" s="273"/>
      <c r="I26" s="45"/>
      <c r="J26" s="245">
        <v>1</v>
      </c>
      <c r="K26" s="237">
        <f t="shared" si="11"/>
        <v>0</v>
      </c>
      <c r="L26" s="237">
        <f t="shared" si="17"/>
        <v>0</v>
      </c>
      <c r="M26" s="246" t="str">
        <f t="array" ref="M26">IFERROR(INDEX(субъект,MATCH(SUM(COUNTIF(M$6:M25,субъект)),COUNTIF(субъект,"&lt;"&amp;субъект),0)),"")</f>
        <v/>
      </c>
      <c r="N26" s="246" t="str">
        <f t="array" ref="N26">IFERROR(INDEX(разряд,MATCH(SUM(COUNTIF(N$6:N25,разряд)),COUNTIF(разряд,"&lt;"&amp;разряд),0)),"")</f>
        <v/>
      </c>
      <c r="O26" s="247">
        <v>20</v>
      </c>
      <c r="P26" s="182" t="str">
        <f t="shared" si="2"/>
        <v/>
      </c>
      <c r="Q26" s="248">
        <f t="shared" si="3"/>
        <v>0</v>
      </c>
      <c r="R26" s="248">
        <f t="shared" si="4"/>
        <v>0</v>
      </c>
      <c r="S26" s="249">
        <f t="shared" si="5"/>
        <v>0</v>
      </c>
      <c r="T26" s="250">
        <f t="shared" si="6"/>
        <v>0</v>
      </c>
      <c r="U26" s="250">
        <f t="shared" si="7"/>
        <v>0</v>
      </c>
      <c r="V26" s="250">
        <f t="shared" si="8"/>
        <v>0</v>
      </c>
      <c r="W26" s="250">
        <f t="shared" si="9"/>
        <v>0</v>
      </c>
      <c r="Y26" s="184" t="str">
        <f t="shared" si="18"/>
        <v/>
      </c>
      <c r="Z26" s="184" t="str">
        <f t="shared" si="19"/>
        <v xml:space="preserve"> </v>
      </c>
      <c r="AA26" s="184" t="str">
        <f t="shared" si="19"/>
        <v xml:space="preserve"> </v>
      </c>
      <c r="AB26" s="184" t="str">
        <f t="shared" si="19"/>
        <v xml:space="preserve"> </v>
      </c>
      <c r="AC26" s="184" t="str">
        <f t="shared" si="19"/>
        <v xml:space="preserve"> </v>
      </c>
      <c r="AD26" s="184" t="str">
        <f t="shared" si="16"/>
        <v xml:space="preserve"> </v>
      </c>
      <c r="AE26" s="282">
        <f t="shared" si="14"/>
        <v>0</v>
      </c>
      <c r="AF26" s="184" t="str">
        <f t="shared" si="16"/>
        <v xml:space="preserve"> </v>
      </c>
    </row>
    <row r="27" spans="1:34" ht="18.95" customHeight="1">
      <c r="A27" s="242" t="s">
        <v>93</v>
      </c>
      <c r="B27" s="243"/>
      <c r="C27" s="271"/>
      <c r="D27" s="254"/>
      <c r="E27" s="238"/>
      <c r="F27" s="271"/>
      <c r="G27" s="253"/>
      <c r="H27" s="274"/>
      <c r="I27" s="45"/>
      <c r="J27" s="245">
        <v>1</v>
      </c>
      <c r="K27" s="237">
        <f t="shared" si="11"/>
        <v>0</v>
      </c>
      <c r="L27" s="237">
        <f t="shared" si="17"/>
        <v>0</v>
      </c>
      <c r="M27" s="246" t="str">
        <f t="array" ref="M27">IFERROR(INDEX(субъект,MATCH(SUM(COUNTIF(M$6:M26,субъект)),COUNTIF(субъект,"&lt;"&amp;субъект),0)),"")</f>
        <v/>
      </c>
      <c r="N27" s="246" t="str">
        <f t="array" ref="N27">IFERROR(INDEX(разряд,MATCH(SUM(COUNTIF(N$6:N26,разряд)),COUNTIF(разряд,"&lt;"&amp;разряд),0)),"")</f>
        <v/>
      </c>
      <c r="O27" s="247">
        <v>21</v>
      </c>
      <c r="P27" s="182" t="str">
        <f t="shared" si="2"/>
        <v/>
      </c>
      <c r="Q27" s="248">
        <f t="shared" si="3"/>
        <v>0</v>
      </c>
      <c r="R27" s="248">
        <f t="shared" si="4"/>
        <v>0</v>
      </c>
      <c r="S27" s="249">
        <f t="shared" si="5"/>
        <v>0</v>
      </c>
      <c r="T27" s="250">
        <f t="shared" si="6"/>
        <v>0</v>
      </c>
      <c r="U27" s="250">
        <f t="shared" si="7"/>
        <v>0</v>
      </c>
      <c r="V27" s="250">
        <f t="shared" si="8"/>
        <v>0</v>
      </c>
      <c r="W27" s="250">
        <f t="shared" si="9"/>
        <v>0</v>
      </c>
      <c r="X27" s="15"/>
      <c r="Y27" s="184" t="str">
        <f t="shared" si="18"/>
        <v/>
      </c>
      <c r="Z27" s="184" t="str">
        <f t="shared" si="19"/>
        <v xml:space="preserve"> </v>
      </c>
      <c r="AA27" s="184" t="str">
        <f t="shared" si="19"/>
        <v xml:space="preserve"> </v>
      </c>
      <c r="AB27" s="184" t="str">
        <f t="shared" si="19"/>
        <v xml:space="preserve"> </v>
      </c>
      <c r="AC27" s="184" t="str">
        <f t="shared" si="19"/>
        <v xml:space="preserve"> </v>
      </c>
      <c r="AD27" s="184" t="str">
        <f t="shared" si="16"/>
        <v xml:space="preserve"> </v>
      </c>
      <c r="AE27" s="282">
        <f t="shared" si="14"/>
        <v>0</v>
      </c>
      <c r="AF27" s="184" t="str">
        <f t="shared" si="16"/>
        <v xml:space="preserve"> </v>
      </c>
    </row>
    <row r="28" spans="1:34" ht="18.95" customHeight="1">
      <c r="A28" s="242" t="s">
        <v>94</v>
      </c>
      <c r="B28" s="243"/>
      <c r="C28" s="271"/>
      <c r="D28" s="254"/>
      <c r="E28" s="238"/>
      <c r="F28" s="278"/>
      <c r="G28" s="253"/>
      <c r="H28" s="274"/>
      <c r="I28" s="45"/>
      <c r="J28" s="245">
        <v>1</v>
      </c>
      <c r="K28" s="237">
        <f t="shared" si="11"/>
        <v>0</v>
      </c>
      <c r="L28" s="237">
        <f t="shared" si="17"/>
        <v>0</v>
      </c>
      <c r="M28" s="246" t="str">
        <f t="array" ref="M28">IFERROR(INDEX(субъект,MATCH(SUM(COUNTIF(M$6:M27,субъект)),COUNTIF(субъект,"&lt;"&amp;субъект),0)),"")</f>
        <v/>
      </c>
      <c r="N28" s="246" t="str">
        <f t="array" ref="N28">IFERROR(INDEX(разряд,MATCH(SUM(COUNTIF(N$6:N27,разряд)),COUNTIF(разряд,"&lt;"&amp;разряд),0)),"")</f>
        <v/>
      </c>
      <c r="O28" s="247">
        <v>22</v>
      </c>
      <c r="P28" s="182" t="str">
        <f t="shared" si="2"/>
        <v/>
      </c>
      <c r="Q28" s="248">
        <f t="shared" si="3"/>
        <v>0</v>
      </c>
      <c r="R28" s="248">
        <f t="shared" si="4"/>
        <v>0</v>
      </c>
      <c r="S28" s="249">
        <f t="shared" si="5"/>
        <v>0</v>
      </c>
      <c r="T28" s="250">
        <f t="shared" si="6"/>
        <v>0</v>
      </c>
      <c r="U28" s="250">
        <f t="shared" si="7"/>
        <v>0</v>
      </c>
      <c r="V28" s="250">
        <f t="shared" si="8"/>
        <v>0</v>
      </c>
      <c r="W28" s="250">
        <f t="shared" si="9"/>
        <v>0</v>
      </c>
      <c r="Y28" s="184" t="str">
        <f t="shared" si="18"/>
        <v/>
      </c>
      <c r="Z28" s="184" t="str">
        <f t="shared" si="19"/>
        <v xml:space="preserve"> </v>
      </c>
      <c r="AA28" s="184" t="str">
        <f t="shared" si="19"/>
        <v xml:space="preserve"> </v>
      </c>
      <c r="AB28" s="184" t="str">
        <f t="shared" si="19"/>
        <v xml:space="preserve"> </v>
      </c>
      <c r="AC28" s="184" t="str">
        <f t="shared" si="19"/>
        <v xml:space="preserve"> </v>
      </c>
      <c r="AD28" s="184" t="str">
        <f t="shared" si="16"/>
        <v xml:space="preserve"> </v>
      </c>
      <c r="AE28" s="282">
        <f t="shared" si="14"/>
        <v>0</v>
      </c>
      <c r="AF28" s="184" t="str">
        <f t="shared" si="16"/>
        <v xml:space="preserve"> </v>
      </c>
      <c r="AG28" s="235"/>
      <c r="AH28" s="15"/>
    </row>
    <row r="29" spans="1:34" ht="18.95" customHeight="1">
      <c r="A29" s="242" t="s">
        <v>95</v>
      </c>
      <c r="B29" s="243"/>
      <c r="C29" s="270"/>
      <c r="D29" s="244"/>
      <c r="E29" s="276"/>
      <c r="F29" s="271"/>
      <c r="G29" s="277"/>
      <c r="H29" s="273"/>
      <c r="I29" s="45"/>
      <c r="J29" s="245">
        <v>1</v>
      </c>
      <c r="K29" s="237">
        <f t="shared" si="11"/>
        <v>0</v>
      </c>
      <c r="L29" s="237">
        <f t="shared" si="17"/>
        <v>0</v>
      </c>
      <c r="M29" s="246" t="str">
        <f t="array" ref="M29">IFERROR(INDEX(субъект,MATCH(SUM(COUNTIF(M$6:M28,субъект)),COUNTIF(субъект,"&lt;"&amp;субъект),0)),"")</f>
        <v/>
      </c>
      <c r="N29" s="246" t="str">
        <f t="array" ref="N29">IFERROR(INDEX(разряд,MATCH(SUM(COUNTIF(N$6:N28,разряд)),COUNTIF(разряд,"&lt;"&amp;разряд),0)),"")</f>
        <v/>
      </c>
      <c r="O29" s="247">
        <v>23</v>
      </c>
      <c r="P29" s="182" t="str">
        <f t="shared" si="2"/>
        <v/>
      </c>
      <c r="Q29" s="248">
        <f t="shared" si="3"/>
        <v>0</v>
      </c>
      <c r="R29" s="248">
        <f t="shared" si="4"/>
        <v>0</v>
      </c>
      <c r="S29" s="249">
        <f t="shared" si="5"/>
        <v>0</v>
      </c>
      <c r="T29" s="250">
        <f t="shared" si="6"/>
        <v>0</v>
      </c>
      <c r="U29" s="250">
        <f t="shared" si="7"/>
        <v>0</v>
      </c>
      <c r="V29" s="250">
        <f t="shared" si="8"/>
        <v>0</v>
      </c>
      <c r="W29" s="250">
        <f t="shared" si="9"/>
        <v>0</v>
      </c>
      <c r="X29" s="15"/>
      <c r="Y29" s="184" t="str">
        <f t="shared" si="18"/>
        <v/>
      </c>
      <c r="Z29" s="184" t="str">
        <f t="shared" si="19"/>
        <v xml:space="preserve"> </v>
      </c>
      <c r="AA29" s="184" t="str">
        <f t="shared" si="19"/>
        <v xml:space="preserve"> </v>
      </c>
      <c r="AB29" s="184" t="str">
        <f t="shared" si="19"/>
        <v xml:space="preserve"> </v>
      </c>
      <c r="AC29" s="184" t="str">
        <f t="shared" si="19"/>
        <v xml:space="preserve"> </v>
      </c>
      <c r="AD29" s="184" t="str">
        <f t="shared" si="16"/>
        <v xml:space="preserve"> </v>
      </c>
      <c r="AE29" s="282">
        <f t="shared" si="14"/>
        <v>0</v>
      </c>
      <c r="AF29" s="184" t="str">
        <f t="shared" si="16"/>
        <v xml:space="preserve"> </v>
      </c>
    </row>
    <row r="30" spans="1:34" ht="18.95" customHeight="1">
      <c r="A30" s="242" t="s">
        <v>96</v>
      </c>
      <c r="B30" s="243"/>
      <c r="C30" s="270"/>
      <c r="D30" s="244"/>
      <c r="E30" s="244"/>
      <c r="F30" s="278"/>
      <c r="G30" s="244"/>
      <c r="H30" s="273"/>
      <c r="I30" s="45"/>
      <c r="J30" s="245">
        <v>1</v>
      </c>
      <c r="K30" s="237">
        <f t="shared" si="11"/>
        <v>0</v>
      </c>
      <c r="L30" s="237">
        <f t="shared" si="17"/>
        <v>0</v>
      </c>
      <c r="M30" s="246" t="str">
        <f t="array" ref="M30">IFERROR(INDEX(субъект,MATCH(SUM(COUNTIF(M$6:M29,субъект)),COUNTIF(субъект,"&lt;"&amp;субъект),0)),"")</f>
        <v/>
      </c>
      <c r="N30" s="246" t="str">
        <f t="array" ref="N30">IFERROR(INDEX(разряд,MATCH(SUM(COUNTIF(N$6:N29,разряд)),COUNTIF(разряд,"&lt;"&amp;разряд),0)),"")</f>
        <v/>
      </c>
      <c r="O30" s="247">
        <v>24</v>
      </c>
      <c r="P30" s="182" t="str">
        <f t="shared" si="2"/>
        <v/>
      </c>
      <c r="Q30" s="248">
        <f t="shared" si="3"/>
        <v>0</v>
      </c>
      <c r="R30" s="248">
        <f t="shared" si="4"/>
        <v>0</v>
      </c>
      <c r="S30" s="249">
        <f t="shared" si="5"/>
        <v>0</v>
      </c>
      <c r="T30" s="250">
        <f t="shared" si="6"/>
        <v>0</v>
      </c>
      <c r="U30" s="250">
        <f t="shared" si="7"/>
        <v>0</v>
      </c>
      <c r="V30" s="250">
        <f t="shared" si="8"/>
        <v>0</v>
      </c>
      <c r="W30" s="250">
        <f t="shared" si="9"/>
        <v>0</v>
      </c>
      <c r="Y30" s="184" t="str">
        <f t="shared" si="18"/>
        <v/>
      </c>
      <c r="Z30" s="184" t="str">
        <f t="shared" si="19"/>
        <v xml:space="preserve"> </v>
      </c>
      <c r="AA30" s="184" t="str">
        <f t="shared" si="19"/>
        <v xml:space="preserve"> </v>
      </c>
      <c r="AB30" s="184" t="str">
        <f t="shared" si="19"/>
        <v xml:space="preserve"> </v>
      </c>
      <c r="AC30" s="184" t="str">
        <f t="shared" si="19"/>
        <v xml:space="preserve"> </v>
      </c>
      <c r="AD30" s="184" t="str">
        <f t="shared" si="16"/>
        <v xml:space="preserve"> </v>
      </c>
      <c r="AE30" s="282">
        <f t="shared" si="14"/>
        <v>0</v>
      </c>
      <c r="AF30" s="184" t="str">
        <f t="shared" si="16"/>
        <v xml:space="preserve"> </v>
      </c>
    </row>
    <row r="31" spans="1:34" ht="18.95" customHeight="1">
      <c r="A31" s="242" t="s">
        <v>97</v>
      </c>
      <c r="B31" s="243"/>
      <c r="C31" s="270"/>
      <c r="D31" s="244"/>
      <c r="E31" s="276"/>
      <c r="F31" s="278"/>
      <c r="G31" s="277"/>
      <c r="H31" s="273"/>
      <c r="I31" s="45"/>
      <c r="J31" s="245">
        <v>1</v>
      </c>
      <c r="K31" s="237">
        <f t="shared" si="11"/>
        <v>0</v>
      </c>
      <c r="L31" s="237">
        <f t="shared" si="17"/>
        <v>0</v>
      </c>
      <c r="M31" s="246" t="str">
        <f t="array" ref="M31">IFERROR(INDEX(субъект,MATCH(SUM(COUNTIF(M$6:M30,субъект)),COUNTIF(субъект,"&lt;"&amp;субъект),0)),"")</f>
        <v/>
      </c>
      <c r="N31" s="246" t="str">
        <f t="array" ref="N31">IFERROR(INDEX(разряд,MATCH(SUM(COUNTIF(N$6:N30,разряд)),COUNTIF(разряд,"&lt;"&amp;разряд),0)),"")</f>
        <v/>
      </c>
      <c r="O31" s="247">
        <v>25</v>
      </c>
      <c r="P31" s="182" t="str">
        <f t="shared" si="2"/>
        <v/>
      </c>
      <c r="Q31" s="248">
        <f t="shared" si="3"/>
        <v>0</v>
      </c>
      <c r="R31" s="248">
        <f t="shared" si="4"/>
        <v>0</v>
      </c>
      <c r="S31" s="249">
        <f t="shared" si="5"/>
        <v>0</v>
      </c>
      <c r="T31" s="250">
        <f t="shared" si="6"/>
        <v>0</v>
      </c>
      <c r="U31" s="250">
        <f t="shared" si="7"/>
        <v>0</v>
      </c>
      <c r="V31" s="250">
        <f t="shared" si="8"/>
        <v>0</v>
      </c>
      <c r="W31" s="250">
        <f t="shared" si="9"/>
        <v>0</v>
      </c>
      <c r="X31" s="15"/>
      <c r="Y31" s="184" t="str">
        <f t="shared" si="18"/>
        <v/>
      </c>
      <c r="Z31" s="184" t="str">
        <f t="shared" si="19"/>
        <v xml:space="preserve"> </v>
      </c>
      <c r="AA31" s="184" t="str">
        <f t="shared" si="19"/>
        <v xml:space="preserve"> </v>
      </c>
      <c r="AB31" s="184" t="str">
        <f t="shared" si="19"/>
        <v xml:space="preserve"> </v>
      </c>
      <c r="AC31" s="186" t="str">
        <f t="shared" si="19"/>
        <v xml:space="preserve"> </v>
      </c>
      <c r="AD31" s="184" t="str">
        <f t="shared" si="16"/>
        <v xml:space="preserve"> </v>
      </c>
      <c r="AE31" s="282">
        <f t="shared" si="14"/>
        <v>0</v>
      </c>
      <c r="AF31" s="184" t="str">
        <f t="shared" si="16"/>
        <v xml:space="preserve"> </v>
      </c>
    </row>
    <row r="32" spans="1:34" ht="18.95" customHeight="1">
      <c r="A32" s="242" t="s">
        <v>98</v>
      </c>
      <c r="B32" s="243"/>
      <c r="C32" s="270"/>
      <c r="D32" s="244"/>
      <c r="E32" s="244"/>
      <c r="F32" s="278"/>
      <c r="G32" s="244"/>
      <c r="H32" s="273"/>
      <c r="I32" s="45"/>
      <c r="J32" s="245">
        <v>1</v>
      </c>
      <c r="K32" s="237">
        <f t="shared" si="11"/>
        <v>0</v>
      </c>
      <c r="L32" s="237">
        <f t="shared" si="17"/>
        <v>0</v>
      </c>
      <c r="M32" s="246" t="str">
        <f t="array" ref="M32">IFERROR(INDEX(субъект,MATCH(SUM(COUNTIF(M$6:M31,субъект)),COUNTIF(субъект,"&lt;"&amp;субъект),0)),"")</f>
        <v/>
      </c>
      <c r="N32" s="246" t="str">
        <f t="array" ref="N32">IFERROR(INDEX(разряд,MATCH(SUM(COUNTIF(N$6:N31,разряд)),COUNTIF(разряд,"&lt;"&amp;разряд),0)),"")</f>
        <v/>
      </c>
      <c r="O32" s="247">
        <v>26</v>
      </c>
      <c r="P32" s="182" t="str">
        <f t="shared" si="2"/>
        <v/>
      </c>
      <c r="Q32" s="248">
        <f t="shared" si="3"/>
        <v>0</v>
      </c>
      <c r="R32" s="248">
        <f t="shared" si="4"/>
        <v>0</v>
      </c>
      <c r="S32" s="249">
        <f t="shared" si="5"/>
        <v>0</v>
      </c>
      <c r="T32" s="250">
        <f t="shared" si="6"/>
        <v>0</v>
      </c>
      <c r="U32" s="250">
        <f t="shared" si="7"/>
        <v>0</v>
      </c>
      <c r="V32" s="250">
        <f t="shared" si="8"/>
        <v>0</v>
      </c>
      <c r="W32" s="250">
        <f t="shared" si="9"/>
        <v>0</v>
      </c>
      <c r="Y32" s="184" t="str">
        <f t="shared" si="18"/>
        <v/>
      </c>
      <c r="Z32" s="184" t="str">
        <f t="shared" si="19"/>
        <v xml:space="preserve"> </v>
      </c>
      <c r="AA32" s="184" t="str">
        <f t="shared" si="19"/>
        <v xml:space="preserve"> </v>
      </c>
      <c r="AB32" s="184" t="str">
        <f t="shared" si="19"/>
        <v xml:space="preserve"> </v>
      </c>
      <c r="AC32" s="184" t="str">
        <f t="shared" si="19"/>
        <v xml:space="preserve"> </v>
      </c>
      <c r="AD32" s="184" t="str">
        <f t="shared" si="16"/>
        <v xml:space="preserve"> </v>
      </c>
      <c r="AE32" s="282">
        <f t="shared" si="14"/>
        <v>0</v>
      </c>
      <c r="AF32" s="184" t="str">
        <f t="shared" si="16"/>
        <v xml:space="preserve"> </v>
      </c>
    </row>
    <row r="33" spans="1:32" ht="18.95" customHeight="1">
      <c r="A33" s="242" t="s">
        <v>99</v>
      </c>
      <c r="B33" s="243"/>
      <c r="C33" s="272"/>
      <c r="D33" s="237"/>
      <c r="E33" s="255"/>
      <c r="F33" s="278"/>
      <c r="G33" s="256"/>
      <c r="H33" s="275"/>
      <c r="I33" s="45"/>
      <c r="J33" s="245">
        <v>1</v>
      </c>
      <c r="K33" s="237">
        <f t="shared" si="11"/>
        <v>0</v>
      </c>
      <c r="L33" s="237">
        <f t="shared" si="17"/>
        <v>0</v>
      </c>
      <c r="M33" s="246" t="str">
        <f t="array" ref="M33">IFERROR(INDEX(субъект,MATCH(SUM(COUNTIF(M$6:M32,субъект)),COUNTIF(субъект,"&lt;"&amp;субъект),0)),"")</f>
        <v/>
      </c>
      <c r="N33" s="246" t="str">
        <f t="array" ref="N33">IFERROR(INDEX(разряд,MATCH(SUM(COUNTIF(N$6:N32,разряд)),COUNTIF(разряд,"&lt;"&amp;разряд),0)),"")</f>
        <v/>
      </c>
      <c r="O33" s="247">
        <v>27</v>
      </c>
      <c r="P33" s="182" t="str">
        <f t="shared" si="2"/>
        <v/>
      </c>
      <c r="Q33" s="248">
        <f t="shared" si="3"/>
        <v>0</v>
      </c>
      <c r="R33" s="248">
        <f t="shared" si="4"/>
        <v>0</v>
      </c>
      <c r="S33" s="249">
        <f t="shared" si="5"/>
        <v>0</v>
      </c>
      <c r="T33" s="250">
        <f t="shared" si="6"/>
        <v>0</v>
      </c>
      <c r="U33" s="250">
        <f t="shared" si="7"/>
        <v>0</v>
      </c>
      <c r="V33" s="250">
        <f t="shared" si="8"/>
        <v>0</v>
      </c>
      <c r="W33" s="250">
        <f t="shared" si="9"/>
        <v>0</v>
      </c>
      <c r="X33" s="15"/>
      <c r="Y33" s="184" t="str">
        <f t="shared" si="18"/>
        <v/>
      </c>
      <c r="Z33" s="184" t="str">
        <f t="shared" si="19"/>
        <v xml:space="preserve"> </v>
      </c>
      <c r="AA33" s="184" t="str">
        <f t="shared" si="19"/>
        <v xml:space="preserve"> </v>
      </c>
      <c r="AB33" s="184" t="str">
        <f t="shared" si="19"/>
        <v xml:space="preserve"> </v>
      </c>
      <c r="AC33" s="184" t="str">
        <f t="shared" si="19"/>
        <v xml:space="preserve"> </v>
      </c>
      <c r="AD33" s="184" t="str">
        <f t="shared" si="16"/>
        <v xml:space="preserve"> </v>
      </c>
      <c r="AE33" s="282">
        <f t="shared" si="14"/>
        <v>0</v>
      </c>
      <c r="AF33" s="184" t="str">
        <f t="shared" si="16"/>
        <v xml:space="preserve"> </v>
      </c>
    </row>
    <row r="34" spans="1:32" ht="18.95" customHeight="1">
      <c r="A34" s="242" t="s">
        <v>100</v>
      </c>
      <c r="B34" s="243"/>
      <c r="C34" s="272"/>
      <c r="D34" s="237"/>
      <c r="E34" s="255"/>
      <c r="F34" s="278"/>
      <c r="G34" s="256"/>
      <c r="H34" s="275"/>
      <c r="I34" s="45"/>
      <c r="J34" s="245">
        <v>1</v>
      </c>
      <c r="K34" s="237">
        <f t="shared" si="11"/>
        <v>0</v>
      </c>
      <c r="L34" s="237">
        <f t="shared" si="17"/>
        <v>0</v>
      </c>
      <c r="M34" s="246" t="str">
        <f t="array" ref="M34">IFERROR(INDEX(субъект,MATCH(SUM(COUNTIF(M$6:M33,субъект)),COUNTIF(субъект,"&lt;"&amp;субъект),0)),"")</f>
        <v/>
      </c>
      <c r="N34" s="246" t="str">
        <f t="array" ref="N34">IFERROR(INDEX(разряд,MATCH(SUM(COUNTIF(N$6:N33,разряд)),COUNTIF(разряд,"&lt;"&amp;разряд),0)),"")</f>
        <v/>
      </c>
      <c r="O34" s="247">
        <v>28</v>
      </c>
      <c r="P34" s="182" t="str">
        <f t="shared" si="2"/>
        <v/>
      </c>
      <c r="Q34" s="248">
        <f t="shared" si="3"/>
        <v>0</v>
      </c>
      <c r="R34" s="248">
        <f t="shared" si="4"/>
        <v>0</v>
      </c>
      <c r="S34" s="249">
        <f t="shared" si="5"/>
        <v>0</v>
      </c>
      <c r="T34" s="250">
        <f t="shared" si="6"/>
        <v>0</v>
      </c>
      <c r="U34" s="250">
        <f t="shared" si="7"/>
        <v>0</v>
      </c>
      <c r="V34" s="250">
        <f t="shared" si="8"/>
        <v>0</v>
      </c>
      <c r="W34" s="250">
        <f t="shared" si="9"/>
        <v>0</v>
      </c>
      <c r="Y34" s="184" t="str">
        <f t="shared" si="18"/>
        <v/>
      </c>
      <c r="Z34" s="184" t="str">
        <f t="shared" si="19"/>
        <v xml:space="preserve"> </v>
      </c>
      <c r="AA34" s="184" t="str">
        <f t="shared" si="19"/>
        <v xml:space="preserve"> </v>
      </c>
      <c r="AB34" s="184" t="str">
        <f t="shared" si="19"/>
        <v xml:space="preserve"> </v>
      </c>
      <c r="AC34" s="184" t="str">
        <f t="shared" si="19"/>
        <v xml:space="preserve"> </v>
      </c>
      <c r="AD34" s="184" t="str">
        <f t="shared" si="16"/>
        <v xml:space="preserve"> </v>
      </c>
      <c r="AE34" s="282">
        <f t="shared" si="14"/>
        <v>0</v>
      </c>
      <c r="AF34" s="184" t="str">
        <f t="shared" si="16"/>
        <v xml:space="preserve"> </v>
      </c>
    </row>
    <row r="35" spans="1:32" ht="18.95" customHeight="1">
      <c r="A35" s="242" t="s">
        <v>101</v>
      </c>
      <c r="B35" s="243"/>
      <c r="C35" s="272"/>
      <c r="D35" s="237"/>
      <c r="E35" s="255"/>
      <c r="F35" s="278"/>
      <c r="G35" s="256"/>
      <c r="H35" s="275"/>
      <c r="I35" s="45"/>
      <c r="J35" s="245">
        <v>1</v>
      </c>
      <c r="K35" s="237">
        <f t="shared" si="11"/>
        <v>0</v>
      </c>
      <c r="L35" s="237">
        <f t="shared" si="17"/>
        <v>0</v>
      </c>
      <c r="M35" s="246" t="str">
        <f t="array" ref="M35">IFERROR(INDEX(субъект,MATCH(SUM(COUNTIF(M$6:M34,субъект)),COUNTIF(субъект,"&lt;"&amp;субъект),0)),"")</f>
        <v/>
      </c>
      <c r="N35" s="246" t="str">
        <f t="array" ref="N35">IFERROR(INDEX(разряд,MATCH(SUM(COUNTIF(N$6:N34,разряд)),COUNTIF(разряд,"&lt;"&amp;разряд),0)),"")</f>
        <v/>
      </c>
      <c r="O35" s="247">
        <v>29</v>
      </c>
      <c r="P35" s="182" t="str">
        <f t="shared" si="2"/>
        <v/>
      </c>
      <c r="Q35" s="248">
        <f t="shared" si="3"/>
        <v>0</v>
      </c>
      <c r="R35" s="248">
        <f t="shared" si="4"/>
        <v>0</v>
      </c>
      <c r="S35" s="249">
        <f t="shared" si="5"/>
        <v>0</v>
      </c>
      <c r="T35" s="250">
        <f t="shared" si="6"/>
        <v>0</v>
      </c>
      <c r="U35" s="250">
        <f t="shared" si="7"/>
        <v>0</v>
      </c>
      <c r="V35" s="250">
        <f t="shared" si="8"/>
        <v>0</v>
      </c>
      <c r="W35" s="250">
        <f t="shared" si="9"/>
        <v>0</v>
      </c>
      <c r="X35" s="15"/>
      <c r="Y35" s="184" t="str">
        <f t="shared" si="18"/>
        <v/>
      </c>
      <c r="Z35" s="184" t="str">
        <f t="shared" si="19"/>
        <v xml:space="preserve"> </v>
      </c>
      <c r="AA35" s="184" t="str">
        <f t="shared" si="19"/>
        <v xml:space="preserve"> </v>
      </c>
      <c r="AB35" s="184" t="str">
        <f t="shared" si="19"/>
        <v xml:space="preserve"> </v>
      </c>
      <c r="AC35" s="184" t="str">
        <f t="shared" si="19"/>
        <v xml:space="preserve"> </v>
      </c>
      <c r="AD35" s="184" t="str">
        <f t="shared" si="16"/>
        <v xml:space="preserve"> </v>
      </c>
      <c r="AE35" s="282">
        <f t="shared" si="14"/>
        <v>0</v>
      </c>
      <c r="AF35" s="184" t="str">
        <f t="shared" si="16"/>
        <v xml:space="preserve"> </v>
      </c>
    </row>
    <row r="36" spans="1:32" ht="18.95" customHeight="1">
      <c r="A36" s="242" t="s">
        <v>102</v>
      </c>
      <c r="B36" s="243"/>
      <c r="C36" s="272"/>
      <c r="D36" s="237"/>
      <c r="E36" s="255"/>
      <c r="F36" s="278"/>
      <c r="G36" s="256"/>
      <c r="H36" s="275"/>
      <c r="I36" s="45"/>
      <c r="J36" s="245">
        <v>1</v>
      </c>
      <c r="K36" s="237">
        <f t="shared" si="11"/>
        <v>0</v>
      </c>
      <c r="L36" s="237">
        <f t="shared" si="17"/>
        <v>0</v>
      </c>
      <c r="M36" s="246" t="str">
        <f t="array" ref="M36">IFERROR(INDEX(субъект,MATCH(SUM(COUNTIF(M$6:M35,субъект)),COUNTIF(субъект,"&lt;"&amp;субъект),0)),"")</f>
        <v/>
      </c>
      <c r="N36" s="246" t="str">
        <f t="array" ref="N36">IFERROR(INDEX(разряд,MATCH(SUM(COUNTIF(N$6:N35,разряд)),COUNTIF(разряд,"&lt;"&amp;разряд),0)),"")</f>
        <v/>
      </c>
      <c r="O36" s="247">
        <v>30</v>
      </c>
      <c r="P36" s="182" t="str">
        <f t="shared" si="2"/>
        <v/>
      </c>
      <c r="Q36" s="248">
        <f t="shared" si="3"/>
        <v>0</v>
      </c>
      <c r="R36" s="248">
        <f t="shared" si="4"/>
        <v>0</v>
      </c>
      <c r="S36" s="249">
        <f t="shared" si="5"/>
        <v>0</v>
      </c>
      <c r="T36" s="250">
        <f t="shared" si="6"/>
        <v>0</v>
      </c>
      <c r="U36" s="250">
        <f t="shared" si="7"/>
        <v>0</v>
      </c>
      <c r="V36" s="250">
        <f t="shared" si="8"/>
        <v>0</v>
      </c>
      <c r="W36" s="250">
        <f t="shared" si="9"/>
        <v>0</v>
      </c>
      <c r="Y36" s="184" t="str">
        <f t="shared" si="18"/>
        <v/>
      </c>
      <c r="Z36" s="184" t="str">
        <f t="shared" si="19"/>
        <v xml:space="preserve"> </v>
      </c>
      <c r="AA36" s="184" t="str">
        <f t="shared" si="19"/>
        <v xml:space="preserve"> </v>
      </c>
      <c r="AB36" s="184" t="str">
        <f t="shared" si="19"/>
        <v xml:space="preserve"> </v>
      </c>
      <c r="AC36" s="184" t="str">
        <f t="shared" si="19"/>
        <v xml:space="preserve"> </v>
      </c>
      <c r="AD36" s="184" t="str">
        <f t="shared" si="16"/>
        <v xml:space="preserve"> </v>
      </c>
      <c r="AE36" s="282">
        <f t="shared" si="14"/>
        <v>0</v>
      </c>
      <c r="AF36" s="184" t="str">
        <f t="shared" si="16"/>
        <v xml:space="preserve"> </v>
      </c>
    </row>
    <row r="37" spans="1:32" ht="18.95" customHeight="1">
      <c r="A37" s="242" t="s">
        <v>103</v>
      </c>
      <c r="B37" s="243"/>
      <c r="C37" s="272"/>
      <c r="D37" s="237"/>
      <c r="E37" s="255"/>
      <c r="F37" s="272"/>
      <c r="G37" s="256"/>
      <c r="H37" s="275"/>
      <c r="I37" s="45"/>
      <c r="J37" s="245">
        <v>1</v>
      </c>
      <c r="K37" s="237">
        <f t="shared" si="11"/>
        <v>0</v>
      </c>
      <c r="L37" s="237">
        <f t="shared" si="17"/>
        <v>0</v>
      </c>
      <c r="M37" s="246" t="str">
        <f t="array" ref="M37">IFERROR(INDEX(субъект,MATCH(SUM(COUNTIF(M$6:M36,субъект)),COUNTIF(субъект,"&lt;"&amp;субъект),0)),"")</f>
        <v/>
      </c>
      <c r="N37" s="246" t="str">
        <f t="array" ref="N37">IFERROR(INDEX(разряд,MATCH(SUM(COUNTIF(N$6:N36,разряд)),COUNTIF(разряд,"&lt;"&amp;разряд),0)),"")</f>
        <v/>
      </c>
      <c r="O37" s="247">
        <v>31</v>
      </c>
      <c r="P37" s="182" t="str">
        <f t="shared" si="2"/>
        <v/>
      </c>
      <c r="Q37" s="248">
        <f t="shared" si="3"/>
        <v>0</v>
      </c>
      <c r="R37" s="248">
        <f t="shared" si="4"/>
        <v>0</v>
      </c>
      <c r="S37" s="249">
        <f t="shared" si="5"/>
        <v>0</v>
      </c>
      <c r="T37" s="250">
        <f t="shared" si="6"/>
        <v>0</v>
      </c>
      <c r="U37" s="250">
        <f t="shared" si="7"/>
        <v>0</v>
      </c>
      <c r="V37" s="250">
        <f t="shared" si="8"/>
        <v>0</v>
      </c>
      <c r="W37" s="250">
        <f t="shared" si="9"/>
        <v>0</v>
      </c>
      <c r="X37" s="15"/>
      <c r="Y37" s="184" t="str">
        <f t="shared" si="18"/>
        <v/>
      </c>
      <c r="Z37" s="184" t="str">
        <f t="shared" si="19"/>
        <v xml:space="preserve"> </v>
      </c>
      <c r="AA37" s="184" t="str">
        <f t="shared" si="19"/>
        <v xml:space="preserve"> </v>
      </c>
      <c r="AB37" s="184" t="str">
        <f t="shared" si="19"/>
        <v xml:space="preserve"> </v>
      </c>
      <c r="AC37" s="184" t="str">
        <f t="shared" si="19"/>
        <v xml:space="preserve"> </v>
      </c>
      <c r="AD37" s="184" t="str">
        <f t="shared" si="16"/>
        <v xml:space="preserve"> </v>
      </c>
      <c r="AE37" s="282">
        <f t="shared" si="14"/>
        <v>0</v>
      </c>
      <c r="AF37" s="184" t="str">
        <f t="shared" si="16"/>
        <v xml:space="preserve"> </v>
      </c>
    </row>
    <row r="38" spans="1:32" ht="18.95" customHeight="1">
      <c r="A38" s="242" t="s">
        <v>104</v>
      </c>
      <c r="B38" s="243"/>
      <c r="C38" s="272"/>
      <c r="D38" s="237"/>
      <c r="E38" s="255"/>
      <c r="F38" s="272"/>
      <c r="G38" s="256"/>
      <c r="H38" s="275"/>
      <c r="I38" s="45"/>
      <c r="J38" s="245">
        <v>1</v>
      </c>
      <c r="K38" s="237">
        <f t="shared" si="11"/>
        <v>0</v>
      </c>
      <c r="L38" s="237">
        <f t="shared" si="17"/>
        <v>0</v>
      </c>
      <c r="M38" s="246" t="str">
        <f t="array" ref="M38">IFERROR(INDEX(субъект,MATCH(SUM(COUNTIF(M$6:M37,субъект)),COUNTIF(субъект,"&lt;"&amp;субъект),0)),"")</f>
        <v/>
      </c>
      <c r="N38" s="246" t="str">
        <f t="array" ref="N38">IFERROR(INDEX(разряд,MATCH(SUM(COUNTIF(N$6:N37,разряд)),COUNTIF(разряд,"&lt;"&amp;разряд),0)),"")</f>
        <v/>
      </c>
      <c r="O38" s="247">
        <v>32</v>
      </c>
      <c r="P38" s="182" t="str">
        <f t="shared" si="2"/>
        <v/>
      </c>
      <c r="Q38" s="248">
        <f t="shared" si="3"/>
        <v>0</v>
      </c>
      <c r="R38" s="248">
        <f t="shared" si="4"/>
        <v>0</v>
      </c>
      <c r="S38" s="249">
        <f t="shared" si="5"/>
        <v>0</v>
      </c>
      <c r="T38" s="250">
        <f t="shared" si="6"/>
        <v>0</v>
      </c>
      <c r="U38" s="250">
        <f t="shared" si="7"/>
        <v>0</v>
      </c>
      <c r="V38" s="250">
        <f t="shared" si="8"/>
        <v>0</v>
      </c>
      <c r="W38" s="250">
        <f t="shared" si="9"/>
        <v>0</v>
      </c>
      <c r="Y38" s="184" t="str">
        <f t="shared" si="18"/>
        <v/>
      </c>
      <c r="Z38" s="184" t="str">
        <f t="shared" si="19"/>
        <v xml:space="preserve"> </v>
      </c>
      <c r="AA38" s="184" t="str">
        <f t="shared" si="19"/>
        <v xml:space="preserve"> </v>
      </c>
      <c r="AB38" s="184" t="str">
        <f t="shared" si="19"/>
        <v xml:space="preserve"> </v>
      </c>
      <c r="AC38" s="184" t="str">
        <f t="shared" si="19"/>
        <v xml:space="preserve"> </v>
      </c>
      <c r="AD38" s="184" t="str">
        <f t="shared" si="16"/>
        <v xml:space="preserve"> </v>
      </c>
      <c r="AE38" s="282">
        <f t="shared" si="14"/>
        <v>0</v>
      </c>
      <c r="AF38" s="184" t="str">
        <f t="shared" si="16"/>
        <v xml:space="preserve"> </v>
      </c>
    </row>
    <row r="39" spans="1:32">
      <c r="A39" s="257" t="s">
        <v>48</v>
      </c>
      <c r="D39" s="258"/>
      <c r="E39" s="258"/>
      <c r="F39" s="258"/>
      <c r="G39" s="258"/>
      <c r="H39" s="258"/>
      <c r="I39" s="15"/>
      <c r="J39" s="323"/>
      <c r="K39" s="324"/>
      <c r="L39" s="325"/>
      <c r="M39" s="232"/>
      <c r="N39" s="232"/>
      <c r="O39" s="15"/>
    </row>
    <row r="40" spans="1:32">
      <c r="D40" s="258"/>
      <c r="E40" s="258"/>
      <c r="F40" s="258"/>
      <c r="G40" s="258"/>
      <c r="H40" s="258"/>
      <c r="J40" s="323"/>
      <c r="K40" s="324"/>
      <c r="L40" s="325"/>
      <c r="M40" s="232"/>
      <c r="N40" s="232"/>
      <c r="O40" s="15"/>
    </row>
    <row r="41" spans="1:32">
      <c r="A41" s="257" t="s">
        <v>49</v>
      </c>
      <c r="D41" s="258"/>
      <c r="E41" s="258"/>
      <c r="F41" s="258"/>
      <c r="G41" s="258"/>
      <c r="H41" s="258"/>
      <c r="J41" s="323"/>
      <c r="K41" s="324"/>
      <c r="L41" s="325"/>
      <c r="M41" s="232"/>
      <c r="N41" s="232"/>
      <c r="O41" s="15"/>
    </row>
    <row r="42" spans="1:32">
      <c r="D42" s="258"/>
      <c r="E42" s="258"/>
      <c r="F42" s="258"/>
      <c r="G42" s="258"/>
      <c r="H42" s="258"/>
      <c r="J42" s="323"/>
      <c r="K42" s="324"/>
      <c r="L42" s="325"/>
      <c r="M42" s="232"/>
      <c r="N42" s="232"/>
      <c r="O42" s="15"/>
    </row>
    <row r="43" spans="1:32">
      <c r="A43" s="257" t="s">
        <v>50</v>
      </c>
      <c r="D43" s="258"/>
      <c r="E43" s="258"/>
      <c r="F43" s="258"/>
      <c r="G43" s="258"/>
      <c r="H43" s="258"/>
      <c r="J43" s="323"/>
      <c r="K43" s="324"/>
      <c r="L43" s="325"/>
      <c r="M43" s="232"/>
      <c r="N43" s="232"/>
      <c r="O43" s="15"/>
    </row>
    <row r="44" spans="1:32">
      <c r="D44" s="258"/>
      <c r="E44" s="258"/>
      <c r="F44" s="258"/>
      <c r="G44" s="258"/>
      <c r="H44" s="258"/>
      <c r="J44" s="323"/>
      <c r="K44" s="324"/>
      <c r="L44" s="325"/>
      <c r="M44" s="232"/>
      <c r="N44" s="232"/>
      <c r="O44" s="15"/>
    </row>
    <row r="45" spans="1:32">
      <c r="A45" s="257" t="s">
        <v>51</v>
      </c>
      <c r="D45" s="258"/>
      <c r="E45" s="258"/>
      <c r="F45" s="258"/>
      <c r="G45" s="258"/>
      <c r="H45" s="258"/>
      <c r="J45" s="323"/>
      <c r="K45" s="324"/>
      <c r="L45" s="325"/>
      <c r="M45" s="232"/>
      <c r="N45" s="232"/>
      <c r="O45" s="15"/>
    </row>
    <row r="46" spans="1:32">
      <c r="A46" s="258"/>
      <c r="B46" s="258"/>
      <c r="C46" s="258"/>
      <c r="D46" s="258"/>
      <c r="E46" s="258"/>
      <c r="F46" s="258"/>
      <c r="G46" s="258"/>
      <c r="H46" s="258"/>
      <c r="J46" s="323"/>
      <c r="K46" s="324"/>
      <c r="L46" s="325"/>
      <c r="M46" s="232"/>
      <c r="N46" s="232"/>
      <c r="O46" s="15"/>
    </row>
    <row r="86" spans="17:17">
      <c r="Q86" s="15"/>
    </row>
  </sheetData>
  <sortState ref="B7:H38">
    <sortCondition ref="B7:B38"/>
  </sortState>
  <mergeCells count="25">
    <mergeCell ref="Y4:AE4"/>
    <mergeCell ref="Q5:S5"/>
    <mergeCell ref="G5:G6"/>
    <mergeCell ref="H5:H6"/>
    <mergeCell ref="J41:J42"/>
    <mergeCell ref="K41:K42"/>
    <mergeCell ref="L41:L42"/>
    <mergeCell ref="AH7:AI8"/>
    <mergeCell ref="J39:J40"/>
    <mergeCell ref="K39:K40"/>
    <mergeCell ref="L39:L40"/>
    <mergeCell ref="J45:J46"/>
    <mergeCell ref="K45:K46"/>
    <mergeCell ref="L45:L46"/>
    <mergeCell ref="J43:J44"/>
    <mergeCell ref="K43:K44"/>
    <mergeCell ref="L43:L44"/>
    <mergeCell ref="A1:H1"/>
    <mergeCell ref="A3:H3"/>
    <mergeCell ref="A5:A6"/>
    <mergeCell ref="B5:B6"/>
    <mergeCell ref="C5:C6"/>
    <mergeCell ref="D5:D6"/>
    <mergeCell ref="E5:F6"/>
    <mergeCell ref="A2:H2"/>
  </mergeCells>
  <phoneticPr fontId="0" type="noConversion"/>
  <printOptions horizontalCentered="1"/>
  <pageMargins left="0" right="0" top="0.19685039370078741" bottom="0.39370078740157483" header="0.51181102362204722" footer="0.51181102362204722"/>
  <pageSetup paperSize="9" orientation="portrait" r:id="rId1"/>
  <headerFooter alignWithMargins="0"/>
  <ignoredErrors>
    <ignoredError sqref="Z5:AD5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5F">
                <anchor moveWithCells="1">
                  <from>
                    <xdr:col>5</xdr:col>
                    <xdr:colOff>1619250</xdr:colOff>
                    <xdr:row>3</xdr:row>
                    <xdr:rowOff>9525</xdr:rowOff>
                  </from>
                  <to>
                    <xdr:col>5</xdr:col>
                    <xdr:colOff>1743075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7B">
                <anchor moveWithCells="1">
                  <from>
                    <xdr:col>0</xdr:col>
                    <xdr:colOff>219075</xdr:colOff>
                    <xdr:row>0</xdr:row>
                    <xdr:rowOff>152400</xdr:rowOff>
                  </from>
                  <to>
                    <xdr:col>1</xdr:col>
                    <xdr:colOff>28575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Макрос8В">
                <anchor moveWithCells="1">
                  <from>
                    <xdr:col>1</xdr:col>
                    <xdr:colOff>152400</xdr:colOff>
                    <xdr:row>3</xdr:row>
                    <xdr:rowOff>19050</xdr:rowOff>
                  </from>
                  <to>
                    <xdr:col>2</xdr:col>
                    <xdr:colOff>9525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  <pageSetUpPr fitToPage="1"/>
  </sheetPr>
  <dimension ref="A1:AQ83"/>
  <sheetViews>
    <sheetView topLeftCell="A2" zoomScaleNormal="100" workbookViewId="0">
      <selection sqref="A1:X43"/>
    </sheetView>
  </sheetViews>
  <sheetFormatPr defaultRowHeight="12.75"/>
  <cols>
    <col min="1" max="1" width="4.42578125" customWidth="1"/>
    <col min="2" max="2" width="14.140625" customWidth="1"/>
    <col min="3" max="3" width="8" customWidth="1"/>
    <col min="4" max="4" width="16" customWidth="1"/>
    <col min="5" max="20" width="4.140625" customWidth="1"/>
    <col min="21" max="21" width="14.140625" customWidth="1"/>
    <col min="22" max="22" width="7.7109375" customWidth="1"/>
    <col min="23" max="23" width="15.140625" customWidth="1"/>
    <col min="24" max="24" width="5.140625" customWidth="1"/>
    <col min="26" max="26" width="9.140625" customWidth="1"/>
    <col min="27" max="27" width="3" customWidth="1"/>
    <col min="28" max="28" width="4" customWidth="1"/>
    <col min="29" max="29" width="3.42578125" customWidth="1"/>
    <col min="30" max="30" width="3.7109375" customWidth="1"/>
    <col min="31" max="31" width="9.140625" customWidth="1"/>
    <col min="32" max="32" width="8.7109375" customWidth="1"/>
  </cols>
  <sheetData>
    <row r="1" spans="1:34" ht="18">
      <c r="A1" s="367" t="s">
        <v>23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367"/>
      <c r="Q1" s="367"/>
      <c r="R1" s="367"/>
      <c r="S1" s="367"/>
      <c r="T1" s="367"/>
      <c r="U1" s="367"/>
      <c r="V1" s="367"/>
      <c r="W1" s="367"/>
      <c r="X1" s="367"/>
      <c r="Y1" s="96"/>
      <c r="Z1" s="97"/>
    </row>
    <row r="2" spans="1:34" ht="13.5" customHeight="1" thickBot="1">
      <c r="A2" s="372" t="s">
        <v>24</v>
      </c>
      <c r="B2" s="372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96"/>
      <c r="Z2" s="97"/>
    </row>
    <row r="3" spans="1:34" ht="41.25" customHeight="1" thickBot="1">
      <c r="A3" s="96"/>
      <c r="B3" s="96"/>
      <c r="C3" s="364" t="str">
        <f>[1]реквизиты!$A$2</f>
        <v>Всероссийские соревнования по спортивному и боевому самбо среди мужчин на призы УФСИН России</v>
      </c>
      <c r="D3" s="365"/>
      <c r="E3" s="365"/>
      <c r="F3" s="365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6"/>
      <c r="V3" s="380"/>
      <c r="W3" s="380"/>
      <c r="X3" s="96"/>
      <c r="Y3" s="96"/>
      <c r="Z3" s="97"/>
    </row>
    <row r="4" spans="1:34" ht="15" customHeight="1" thickBot="1">
      <c r="A4" s="98"/>
      <c r="B4" s="98"/>
      <c r="C4" s="96"/>
      <c r="D4" s="96"/>
      <c r="E4" s="96"/>
      <c r="F4" s="381" t="str">
        <f>[1]реквизиты!$A$3</f>
        <v>20-22 апреля 2019 г           г.Тверь</v>
      </c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1"/>
      <c r="T4" s="99"/>
      <c r="U4" s="329" t="str">
        <f>AG5&amp;" "&amp;AH5</f>
        <v>18 участников</v>
      </c>
      <c r="V4" s="368" t="str">
        <f>HYPERLINK(пр.взв!D4)</f>
        <v>В.к. 68 кг.</v>
      </c>
      <c r="W4" s="369"/>
      <c r="X4" s="96"/>
      <c r="Y4" s="96"/>
      <c r="Z4" s="97"/>
    </row>
    <row r="5" spans="1:34" ht="14.25" customHeight="1" thickBot="1">
      <c r="A5" s="328" t="s">
        <v>0</v>
      </c>
      <c r="B5" s="96"/>
      <c r="C5" s="96"/>
      <c r="D5" s="96"/>
      <c r="E5" s="96"/>
      <c r="F5" s="96"/>
      <c r="G5" s="96"/>
      <c r="H5" s="100"/>
      <c r="I5" s="328" t="s">
        <v>2</v>
      </c>
      <c r="J5" s="96"/>
      <c r="K5" s="101">
        <f>AE7</f>
        <v>17</v>
      </c>
      <c r="L5" s="96"/>
      <c r="M5" s="96"/>
      <c r="N5" s="96"/>
      <c r="O5" s="102"/>
      <c r="P5" s="374" t="str">
        <f>IFERROR(VLOOKUP(O6,пр.взв!$B$7:$H$38,2,0),"")</f>
        <v>Матвеев Александр Петрович</v>
      </c>
      <c r="Q5" s="375"/>
      <c r="R5" s="375"/>
      <c r="S5" s="376"/>
      <c r="T5" s="102"/>
      <c r="U5" s="330"/>
      <c r="V5" s="370"/>
      <c r="W5" s="371"/>
      <c r="X5" s="328" t="s">
        <v>1</v>
      </c>
      <c r="Y5" s="96"/>
      <c r="Z5" s="97"/>
      <c r="AG5">
        <f>пр.взв!AH7</f>
        <v>18</v>
      </c>
      <c r="AH5" s="257" t="s">
        <v>107</v>
      </c>
    </row>
    <row r="6" spans="1:34" ht="14.25" customHeight="1" thickBot="1">
      <c r="A6" s="373"/>
      <c r="B6" s="103"/>
      <c r="C6" s="96"/>
      <c r="D6" s="96"/>
      <c r="E6" s="96"/>
      <c r="F6" s="96"/>
      <c r="G6" s="96"/>
      <c r="H6" s="96"/>
      <c r="I6" s="328"/>
      <c r="J6" s="104"/>
      <c r="K6" s="105"/>
      <c r="L6" s="106">
        <v>17</v>
      </c>
      <c r="M6" s="104"/>
      <c r="N6" s="104"/>
      <c r="O6" s="107">
        <f>O11</f>
        <v>15</v>
      </c>
      <c r="P6" s="377"/>
      <c r="Q6" s="378"/>
      <c r="R6" s="378"/>
      <c r="S6" s="379"/>
      <c r="T6" s="102"/>
      <c r="U6" s="96"/>
      <c r="V6" s="96"/>
      <c r="W6" s="96"/>
      <c r="X6" s="373"/>
      <c r="Y6" s="96"/>
      <c r="Z6" s="108"/>
      <c r="AA6" s="91"/>
      <c r="AB6" s="91"/>
      <c r="AC6" s="92"/>
      <c r="AD6" s="92"/>
      <c r="AE6" s="92" t="s">
        <v>52</v>
      </c>
    </row>
    <row r="7" spans="1:34" ht="12.75" customHeight="1" thickBot="1">
      <c r="A7" s="363">
        <v>1</v>
      </c>
      <c r="B7" s="336" t="str">
        <f>IFERROR(VLOOKUP(A7,пр.взв!$B$7:$H$38,2,0),"")</f>
        <v>Шайхов Абдулло Пулодович</v>
      </c>
      <c r="C7" s="336" t="str">
        <f>IFERROR(VLOOKUP(A7,пр.взв!$B$7:$H$38,3,0),"")</f>
        <v>28.12.90, мс</v>
      </c>
      <c r="D7" s="336" t="str">
        <f>IFERROR(VLOOKUP(A7,пр.взв!$B$7:$H$38,5,0),"")</f>
        <v>Тверская, Тверь</v>
      </c>
      <c r="E7" s="96"/>
      <c r="F7" s="96"/>
      <c r="G7" s="109"/>
      <c r="H7" s="96"/>
      <c r="I7" s="110"/>
      <c r="J7" s="104"/>
      <c r="K7" s="111">
        <f>AE8</f>
        <v>9</v>
      </c>
      <c r="L7" s="105"/>
      <c r="M7" s="106">
        <v>17</v>
      </c>
      <c r="N7" s="112"/>
      <c r="O7" s="113"/>
      <c r="P7" s="113"/>
      <c r="Q7" s="114" t="s">
        <v>22</v>
      </c>
      <c r="R7" s="102"/>
      <c r="S7" s="102"/>
      <c r="T7" s="102"/>
      <c r="U7" s="336" t="str">
        <f>IFERROR(VLOOKUP(X7,пр.взв!$B$7:$H$38,2,0),"")</f>
        <v>Минажетдинов Ринат Рафаилевич</v>
      </c>
      <c r="V7" s="336" t="str">
        <f>IFERROR(VLOOKUP(X7,пр.взв!$B$7:$H$38,3,0),"")</f>
        <v>22.05.98, кмс</v>
      </c>
      <c r="W7" s="336" t="str">
        <f>IFERROR(VLOOKUP(X7,пр.взв!$B$7:$H$38,5,0),"")</f>
        <v>Москва, НИУ МГСУ</v>
      </c>
      <c r="X7" s="333">
        <v>2</v>
      </c>
      <c r="Y7" s="96"/>
      <c r="Z7" s="115"/>
      <c r="AA7" s="93"/>
      <c r="AB7" s="93"/>
      <c r="AC7" s="92"/>
      <c r="AD7" s="92">
        <f>IF(K5=L6,K7,K5)</f>
        <v>9</v>
      </c>
      <c r="AE7" s="92">
        <f>IF(I14=""," ",IF(I14=A7,A9,IF(I14=A9,A7,IF(I14=A11,A13,IF(I14=A13,A11,IF(I14=A15,A17,IF(I14=A17,A15,IF(I14=A19,A21,A19))))))))</f>
        <v>17</v>
      </c>
    </row>
    <row r="8" spans="1:34" ht="12.75" customHeight="1">
      <c r="A8" s="361"/>
      <c r="B8" s="337"/>
      <c r="C8" s="337"/>
      <c r="D8" s="337"/>
      <c r="E8" s="116">
        <v>1</v>
      </c>
      <c r="F8" s="117"/>
      <c r="G8" s="118"/>
      <c r="H8" s="119"/>
      <c r="I8" s="113"/>
      <c r="J8" s="104"/>
      <c r="K8" s="120"/>
      <c r="L8" s="121">
        <f>AE11</f>
        <v>13</v>
      </c>
      <c r="M8" s="105"/>
      <c r="N8" s="122"/>
      <c r="O8" s="114"/>
      <c r="P8" s="114"/>
      <c r="Q8" s="96"/>
      <c r="R8" s="96"/>
      <c r="S8" s="96"/>
      <c r="T8" s="116">
        <v>2</v>
      </c>
      <c r="U8" s="337"/>
      <c r="V8" s="337"/>
      <c r="W8" s="337"/>
      <c r="X8" s="334"/>
      <c r="Y8" s="96"/>
      <c r="Z8" s="115"/>
      <c r="AA8" s="93"/>
      <c r="AB8" s="93"/>
      <c r="AC8" s="92"/>
      <c r="AD8" s="92">
        <f>IF(K9=L10,K11,K9)</f>
        <v>19</v>
      </c>
      <c r="AE8" s="92">
        <f>IF(I14=""," ",IF(E8=I14,E12,IF(E12=I14,E8,IF(E16=I14,E20,E16))))</f>
        <v>9</v>
      </c>
    </row>
    <row r="9" spans="1:34" ht="12.75" customHeight="1" thickBot="1">
      <c r="A9" s="361">
        <v>17</v>
      </c>
      <c r="B9" s="331" t="str">
        <f>IFERROR(VLOOKUP(A9,пр.взв!$B$7:$H$38,2,0),"")</f>
        <v>Соловьев Михаил Алексеевич</v>
      </c>
      <c r="C9" s="331" t="str">
        <f>IFERROR(VLOOKUP(A9,пр.взв!$B$7:$H$38,3,0),"")</f>
        <v>13.11.96, кмс</v>
      </c>
      <c r="D9" s="331" t="str">
        <f>IFERROR(VLOOKUP(A9,пр.взв!$B$7:$H$38,5,0),"")</f>
        <v>Рязанская, Рязань</v>
      </c>
      <c r="E9" s="123" t="s">
        <v>180</v>
      </c>
      <c r="F9" s="124"/>
      <c r="G9" s="117"/>
      <c r="H9" s="120"/>
      <c r="I9" s="122"/>
      <c r="J9" s="104"/>
      <c r="K9" s="289">
        <f>AE9</f>
        <v>19</v>
      </c>
      <c r="L9" s="120"/>
      <c r="M9" s="125"/>
      <c r="N9" s="106">
        <v>15</v>
      </c>
      <c r="O9" s="114"/>
      <c r="P9" s="114"/>
      <c r="Q9" s="114"/>
      <c r="R9" s="126"/>
      <c r="S9" s="127"/>
      <c r="T9" s="123" t="s">
        <v>182</v>
      </c>
      <c r="U9" s="331" t="str">
        <f>IFERROR(VLOOKUP(X9,пр.взв!$B$7:$H$38,2,0),"")</f>
        <v>Наджмонов Авзунмехр Муминджонович</v>
      </c>
      <c r="V9" s="331" t="str">
        <f>IFERROR(VLOOKUP(X9,пр.взв!$B$7:$H$38,3,0),"")</f>
        <v>03.07.95, кмс</v>
      </c>
      <c r="W9" s="331" t="str">
        <f>IFERROR(VLOOKUP(X9,пр.взв!$B$7:$H$38,5,0),"")</f>
        <v>Тверская, Тверь</v>
      </c>
      <c r="X9" s="334">
        <v>18</v>
      </c>
      <c r="Y9" s="96"/>
      <c r="Z9" s="115"/>
      <c r="AA9" s="93"/>
      <c r="AB9" s="93"/>
      <c r="AC9" s="92"/>
      <c r="AD9" s="92">
        <f>IF(K33=L34,K35,K33)</f>
        <v>10</v>
      </c>
      <c r="AE9" s="92">
        <f>IF(I30=""," ",IF(I30=A23,A25,IF(I30=A25,A23,IF(I30=A27,A29,IF(I30=A29,A27,IF(I30=A31,A33,IF(I30=A33,A31,IF(I30=A35,A37,A35))))))))</f>
        <v>19</v>
      </c>
    </row>
    <row r="10" spans="1:34" ht="12.75" customHeight="1" thickBot="1">
      <c r="A10" s="362"/>
      <c r="B10" s="332"/>
      <c r="C10" s="332"/>
      <c r="D10" s="332"/>
      <c r="E10" s="117"/>
      <c r="F10" s="128"/>
      <c r="G10" s="116">
        <v>1</v>
      </c>
      <c r="H10" s="106"/>
      <c r="I10" s="129"/>
      <c r="J10" s="104"/>
      <c r="K10" s="105"/>
      <c r="L10" s="106">
        <v>11</v>
      </c>
      <c r="M10" s="130"/>
      <c r="N10" s="105"/>
      <c r="O10" s="104"/>
      <c r="P10" s="104"/>
      <c r="Q10" s="104"/>
      <c r="R10" s="116">
        <v>2</v>
      </c>
      <c r="S10" s="104"/>
      <c r="T10" s="117"/>
      <c r="U10" s="332"/>
      <c r="V10" s="332"/>
      <c r="W10" s="332"/>
      <c r="X10" s="335"/>
      <c r="Y10" s="96"/>
      <c r="Z10" s="115"/>
      <c r="AA10" s="93"/>
      <c r="AB10" s="93"/>
      <c r="AC10" s="92"/>
      <c r="AD10" s="92">
        <f>IF(K37=L38,K39,K37)</f>
        <v>20</v>
      </c>
      <c r="AE10" s="92">
        <f>IF(I30=""," ",IF(E24=I30,E28,IF(E28=I30,E24,IF(E32=I30,E36,E32))))</f>
        <v>11</v>
      </c>
    </row>
    <row r="11" spans="1:34" ht="12.75" customHeight="1" thickBot="1">
      <c r="A11" s="363">
        <v>9</v>
      </c>
      <c r="B11" s="338" t="str">
        <f>IFERROR(VLOOKUP(A11,пр.взв!$B$7:$H$38,2,0),"")</f>
        <v>Солодянников Сергей Константинович</v>
      </c>
      <c r="C11" s="338" t="str">
        <f>IFERROR(VLOOKUP(A11,пр.взв!$B$7:$H$38,3,0),"")</f>
        <v>08.10.94, кмс</v>
      </c>
      <c r="D11" s="338" t="str">
        <f>IFERROR(VLOOKUP(A11,пр.взв!$B$7:$H$38,5,0),"")</f>
        <v>Тверская, ОСН "Рысь"</v>
      </c>
      <c r="E11" s="96"/>
      <c r="F11" s="117"/>
      <c r="G11" s="123" t="s">
        <v>181</v>
      </c>
      <c r="H11" s="131"/>
      <c r="I11" s="132"/>
      <c r="J11" s="104"/>
      <c r="K11" s="111">
        <f>AE10</f>
        <v>11</v>
      </c>
      <c r="L11" s="105"/>
      <c r="M11" s="111">
        <v>15</v>
      </c>
      <c r="N11" s="130"/>
      <c r="O11" s="133">
        <v>15</v>
      </c>
      <c r="P11" s="104"/>
      <c r="Q11" s="134"/>
      <c r="R11" s="123" t="s">
        <v>181</v>
      </c>
      <c r="S11" s="104"/>
      <c r="T11" s="96"/>
      <c r="U11" s="338" t="str">
        <f>IFERROR(VLOOKUP(X11,пр.взв!$B$7:$H$38,2,0),"")</f>
        <v>Киселёв Сергей Николаевич</v>
      </c>
      <c r="V11" s="338" t="str">
        <f>IFERROR(VLOOKUP(X11,пр.взв!$B$7:$H$38,3,0),"")</f>
        <v>01.01.85, кмс</v>
      </c>
      <c r="W11" s="338" t="str">
        <f>IFERROR(VLOOKUP(X11,пр.взв!$B$7:$H$38,5,0),"")</f>
        <v>Тверская, ОСН "Рысь"</v>
      </c>
      <c r="X11" s="333">
        <v>10</v>
      </c>
      <c r="Y11" s="96"/>
      <c r="Z11" s="115"/>
      <c r="AA11" s="94" t="str">
        <f>IF(OR(I14=A7,I14=A9)," ",IF(E8=A7,A9,A7))</f>
        <v xml:space="preserve"> </v>
      </c>
      <c r="AB11" s="95">
        <f>IF(AA11=" ",AA12,AA11)</f>
        <v>25</v>
      </c>
      <c r="AC11" s="92"/>
      <c r="AD11" s="92"/>
      <c r="AE11" s="92">
        <f>IF(I14=""," ",IF(I14=G10,G18,G10))</f>
        <v>13</v>
      </c>
    </row>
    <row r="12" spans="1:34" ht="12.75" customHeight="1">
      <c r="A12" s="361"/>
      <c r="B12" s="339"/>
      <c r="C12" s="339"/>
      <c r="D12" s="339"/>
      <c r="E12" s="116">
        <v>9</v>
      </c>
      <c r="F12" s="135"/>
      <c r="G12" s="117"/>
      <c r="H12" s="119"/>
      <c r="I12" s="136"/>
      <c r="J12" s="122"/>
      <c r="K12" s="120"/>
      <c r="L12" s="111">
        <f>AE12</f>
        <v>15</v>
      </c>
      <c r="M12" s="137"/>
      <c r="N12" s="138"/>
      <c r="O12" s="137"/>
      <c r="P12" s="114"/>
      <c r="Q12" s="139"/>
      <c r="R12" s="140"/>
      <c r="S12" s="141"/>
      <c r="T12" s="116">
        <v>10</v>
      </c>
      <c r="U12" s="339"/>
      <c r="V12" s="339"/>
      <c r="W12" s="339"/>
      <c r="X12" s="334"/>
      <c r="Y12" s="96"/>
      <c r="Z12" s="97"/>
      <c r="AA12" s="94">
        <f>IF(OR(I14=A11,I14=A13)," ",IF(E12=A11,A13,A11))</f>
        <v>25</v>
      </c>
      <c r="AB12" s="95">
        <f>IF(OR(AA11=" ",AA12=" "),AA13,AA12)</f>
        <v>21</v>
      </c>
      <c r="AC12" s="94">
        <f>IF(AND(OR(E8=I14,E12=I14),E16=G18),E20,IF(AND(OR(E8=I14,E12=I14),E20=G18),E16,IF(E8=G10,E12,E8)))</f>
        <v>5</v>
      </c>
      <c r="AD12" s="92">
        <f>IF(L6=M7,L8,L6)</f>
        <v>13</v>
      </c>
      <c r="AE12" s="92">
        <f>IF(I30=""," ",IF(I30=G26,G34,G26))</f>
        <v>15</v>
      </c>
    </row>
    <row r="13" spans="1:34" ht="12.75" customHeight="1" thickBot="1">
      <c r="A13" s="361">
        <v>25</v>
      </c>
      <c r="B13" s="331" t="str">
        <f>IFERROR(VLOOKUP(A13,пр.взв!$B$7:$H$38,2,0),"")</f>
        <v/>
      </c>
      <c r="C13" s="331" t="str">
        <f>IFERROR(VLOOKUP(A13,пр.взв!$B$7:$H$38,3,0),"")</f>
        <v/>
      </c>
      <c r="D13" s="331" t="str">
        <f>IFERROR(VLOOKUP(A13,пр.взв!$B$7:$H$38,5,0),"")</f>
        <v/>
      </c>
      <c r="E13" s="123"/>
      <c r="F13" s="117"/>
      <c r="G13" s="117"/>
      <c r="H13" s="120"/>
      <c r="I13" s="136"/>
      <c r="J13" s="122"/>
      <c r="K13" s="106"/>
      <c r="L13" s="120"/>
      <c r="M13" s="106"/>
      <c r="N13" s="111">
        <v>2</v>
      </c>
      <c r="O13" s="104"/>
      <c r="P13" s="114"/>
      <c r="Q13" s="142"/>
      <c r="R13" s="96"/>
      <c r="S13" s="96"/>
      <c r="T13" s="123"/>
      <c r="U13" s="331" t="str">
        <f>IFERROR(VLOOKUP(X13,пр.взв!$B$7:$H$38,2,0),"")</f>
        <v/>
      </c>
      <c r="V13" s="331" t="str">
        <f>IFERROR(VLOOKUP(X13,пр.взв!$B$7:$H$38,3,0),"")</f>
        <v/>
      </c>
      <c r="W13" s="331" t="str">
        <f>IFERROR(VLOOKUP(X13,пр.взв!$B$7:$H$38,5,0),"")</f>
        <v/>
      </c>
      <c r="X13" s="334">
        <v>26</v>
      </c>
      <c r="Y13" s="96"/>
      <c r="Z13" s="97"/>
      <c r="AA13" s="94">
        <f>IF(OR(I14=A15,I14=A17)," ",IF(E16=A15,A17,A15))</f>
        <v>21</v>
      </c>
      <c r="AB13" s="95">
        <f>IF(OR(AA11=" ",AA12=" ",AA13=" "),AA14,AA13)</f>
        <v>29</v>
      </c>
      <c r="AC13" s="92"/>
      <c r="AD13" s="92">
        <f>IF(L10=M11,L12,L10)</f>
        <v>11</v>
      </c>
      <c r="AE13" s="92">
        <f>IF(N22=""," ",IF(N22=P14,P30,P14))</f>
        <v>2</v>
      </c>
    </row>
    <row r="14" spans="1:34" ht="12.75" customHeight="1" thickBot="1">
      <c r="A14" s="362"/>
      <c r="B14" s="332"/>
      <c r="C14" s="332"/>
      <c r="D14" s="332"/>
      <c r="E14" s="117"/>
      <c r="F14" s="117"/>
      <c r="G14" s="128"/>
      <c r="H14" s="122"/>
      <c r="I14" s="116">
        <v>1</v>
      </c>
      <c r="J14" s="141"/>
      <c r="K14" s="106"/>
      <c r="L14" s="122"/>
      <c r="M14" s="122"/>
      <c r="N14" s="106"/>
      <c r="O14" s="141"/>
      <c r="P14" s="116">
        <v>2</v>
      </c>
      <c r="Q14" s="128"/>
      <c r="R14" s="96"/>
      <c r="S14" s="96"/>
      <c r="T14" s="117"/>
      <c r="U14" s="332"/>
      <c r="V14" s="332"/>
      <c r="W14" s="332"/>
      <c r="X14" s="335"/>
      <c r="Y14" s="96"/>
      <c r="Z14" s="97"/>
      <c r="AA14" s="94">
        <f>IF(OR(I14=A19,I14=A21)," ",IF(E20=A19,A21,A19))</f>
        <v>29</v>
      </c>
      <c r="AB14" s="91"/>
      <c r="AC14" s="92"/>
      <c r="AD14" s="92">
        <f>IF(L34=M35,L36,L34)</f>
        <v>18</v>
      </c>
      <c r="AE14" s="92">
        <f>IF(K17="","",IF(K22=K17,N22,K22))</f>
        <v>4</v>
      </c>
    </row>
    <row r="15" spans="1:34" ht="12.75" customHeight="1" thickBot="1">
      <c r="A15" s="363">
        <v>5</v>
      </c>
      <c r="B15" s="338" t="str">
        <f>IFERROR(VLOOKUP(A15,пр.взв!$B$7:$H$38,2,0),"")</f>
        <v>Никишкин Максим Вячеславович</v>
      </c>
      <c r="C15" s="338" t="str">
        <f>IFERROR(VLOOKUP(A15,пр.взв!$B$7:$H$38,3,0),"")</f>
        <v>15.08.99, кмс</v>
      </c>
      <c r="D15" s="338" t="str">
        <f>IFERROR(VLOOKUP(A15,пр.взв!$B$7:$H$38,5,0),"")</f>
        <v>Москва, НИУ МГСУ</v>
      </c>
      <c r="E15" s="96"/>
      <c r="F15" s="96"/>
      <c r="G15" s="117"/>
      <c r="H15" s="113"/>
      <c r="I15" s="123" t="s">
        <v>182</v>
      </c>
      <c r="J15" s="130"/>
      <c r="K15" s="106"/>
      <c r="L15" s="104"/>
      <c r="M15" s="104"/>
      <c r="N15" s="104"/>
      <c r="O15" s="143"/>
      <c r="P15" s="123" t="s">
        <v>180</v>
      </c>
      <c r="Q15" s="144"/>
      <c r="R15" s="96"/>
      <c r="S15" s="96"/>
      <c r="T15" s="96"/>
      <c r="U15" s="338" t="str">
        <f>IFERROR(VLOOKUP(X15,пр.взв!$B$7:$H$38,2,0),"")</f>
        <v>Корочанский Данила Дмитриевич</v>
      </c>
      <c r="V15" s="338" t="str">
        <f>IFERROR(VLOOKUP(X15,пр.взв!$B$7:$H$38,3,0),"")</f>
        <v>23.07.00, кмс</v>
      </c>
      <c r="W15" s="338" t="str">
        <f>IFERROR(VLOOKUP(X15,пр.взв!$B$7:$H$38,5,0),"")</f>
        <v>Москва, ГБОУ ЦО "Самбо-70"</v>
      </c>
      <c r="X15" s="333">
        <v>6</v>
      </c>
      <c r="Y15" s="96"/>
      <c r="Z15" s="97"/>
      <c r="AA15" s="92"/>
      <c r="AB15" s="92"/>
      <c r="AC15" s="92"/>
      <c r="AD15" s="92">
        <f>IF(L38=M39,L40,L38)</f>
        <v>12</v>
      </c>
      <c r="AE15" s="92"/>
    </row>
    <row r="16" spans="1:34" ht="12.75" customHeight="1">
      <c r="A16" s="361"/>
      <c r="B16" s="339"/>
      <c r="C16" s="339"/>
      <c r="D16" s="339"/>
      <c r="E16" s="116">
        <v>5</v>
      </c>
      <c r="F16" s="117"/>
      <c r="G16" s="117"/>
      <c r="H16" s="125"/>
      <c r="I16" s="97"/>
      <c r="J16" s="104"/>
      <c r="K16" s="143"/>
      <c r="L16" s="358" t="s">
        <v>45</v>
      </c>
      <c r="M16" s="358"/>
      <c r="N16" s="104"/>
      <c r="O16" s="144"/>
      <c r="P16" s="97"/>
      <c r="Q16" s="143"/>
      <c r="R16" s="96"/>
      <c r="S16" s="96"/>
      <c r="T16" s="116">
        <v>6</v>
      </c>
      <c r="U16" s="339"/>
      <c r="V16" s="339"/>
      <c r="W16" s="339"/>
      <c r="X16" s="334"/>
      <c r="Y16" s="96"/>
      <c r="Z16" s="97"/>
      <c r="AA16" s="94" t="str">
        <f>IF(OR(I$30=A23,I$30=A25)," ",IF(E24=A23,A25,A23))</f>
        <v xml:space="preserve"> </v>
      </c>
      <c r="AB16" s="95">
        <f>IF(AA16=" ",AA17,AA16)</f>
        <v>27</v>
      </c>
      <c r="AC16" s="92"/>
      <c r="AD16" s="92"/>
      <c r="AE16" s="92"/>
    </row>
    <row r="17" spans="1:31" ht="12.75" customHeight="1" thickBot="1">
      <c r="A17" s="361">
        <v>21</v>
      </c>
      <c r="B17" s="331" t="str">
        <f>IFERROR(VLOOKUP(A17,пр.взв!$B$7:$H$38,2,0),"")</f>
        <v/>
      </c>
      <c r="C17" s="331" t="str">
        <f>IFERROR(VLOOKUP(A17,пр.взв!$B$7:$H$38,3,0),"")</f>
        <v/>
      </c>
      <c r="D17" s="331" t="str">
        <f>IFERROR(VLOOKUP(A17,пр.взв!$B$7:$H$38,5,0),"")</f>
        <v/>
      </c>
      <c r="E17" s="123"/>
      <c r="F17" s="124"/>
      <c r="G17" s="117"/>
      <c r="H17" s="145"/>
      <c r="I17" s="104"/>
      <c r="J17" s="104"/>
      <c r="K17" s="259">
        <v>3</v>
      </c>
      <c r="L17" s="104"/>
      <c r="M17" s="104"/>
      <c r="N17" s="130"/>
      <c r="O17" s="104"/>
      <c r="P17" s="104"/>
      <c r="Q17" s="143"/>
      <c r="R17" s="126"/>
      <c r="S17" s="127"/>
      <c r="T17" s="123"/>
      <c r="U17" s="331" t="str">
        <f>IFERROR(VLOOKUP(X17,пр.взв!$B$7:$H$38,2,0),"")</f>
        <v/>
      </c>
      <c r="V17" s="331" t="str">
        <f>IFERROR(VLOOKUP(X17,пр.взв!$B$7:$H$38,3,0),"")</f>
        <v/>
      </c>
      <c r="W17" s="331" t="str">
        <f>IFERROR(VLOOKUP(X17,пр.взв!$B$7:$H$38,5,0),"")</f>
        <v/>
      </c>
      <c r="X17" s="334">
        <v>22</v>
      </c>
      <c r="Y17" s="96"/>
      <c r="Z17" s="97"/>
      <c r="AA17" s="94">
        <f>IF(OR(I$30=A27,I$30=A29)," ",IF(E28=A27,A29,A27))</f>
        <v>27</v>
      </c>
      <c r="AB17" s="95">
        <f>IF(OR(AA16=" ",AA17=" "),AA18,AA17)</f>
        <v>23</v>
      </c>
      <c r="AC17" s="94">
        <f>IF(AND(OR(E24=I30,E28=I30),E32=G34),E36,IF(AND(OR(E24=I30,E28=I30),E36=G34),E32,IF(E24=G26,E28,E24)))</f>
        <v>7</v>
      </c>
      <c r="AD17" s="92">
        <f>IF(M7=N9,M11,M7)</f>
        <v>17</v>
      </c>
      <c r="AE17" s="92"/>
    </row>
    <row r="18" spans="1:31" ht="12.75" customHeight="1" thickBot="1">
      <c r="A18" s="362"/>
      <c r="B18" s="332"/>
      <c r="C18" s="332"/>
      <c r="D18" s="332"/>
      <c r="E18" s="117"/>
      <c r="F18" s="128"/>
      <c r="G18" s="116">
        <v>13</v>
      </c>
      <c r="H18" s="111"/>
      <c r="I18" s="104"/>
      <c r="J18" s="104"/>
      <c r="K18" s="340" t="str">
        <f>IFERROR(VLOOKUP(K17,пр.взв!$B$7:$H$38,2,0),"")</f>
        <v>Ломиворотов Илья Романович</v>
      </c>
      <c r="L18" s="341"/>
      <c r="M18" s="341"/>
      <c r="N18" s="342"/>
      <c r="O18" s="114"/>
      <c r="P18" s="104"/>
      <c r="Q18" s="147"/>
      <c r="R18" s="116">
        <v>6</v>
      </c>
      <c r="S18" s="104"/>
      <c r="T18" s="117"/>
      <c r="U18" s="332"/>
      <c r="V18" s="332"/>
      <c r="W18" s="332"/>
      <c r="X18" s="335"/>
      <c r="Y18" s="96"/>
      <c r="Z18" s="97"/>
      <c r="AA18" s="94">
        <f>IF(OR(I$30=A31,I$30=A33)," ",IF(E32=A31,A33,A31))</f>
        <v>23</v>
      </c>
      <c r="AB18" s="95">
        <f>IF(OR(AA16=" ",AA17=" ",AA18=" "),AA19,AA18)</f>
        <v>31</v>
      </c>
      <c r="AC18" s="92"/>
      <c r="AD18" s="92">
        <f>IF(M35=N37,M39,M35)</f>
        <v>16</v>
      </c>
      <c r="AE18" s="92"/>
    </row>
    <row r="19" spans="1:31" ht="12.75" customHeight="1" thickBot="1">
      <c r="A19" s="363">
        <v>13</v>
      </c>
      <c r="B19" s="338" t="str">
        <f>IFERROR(VLOOKUP(A19,пр.взв!$B$7:$H$38,2,0),"")</f>
        <v>Прокофьев Иван Николаевич</v>
      </c>
      <c r="C19" s="338" t="str">
        <f>IFERROR(VLOOKUP(A19,пр.взв!$B$7:$H$38,3,0),"")</f>
        <v>09.04.00, кмс</v>
      </c>
      <c r="D19" s="338" t="str">
        <f>IFERROR(VLOOKUP(A19,пр.взв!$B$7:$H$38,5,0),"")</f>
        <v>Воронежская, Воронеж</v>
      </c>
      <c r="E19" s="96"/>
      <c r="F19" s="117"/>
      <c r="G19" s="123" t="s">
        <v>180</v>
      </c>
      <c r="H19" s="120"/>
      <c r="I19" s="104"/>
      <c r="J19" s="104"/>
      <c r="K19" s="343"/>
      <c r="L19" s="344"/>
      <c r="M19" s="344"/>
      <c r="N19" s="345"/>
      <c r="O19" s="114"/>
      <c r="P19" s="104"/>
      <c r="Q19" s="104"/>
      <c r="R19" s="123" t="s">
        <v>182</v>
      </c>
      <c r="S19" s="104"/>
      <c r="T19" s="96"/>
      <c r="U19" s="338" t="str">
        <f>IFERROR(VLOOKUP(X19,пр.взв!$B$7:$H$38,2,0),"")</f>
        <v>Нечаев Максим Михайлович</v>
      </c>
      <c r="V19" s="338" t="str">
        <f>IFERROR(VLOOKUP(X19,пр.взв!$B$7:$H$38,3,0),"")</f>
        <v>26.01.94, кмс</v>
      </c>
      <c r="W19" s="338" t="str">
        <f>IFERROR(VLOOKUP(X19,пр.взв!$B$7:$H$38,5,0),"")</f>
        <v>Новгородская, Боровичи</v>
      </c>
      <c r="X19" s="333">
        <v>14</v>
      </c>
      <c r="Y19" s="96"/>
      <c r="Z19" s="97"/>
      <c r="AA19" s="94">
        <f>IF(OR(I$30=A35,I$30=A37)," ",IF(E36=A35,A37,A35))</f>
        <v>31</v>
      </c>
      <c r="AB19" s="92"/>
      <c r="AC19" s="92"/>
      <c r="AD19" s="92"/>
      <c r="AE19" s="92"/>
    </row>
    <row r="20" spans="1:31" ht="12.75" customHeight="1">
      <c r="A20" s="361"/>
      <c r="B20" s="339"/>
      <c r="C20" s="339"/>
      <c r="D20" s="339"/>
      <c r="E20" s="116">
        <v>13</v>
      </c>
      <c r="F20" s="135"/>
      <c r="G20" s="117"/>
      <c r="H20" s="119"/>
      <c r="I20" s="148"/>
      <c r="J20" s="104"/>
      <c r="K20" s="143"/>
      <c r="L20" s="359"/>
      <c r="M20" s="360"/>
      <c r="N20" s="114"/>
      <c r="O20" s="139"/>
      <c r="P20" s="104"/>
      <c r="Q20" s="96"/>
      <c r="R20" s="140"/>
      <c r="S20" s="141"/>
      <c r="T20" s="116">
        <v>14</v>
      </c>
      <c r="U20" s="339"/>
      <c r="V20" s="339"/>
      <c r="W20" s="339"/>
      <c r="X20" s="334"/>
      <c r="Y20" s="96"/>
      <c r="Z20" s="97"/>
      <c r="AA20" s="93"/>
      <c r="AB20" s="92"/>
      <c r="AC20" s="92"/>
      <c r="AD20" s="92">
        <f>IF(N9=O11,N13,N9)</f>
        <v>2</v>
      </c>
      <c r="AE20" s="92">
        <f>IF(P14=""," ",IF(P14=X7,X9,IF(P14=X9,X7,IF(P14=X11,X13,IF(P14=X13,X11,IF(P14=X15,X17,IF(P14=X17,X15,IF(P14=X19,X21,X19))))))))</f>
        <v>18</v>
      </c>
    </row>
    <row r="21" spans="1:31" ht="12.75" customHeight="1" thickBot="1">
      <c r="A21" s="361">
        <v>29</v>
      </c>
      <c r="B21" s="331" t="str">
        <f>IFERROR(VLOOKUP(A21,пр.взв!$B$7:$H$38,2,0),"")</f>
        <v/>
      </c>
      <c r="C21" s="331" t="str">
        <f>IFERROR(VLOOKUP(A21,пр.взв!$B$7:$H$38,3,0),"")</f>
        <v/>
      </c>
      <c r="D21" s="331" t="str">
        <f>IFERROR(VLOOKUP(A21,пр.взв!$B$7:$H$38,5,0),"")</f>
        <v/>
      </c>
      <c r="E21" s="123"/>
      <c r="F21" s="117"/>
      <c r="G21" s="117"/>
      <c r="H21" s="120"/>
      <c r="I21" s="148"/>
      <c r="J21" s="104"/>
      <c r="K21" s="143"/>
      <c r="L21" s="104"/>
      <c r="M21" s="114"/>
      <c r="N21" s="114"/>
      <c r="O21" s="139"/>
      <c r="P21" s="104"/>
      <c r="Q21" s="96"/>
      <c r="R21" s="96"/>
      <c r="S21" s="96"/>
      <c r="T21" s="123"/>
      <c r="U21" s="331" t="str">
        <f>IFERROR(VLOOKUP(X21,пр.взв!$B$7:$H$38,2,0),"")</f>
        <v/>
      </c>
      <c r="V21" s="331" t="str">
        <f>IFERROR(VLOOKUP(X21,пр.взв!$B$7:$H$38,3,0),"")</f>
        <v/>
      </c>
      <c r="W21" s="331" t="str">
        <f>IFERROR(VLOOKUP(X21,пр.взв!$B$7:$H$38,5,0),"")</f>
        <v/>
      </c>
      <c r="X21" s="334">
        <v>30</v>
      </c>
      <c r="Y21" s="96"/>
      <c r="Z21" s="97"/>
      <c r="AA21" s="94" t="str">
        <f>IF(OR(P14=X7,P14=X9)," ",IF(T8=X7,X9,X7))</f>
        <v xml:space="preserve"> </v>
      </c>
      <c r="AB21" s="95">
        <f>IF(AA21=" ",AA22,AA21)</f>
        <v>26</v>
      </c>
      <c r="AC21" s="92"/>
      <c r="AD21" s="92">
        <f>IF(N37=O39,N41,N37)</f>
        <v>1</v>
      </c>
      <c r="AE21" s="92">
        <f>IF(P14=""," ",IF(P14=T8,T12,IF(P14=T12,T8,IF(P14=T16,T20,T16))))</f>
        <v>10</v>
      </c>
    </row>
    <row r="22" spans="1:31" ht="12.75" customHeight="1" thickBot="1">
      <c r="A22" s="362"/>
      <c r="B22" s="332"/>
      <c r="C22" s="332"/>
      <c r="D22" s="332"/>
      <c r="E22" s="117"/>
      <c r="F22" s="117"/>
      <c r="G22" s="117"/>
      <c r="H22" s="119"/>
      <c r="I22" s="148"/>
      <c r="J22" s="104"/>
      <c r="K22" s="116">
        <v>3</v>
      </c>
      <c r="L22" s="104"/>
      <c r="M22" s="114"/>
      <c r="N22" s="116">
        <v>4</v>
      </c>
      <c r="O22" s="139"/>
      <c r="P22" s="104"/>
      <c r="Q22" s="96"/>
      <c r="R22" s="96"/>
      <c r="S22" s="96"/>
      <c r="T22" s="117"/>
      <c r="U22" s="332"/>
      <c r="V22" s="332"/>
      <c r="W22" s="332"/>
      <c r="X22" s="335"/>
      <c r="Y22" s="96"/>
      <c r="Z22" s="97"/>
      <c r="AA22" s="94">
        <f>IF(OR(P14=X11,P14=X13)," ",IF(T12=X11,X13,X11))</f>
        <v>26</v>
      </c>
      <c r="AB22" s="95">
        <f>IF(OR(AA21=" ",AA22=" "),AA23,AA22)</f>
        <v>22</v>
      </c>
      <c r="AC22" s="94">
        <f>IF(AND(OR(T8=P14,T12=P14),T16=R18),T20,IF(AND(OR(T8=P14,T12=P14),T20=R18),T16,IF(T8=R10,T12,T8)))</f>
        <v>14</v>
      </c>
      <c r="AD22" s="92"/>
      <c r="AE22" s="92">
        <f>IF(P30=""," ",IF(P30=X23,X25,IF(P30=X25,X23,IF(P30=X27,X29,IF(P30=X29,X27,IF(P30=X31,X33,IF(P30=X33,X31,IF(P30=X35,X37,X35))))))))</f>
        <v>20</v>
      </c>
    </row>
    <row r="23" spans="1:31" ht="12.75" customHeight="1" thickBot="1">
      <c r="A23" s="363">
        <v>3</v>
      </c>
      <c r="B23" s="338" t="str">
        <f>IFERROR(VLOOKUP(A23,пр.взв!$B$7:$H$38,2,0),"")</f>
        <v>Ломиворотов Илья Романович</v>
      </c>
      <c r="C23" s="338" t="str">
        <f>IFERROR(VLOOKUP(A23,пр.взв!$B$7:$H$38,3,0),"")</f>
        <v>19.03.01, кмс</v>
      </c>
      <c r="D23" s="338" t="str">
        <f>IFERROR(VLOOKUP(A23,пр.взв!$B$7:$H$38,5,0),"")</f>
        <v>Тульская, Тула</v>
      </c>
      <c r="E23" s="96"/>
      <c r="F23" s="96"/>
      <c r="G23" s="109"/>
      <c r="H23" s="96"/>
      <c r="I23" s="149"/>
      <c r="J23" s="150"/>
      <c r="K23" s="123" t="s">
        <v>180</v>
      </c>
      <c r="L23" s="151"/>
      <c r="M23" s="114"/>
      <c r="N23" s="123" t="s">
        <v>181</v>
      </c>
      <c r="O23" s="139"/>
      <c r="P23" s="104"/>
      <c r="Q23" s="96"/>
      <c r="R23" s="96"/>
      <c r="S23" s="96"/>
      <c r="T23" s="96"/>
      <c r="U23" s="338" t="str">
        <f>IFERROR(VLOOKUP(X23,пр.взв!$B$7:$H$38,2,0),"")</f>
        <v>Щербаков Денис Алексеевич</v>
      </c>
      <c r="V23" s="338" t="str">
        <f>IFERROR(VLOOKUP(X23,пр.взв!$B$7:$H$38,3,0),"")</f>
        <v>21.07.00, кмс</v>
      </c>
      <c r="W23" s="338" t="str">
        <f>IFERROR(VLOOKUP(X23,пр.взв!$B$7:$H$38,5,0),"")</f>
        <v>Москва, ГБОУ ЦО "Самбо-70"</v>
      </c>
      <c r="X23" s="333">
        <v>4</v>
      </c>
      <c r="Y23" s="96"/>
      <c r="Z23" s="97"/>
      <c r="AA23" s="94">
        <f>IF(OR(P14=X15,P14=X17)," ",IF(T16=X15,X17,X15))</f>
        <v>22</v>
      </c>
      <c r="AB23" s="95">
        <f>IF(OR(AA21=" ",AA22=" ",AA23=" "),AA24,AA23)</f>
        <v>30</v>
      </c>
      <c r="AC23" s="92"/>
      <c r="AD23" s="92"/>
      <c r="AE23" s="92">
        <f>IF(P30=""," ",IF(P30=T24,T28,IF(P30=T28,T24,IF(P30=T32,T36,T32))))</f>
        <v>12</v>
      </c>
    </row>
    <row r="24" spans="1:31" ht="12.75" customHeight="1">
      <c r="A24" s="361"/>
      <c r="B24" s="339"/>
      <c r="C24" s="339"/>
      <c r="D24" s="339"/>
      <c r="E24" s="116">
        <v>3</v>
      </c>
      <c r="F24" s="117"/>
      <c r="G24" s="118"/>
      <c r="H24" s="119"/>
      <c r="I24" s="129"/>
      <c r="J24" s="106"/>
      <c r="K24" s="152"/>
      <c r="L24" s="358" t="s">
        <v>25</v>
      </c>
      <c r="M24" s="358"/>
      <c r="N24" s="114"/>
      <c r="O24" s="139"/>
      <c r="P24" s="104"/>
      <c r="Q24" s="96"/>
      <c r="R24" s="96"/>
      <c r="S24" s="96"/>
      <c r="T24" s="116">
        <v>4</v>
      </c>
      <c r="U24" s="339"/>
      <c r="V24" s="339"/>
      <c r="W24" s="339"/>
      <c r="X24" s="334"/>
      <c r="Y24" s="96"/>
      <c r="Z24" s="97"/>
      <c r="AA24" s="94">
        <f>IF(OR(P14=X19,P14=X21)," ",IF(T20=X19,X21,X19))</f>
        <v>30</v>
      </c>
      <c r="AB24" s="92"/>
      <c r="AC24" s="92"/>
      <c r="AD24" s="92"/>
      <c r="AE24" s="92">
        <f>IF(P14=""," ",IF(P14=R10,R18,R10))</f>
        <v>6</v>
      </c>
    </row>
    <row r="25" spans="1:31" ht="12.75" customHeight="1" thickBot="1">
      <c r="A25" s="361">
        <v>19</v>
      </c>
      <c r="B25" s="331" t="str">
        <f>IFERROR(VLOOKUP(A25,пр.взв!$B$7:$H$38,2,0),"")</f>
        <v/>
      </c>
      <c r="C25" s="331" t="str">
        <f>IFERROR(VLOOKUP(A25,пр.взв!$B$7:$H$38,3,0),"")</f>
        <v/>
      </c>
      <c r="D25" s="331" t="str">
        <f>IFERROR(VLOOKUP(A25,пр.взв!$B$7:$H$38,5,0),"")</f>
        <v/>
      </c>
      <c r="E25" s="123"/>
      <c r="F25" s="124"/>
      <c r="G25" s="117"/>
      <c r="H25" s="120"/>
      <c r="I25" s="153"/>
      <c r="J25" s="113"/>
      <c r="K25" s="146">
        <f>AE14</f>
        <v>4</v>
      </c>
      <c r="L25" s="104"/>
      <c r="M25" s="104"/>
      <c r="N25" s="130"/>
      <c r="O25" s="139"/>
      <c r="P25" s="104"/>
      <c r="Q25" s="96"/>
      <c r="R25" s="126"/>
      <c r="S25" s="127"/>
      <c r="T25" s="123"/>
      <c r="U25" s="331" t="str">
        <f>IFERROR(VLOOKUP(X25,пр.взв!$B$7:$H$38,2,0),"")</f>
        <v/>
      </c>
      <c r="V25" s="331" t="str">
        <f>IFERROR(VLOOKUP(X25,пр.взв!$B$7:$H$38,3,0),"")</f>
        <v/>
      </c>
      <c r="W25" s="331" t="str">
        <f>IFERROR(VLOOKUP(X25,пр.взв!$B$7:$H$38,5,0),"")</f>
        <v/>
      </c>
      <c r="X25" s="334">
        <v>20</v>
      </c>
      <c r="Y25" s="96"/>
      <c r="Z25" s="97"/>
      <c r="AA25" s="92"/>
      <c r="AB25" s="92"/>
      <c r="AC25" s="92"/>
      <c r="AD25" s="92"/>
      <c r="AE25" s="92">
        <f>IF(P30=""," ",IF(P30=R26,R34,R26))</f>
        <v>16</v>
      </c>
    </row>
    <row r="26" spans="1:31" ht="12.75" customHeight="1" thickBot="1">
      <c r="A26" s="362"/>
      <c r="B26" s="332"/>
      <c r="C26" s="332"/>
      <c r="D26" s="332"/>
      <c r="E26" s="117"/>
      <c r="F26" s="128"/>
      <c r="G26" s="116">
        <v>3</v>
      </c>
      <c r="H26" s="106"/>
      <c r="I26" s="113"/>
      <c r="J26" s="154"/>
      <c r="K26" s="352" t="str">
        <f>IFERROR(VLOOKUP(K25,пр.взв!$B$7:$H$38,2,0),"")</f>
        <v>Щербаков Денис Алексеевич</v>
      </c>
      <c r="L26" s="353"/>
      <c r="M26" s="353"/>
      <c r="N26" s="354"/>
      <c r="O26" s="114"/>
      <c r="P26" s="104"/>
      <c r="Q26" s="96"/>
      <c r="R26" s="116">
        <v>4</v>
      </c>
      <c r="S26" s="104"/>
      <c r="T26" s="117"/>
      <c r="U26" s="332"/>
      <c r="V26" s="332"/>
      <c r="W26" s="332"/>
      <c r="X26" s="335"/>
      <c r="Y26" s="96"/>
      <c r="Z26" s="97"/>
      <c r="AA26" s="94" t="str">
        <f>IF(OR(P30=X23,P30=X25)," ",IF(T24=X23,X25,X23))</f>
        <v xml:space="preserve"> </v>
      </c>
      <c r="AB26" s="95">
        <f>IF(AA26=" ",AA27,AA26)</f>
        <v>28</v>
      </c>
      <c r="AC26" s="92"/>
      <c r="AD26" s="92"/>
      <c r="AE26" s="92">
        <f>IF(K22=""," ",IF(K22=I14,I30,I14))</f>
        <v>1</v>
      </c>
    </row>
    <row r="27" spans="1:31" ht="12.75" customHeight="1" thickBot="1">
      <c r="A27" s="363">
        <v>11</v>
      </c>
      <c r="B27" s="338" t="str">
        <f>IFERROR(VLOOKUP(A27,пр.взв!$B$7:$H$38,2,0),"")</f>
        <v>Шахбазов Ислам Асланбекович</v>
      </c>
      <c r="C27" s="338" t="str">
        <f>IFERROR(VLOOKUP(A27,пр.взв!$B$7:$H$38,3,0),"")</f>
        <v>11.07.98, кмс</v>
      </c>
      <c r="D27" s="338" t="str">
        <f>IFERROR(VLOOKUP(A27,пр.взв!$B$7:$H$38,5,0),"")</f>
        <v>Тверская, Кашин</v>
      </c>
      <c r="E27" s="96"/>
      <c r="F27" s="117"/>
      <c r="G27" s="123" t="s">
        <v>181</v>
      </c>
      <c r="H27" s="131"/>
      <c r="I27" s="132"/>
      <c r="J27" s="154"/>
      <c r="K27" s="355"/>
      <c r="L27" s="356"/>
      <c r="M27" s="356"/>
      <c r="N27" s="357"/>
      <c r="O27" s="114"/>
      <c r="P27" s="130"/>
      <c r="Q27" s="127"/>
      <c r="R27" s="123" t="s">
        <v>181</v>
      </c>
      <c r="S27" s="104"/>
      <c r="T27" s="96"/>
      <c r="U27" s="338" t="str">
        <f>IFERROR(VLOOKUP(X27,пр.взв!$B$7:$H$38,2,0),"")</f>
        <v>Макаров Артем Юрьевич</v>
      </c>
      <c r="V27" s="338" t="str">
        <f>IFERROR(VLOOKUP(X27,пр.взв!$B$7:$H$38,3,0),"")</f>
        <v>07.08.97, кмс</v>
      </c>
      <c r="W27" s="338" t="str">
        <f>IFERROR(VLOOKUP(X27,пр.взв!$B$7:$H$38,5,0),"")</f>
        <v>Тверская, Кимры</v>
      </c>
      <c r="X27" s="333">
        <v>12</v>
      </c>
      <c r="Y27" s="96"/>
      <c r="Z27" s="97"/>
      <c r="AA27" s="94">
        <f>IF(OR(P30=X27,P30=X29)," ",IF(T28=X27,X29,X27))</f>
        <v>28</v>
      </c>
      <c r="AB27" s="95">
        <f>IF(OR(AA26=" ",AA27=" "),AA28,AA27)</f>
        <v>24</v>
      </c>
      <c r="AC27" s="94">
        <f>IF(AND(OR(T24=P30,T28=P30),T32=R34),T36,IF(AND(OR(T24=P30,T28=P30),T36=R34),T32,IF(T24=R26,T28,T24)))</f>
        <v>8</v>
      </c>
      <c r="AD27" s="92"/>
      <c r="AE27" s="92"/>
    </row>
    <row r="28" spans="1:31" ht="12.75" customHeight="1">
      <c r="A28" s="361"/>
      <c r="B28" s="339"/>
      <c r="C28" s="339"/>
      <c r="D28" s="339"/>
      <c r="E28" s="116">
        <v>11</v>
      </c>
      <c r="F28" s="135"/>
      <c r="G28" s="117"/>
      <c r="H28" s="119"/>
      <c r="I28" s="136"/>
      <c r="J28" s="106"/>
      <c r="K28" s="155"/>
      <c r="L28" s="151"/>
      <c r="M28" s="114"/>
      <c r="N28" s="114"/>
      <c r="O28" s="139"/>
      <c r="P28" s="130"/>
      <c r="Q28" s="104"/>
      <c r="R28" s="140"/>
      <c r="S28" s="141"/>
      <c r="T28" s="116">
        <v>12</v>
      </c>
      <c r="U28" s="339"/>
      <c r="V28" s="339"/>
      <c r="W28" s="339"/>
      <c r="X28" s="334"/>
      <c r="Y28" s="96"/>
      <c r="Z28" s="97"/>
      <c r="AA28" s="94">
        <f>IF(OR(P30=X31,P30=X33)," ",IF(T32=X31,X33,X31))</f>
        <v>24</v>
      </c>
      <c r="AB28" s="95">
        <f>IF(OR(AA26=" ",AA27=" ",AA28=" "),AA29,AA28)</f>
        <v>32</v>
      </c>
      <c r="AC28" s="92"/>
      <c r="AD28" s="92"/>
      <c r="AE28" s="92"/>
    </row>
    <row r="29" spans="1:31" ht="12.75" customHeight="1" thickBot="1">
      <c r="A29" s="361">
        <v>27</v>
      </c>
      <c r="B29" s="331" t="str">
        <f>IFERROR(VLOOKUP(A29,пр.взв!$B$7:$H$38,2,0),"")</f>
        <v/>
      </c>
      <c r="C29" s="331" t="str">
        <f>IFERROR(VLOOKUP(A29,пр.взв!$B$7:$H$38,3,0),"")</f>
        <v/>
      </c>
      <c r="D29" s="331" t="str">
        <f>IFERROR(VLOOKUP(A29,пр.взв!$B$7:$H$38,5,0),"")</f>
        <v/>
      </c>
      <c r="E29" s="123"/>
      <c r="F29" s="117"/>
      <c r="G29" s="117"/>
      <c r="H29" s="120"/>
      <c r="I29" s="136"/>
      <c r="J29" s="113"/>
      <c r="K29" s="155"/>
      <c r="L29" s="151"/>
      <c r="M29" s="114"/>
      <c r="N29" s="114"/>
      <c r="O29" s="139"/>
      <c r="P29" s="130"/>
      <c r="Q29" s="104"/>
      <c r="R29" s="96"/>
      <c r="S29" s="96"/>
      <c r="T29" s="123"/>
      <c r="U29" s="331" t="str">
        <f>IFERROR(VLOOKUP(X29,пр.взв!$B$7:$H$38,2,0),"")</f>
        <v/>
      </c>
      <c r="V29" s="331" t="str">
        <f>IFERROR(VLOOKUP(X29,пр.взв!$B$7:$H$38,3,0),"")</f>
        <v/>
      </c>
      <c r="W29" s="331" t="str">
        <f>IFERROR(VLOOKUP(X29,пр.взв!$B$7:$H$38,5,0),"")</f>
        <v/>
      </c>
      <c r="X29" s="334">
        <v>28</v>
      </c>
      <c r="Y29" s="96"/>
      <c r="Z29" s="97"/>
      <c r="AA29" s="94">
        <f>IF(OR(P30=X35,P30=X37)," ",IF(T36=X35,X37,X35))</f>
        <v>32</v>
      </c>
      <c r="AB29" s="92"/>
      <c r="AC29" s="92"/>
      <c r="AD29" s="92"/>
      <c r="AE29" s="92"/>
    </row>
    <row r="30" spans="1:31" ht="12.75" customHeight="1" thickBot="1">
      <c r="A30" s="362"/>
      <c r="B30" s="332"/>
      <c r="C30" s="332"/>
      <c r="D30" s="332"/>
      <c r="E30" s="117"/>
      <c r="F30" s="117"/>
      <c r="G30" s="128"/>
      <c r="H30" s="122"/>
      <c r="I30" s="116">
        <v>3</v>
      </c>
      <c r="J30" s="156"/>
      <c r="K30" s="143"/>
      <c r="L30" s="104"/>
      <c r="M30" s="114"/>
      <c r="N30" s="114"/>
      <c r="O30" s="157"/>
      <c r="P30" s="116">
        <v>4</v>
      </c>
      <c r="Q30" s="104"/>
      <c r="R30" s="96"/>
      <c r="S30" s="96"/>
      <c r="T30" s="117"/>
      <c r="U30" s="332"/>
      <c r="V30" s="332"/>
      <c r="W30" s="332"/>
      <c r="X30" s="335"/>
      <c r="Y30" s="96"/>
      <c r="Z30" s="97"/>
    </row>
    <row r="31" spans="1:31" ht="12.75" customHeight="1" thickBot="1">
      <c r="A31" s="363">
        <v>7</v>
      </c>
      <c r="B31" s="338" t="str">
        <f>IFERROR(VLOOKUP(A31,пр.взв!$B$7:$H$38,2,0),"")</f>
        <v>Фролов Кирилл Михайлович</v>
      </c>
      <c r="C31" s="338" t="str">
        <f>IFERROR(VLOOKUP(A31,пр.взв!$B$7:$H$38,3,0),"")</f>
        <v>06.11.98, кмс</v>
      </c>
      <c r="D31" s="338" t="str">
        <f>IFERROR(VLOOKUP(A31,пр.взв!$B$7:$H$38,5,0),"")</f>
        <v>Москва, ГБОУ ЦО "Самбо-70"</v>
      </c>
      <c r="E31" s="96"/>
      <c r="F31" s="96"/>
      <c r="G31" s="117"/>
      <c r="H31" s="113"/>
      <c r="I31" s="123" t="s">
        <v>181</v>
      </c>
      <c r="J31" s="122"/>
      <c r="K31" s="104"/>
      <c r="L31" s="104"/>
      <c r="M31" s="114"/>
      <c r="N31" s="114"/>
      <c r="O31" s="114"/>
      <c r="P31" s="123" t="s">
        <v>181</v>
      </c>
      <c r="Q31" s="104"/>
      <c r="R31" s="96"/>
      <c r="S31" s="96"/>
      <c r="T31" s="96"/>
      <c r="U31" s="338" t="str">
        <f>IFERROR(VLOOKUP(X31,пр.взв!$B$7:$H$38,2,0),"")</f>
        <v>Магомедкеримов Вагаб Гераклиевич</v>
      </c>
      <c r="V31" s="338" t="str">
        <f>IFERROR(VLOOKUP(X31,пр.взв!$B$7:$H$38,3,0),"")</f>
        <v>21.10.99, кмс</v>
      </c>
      <c r="W31" s="338" t="str">
        <f>IFERROR(VLOOKUP(X31,пр.взв!$B$7:$H$38,5,0),"")</f>
        <v>Тверская, Тверь</v>
      </c>
      <c r="X31" s="333">
        <v>8</v>
      </c>
      <c r="Y31" s="96"/>
      <c r="Z31" s="97"/>
    </row>
    <row r="32" spans="1:31" ht="12.75" customHeight="1">
      <c r="A32" s="361"/>
      <c r="B32" s="339"/>
      <c r="C32" s="339"/>
      <c r="D32" s="339"/>
      <c r="E32" s="116">
        <v>7</v>
      </c>
      <c r="F32" s="117"/>
      <c r="G32" s="117"/>
      <c r="H32" s="125"/>
      <c r="I32" s="97"/>
      <c r="J32" s="328" t="s">
        <v>3</v>
      </c>
      <c r="K32" s="96"/>
      <c r="L32" s="96"/>
      <c r="M32" s="96"/>
      <c r="N32" s="96"/>
      <c r="O32" s="96"/>
      <c r="P32" s="104"/>
      <c r="Q32" s="143"/>
      <c r="R32" s="96"/>
      <c r="S32" s="96"/>
      <c r="T32" s="116">
        <v>8</v>
      </c>
      <c r="U32" s="339"/>
      <c r="V32" s="339"/>
      <c r="W32" s="339"/>
      <c r="X32" s="334"/>
      <c r="Y32" s="96"/>
      <c r="Z32" s="97"/>
    </row>
    <row r="33" spans="1:43" ht="12.75" customHeight="1" thickBot="1">
      <c r="A33" s="361">
        <v>23</v>
      </c>
      <c r="B33" s="331" t="str">
        <f>IFERROR(VLOOKUP(A33,пр.взв!$B$7:$H$38,2,0),"")</f>
        <v/>
      </c>
      <c r="C33" s="331" t="str">
        <f>IFERROR(VLOOKUP(A33,пр.взв!$B$7:$H$38,3,0),"")</f>
        <v/>
      </c>
      <c r="D33" s="331" t="str">
        <f>IFERROR(VLOOKUP(A33,пр.взв!$B$7:$H$38,5,0),"")</f>
        <v/>
      </c>
      <c r="E33" s="123"/>
      <c r="F33" s="124"/>
      <c r="G33" s="117"/>
      <c r="H33" s="145"/>
      <c r="I33" s="104"/>
      <c r="J33" s="328"/>
      <c r="K33" s="158">
        <f>AE20</f>
        <v>18</v>
      </c>
      <c r="L33" s="159"/>
      <c r="M33" s="159"/>
      <c r="N33" s="159"/>
      <c r="O33" s="159"/>
      <c r="P33" s="96"/>
      <c r="Q33" s="143"/>
      <c r="R33" s="126"/>
      <c r="S33" s="127"/>
      <c r="T33" s="123"/>
      <c r="U33" s="331" t="str">
        <f>IFERROR(VLOOKUP(X33,пр.взв!$B$7:$H$38,2,0),"")</f>
        <v/>
      </c>
      <c r="V33" s="331" t="str">
        <f>IFERROR(VLOOKUP(X33,пр.взв!$B$7:$H$38,3,0),"")</f>
        <v/>
      </c>
      <c r="W33" s="331" t="str">
        <f>IFERROR(VLOOKUP(X33,пр.взв!$B$7:$H$38,5,0),"")</f>
        <v/>
      </c>
      <c r="X33" s="334">
        <v>24</v>
      </c>
      <c r="Y33" s="96"/>
      <c r="Z33" s="97"/>
    </row>
    <row r="34" spans="1:43" ht="12.75" customHeight="1" thickBot="1">
      <c r="A34" s="362"/>
      <c r="B34" s="332"/>
      <c r="C34" s="332"/>
      <c r="D34" s="332"/>
      <c r="E34" s="117"/>
      <c r="F34" s="128"/>
      <c r="G34" s="116">
        <v>15</v>
      </c>
      <c r="H34" s="111"/>
      <c r="I34" s="104"/>
      <c r="J34" s="104"/>
      <c r="K34" s="105"/>
      <c r="L34" s="106">
        <v>18</v>
      </c>
      <c r="M34" s="104"/>
      <c r="N34" s="104"/>
      <c r="O34" s="160"/>
      <c r="P34" s="96"/>
      <c r="Q34" s="157"/>
      <c r="R34" s="116">
        <v>16</v>
      </c>
      <c r="S34" s="104"/>
      <c r="T34" s="117"/>
      <c r="U34" s="332"/>
      <c r="V34" s="332"/>
      <c r="W34" s="332"/>
      <c r="X34" s="335"/>
      <c r="Y34" s="96"/>
      <c r="Z34" s="97"/>
    </row>
    <row r="35" spans="1:43" ht="12.75" customHeight="1" thickBot="1">
      <c r="A35" s="363">
        <v>15</v>
      </c>
      <c r="B35" s="338" t="str">
        <f>IFERROR(VLOOKUP(A35,пр.взв!$B$7:$H$38,2,0),"")</f>
        <v>Матвеев Александр Петрович</v>
      </c>
      <c r="C35" s="338" t="str">
        <f>IFERROR(VLOOKUP(A35,пр.взв!$B$7:$H$38,3,0),"")</f>
        <v>27.04.98, кмс</v>
      </c>
      <c r="D35" s="338" t="str">
        <f>IFERROR(VLOOKUP(A35,пр.взв!$B$7:$H$38,5,0),"")</f>
        <v>Вологодская, Вологда</v>
      </c>
      <c r="E35" s="96"/>
      <c r="F35" s="117"/>
      <c r="G35" s="123" t="s">
        <v>182</v>
      </c>
      <c r="H35" s="120"/>
      <c r="I35" s="104"/>
      <c r="J35" s="104"/>
      <c r="K35" s="111">
        <f>AE21</f>
        <v>10</v>
      </c>
      <c r="L35" s="105"/>
      <c r="M35" s="106">
        <v>6</v>
      </c>
      <c r="N35" s="122"/>
      <c r="O35" s="113"/>
      <c r="P35" s="96"/>
      <c r="Q35" s="114"/>
      <c r="R35" s="123" t="s">
        <v>181</v>
      </c>
      <c r="S35" s="104"/>
      <c r="T35" s="96"/>
      <c r="U35" s="338" t="str">
        <f>IFERROR(VLOOKUP(X35,пр.взв!$B$7:$H$38,2,0),"")</f>
        <v>Айриян Николай Сержикович</v>
      </c>
      <c r="V35" s="338" t="str">
        <f>IFERROR(VLOOKUP(X35,пр.взв!$B$7:$H$38,3,0),"")</f>
        <v>21.03.87, кмс</v>
      </c>
      <c r="W35" s="338" t="str">
        <f>IFERROR(VLOOKUP(X35,пр.взв!$B$7:$H$38,5,0),"")</f>
        <v>Московская, Дубна</v>
      </c>
      <c r="X35" s="333">
        <v>16</v>
      </c>
      <c r="Y35" s="96"/>
      <c r="Z35" s="97"/>
    </row>
    <row r="36" spans="1:43" ht="12.75" customHeight="1">
      <c r="A36" s="361"/>
      <c r="B36" s="339"/>
      <c r="C36" s="339"/>
      <c r="D36" s="339"/>
      <c r="E36" s="116">
        <v>15</v>
      </c>
      <c r="F36" s="135"/>
      <c r="G36" s="117"/>
      <c r="H36" s="119"/>
      <c r="I36" s="104"/>
      <c r="J36" s="104"/>
      <c r="K36" s="120"/>
      <c r="L36" s="121">
        <f>AE24</f>
        <v>6</v>
      </c>
      <c r="M36" s="105"/>
      <c r="N36" s="122"/>
      <c r="O36" s="114"/>
      <c r="P36" s="96"/>
      <c r="Q36" s="114"/>
      <c r="R36" s="140"/>
      <c r="S36" s="141"/>
      <c r="T36" s="116">
        <v>16</v>
      </c>
      <c r="U36" s="339"/>
      <c r="V36" s="339"/>
      <c r="W36" s="339"/>
      <c r="X36" s="334"/>
      <c r="Y36" s="96"/>
      <c r="Z36" s="97"/>
    </row>
    <row r="37" spans="1:43" ht="12.75" customHeight="1" thickBot="1">
      <c r="A37" s="361">
        <v>31</v>
      </c>
      <c r="B37" s="331" t="str">
        <f>IFERROR(VLOOKUP(A37,пр.взв!$B$7:$H$38,2,0),"")</f>
        <v/>
      </c>
      <c r="C37" s="331" t="str">
        <f>IFERROR(VLOOKUP(A37,пр.взв!$B$7:$H$38,3,0),"")</f>
        <v/>
      </c>
      <c r="D37" s="331" t="str">
        <f>IFERROR(VLOOKUP(A37,пр.взв!$B$7:$H$38,5,0),"")</f>
        <v/>
      </c>
      <c r="E37" s="123"/>
      <c r="F37" s="117"/>
      <c r="G37" s="117"/>
      <c r="H37" s="120"/>
      <c r="I37" s="104"/>
      <c r="J37" s="104"/>
      <c r="K37" s="289">
        <f>AE22</f>
        <v>20</v>
      </c>
      <c r="L37" s="120"/>
      <c r="M37" s="125"/>
      <c r="N37" s="106">
        <v>6</v>
      </c>
      <c r="O37" s="114"/>
      <c r="P37" s="96"/>
      <c r="Q37" s="96"/>
      <c r="R37" s="96"/>
      <c r="S37" s="96"/>
      <c r="T37" s="123"/>
      <c r="U37" s="331" t="str">
        <f>IFERROR(VLOOKUP(X37,пр.взв!$B$7:$H$38,2,0),"")</f>
        <v/>
      </c>
      <c r="V37" s="331" t="str">
        <f>IFERROR(VLOOKUP(X37,пр.взв!$B$7:$H$38,3,0),"")</f>
        <v/>
      </c>
      <c r="W37" s="331" t="str">
        <f>IFERROR(VLOOKUP(X37,пр.взв!$B$7:$H$38,5,0),"")</f>
        <v/>
      </c>
      <c r="X37" s="334">
        <v>32</v>
      </c>
      <c r="Y37" s="96"/>
      <c r="Z37" s="97"/>
    </row>
    <row r="38" spans="1:43" ht="12.75" customHeight="1" thickBot="1">
      <c r="A38" s="362"/>
      <c r="B38" s="332"/>
      <c r="C38" s="332"/>
      <c r="D38" s="332"/>
      <c r="E38" s="117"/>
      <c r="F38" s="117"/>
      <c r="G38" s="117"/>
      <c r="H38" s="119"/>
      <c r="I38" s="104"/>
      <c r="J38" s="104"/>
      <c r="K38" s="105"/>
      <c r="L38" s="106">
        <v>12</v>
      </c>
      <c r="M38" s="130"/>
      <c r="N38" s="105"/>
      <c r="O38" s="104"/>
      <c r="P38" s="96"/>
      <c r="Q38" s="128"/>
      <c r="R38" s="96"/>
      <c r="S38" s="96"/>
      <c r="T38" s="117"/>
      <c r="U38" s="332"/>
      <c r="V38" s="332"/>
      <c r="W38" s="332"/>
      <c r="X38" s="335"/>
      <c r="Y38" s="96"/>
      <c r="Z38" s="97"/>
      <c r="AA38" s="90"/>
    </row>
    <row r="39" spans="1:43" ht="12.75" customHeight="1" thickBot="1">
      <c r="A39" s="161"/>
      <c r="B39" s="161"/>
      <c r="C39" s="161"/>
      <c r="D39" s="96"/>
      <c r="E39" s="117"/>
      <c r="F39" s="117"/>
      <c r="G39" s="117"/>
      <c r="H39" s="104"/>
      <c r="I39" s="122"/>
      <c r="J39" s="113"/>
      <c r="K39" s="111">
        <f>AE23</f>
        <v>12</v>
      </c>
      <c r="L39" s="105"/>
      <c r="M39" s="111">
        <v>16</v>
      </c>
      <c r="N39" s="130"/>
      <c r="O39" s="133">
        <v>6</v>
      </c>
      <c r="P39" s="162">
        <f>O39</f>
        <v>6</v>
      </c>
      <c r="Q39" s="117"/>
      <c r="R39" s="104"/>
      <c r="S39" s="96"/>
      <c r="T39" s="96"/>
      <c r="U39" s="96"/>
      <c r="V39" s="96"/>
      <c r="W39" s="96"/>
      <c r="X39" s="96"/>
      <c r="Y39" s="96"/>
      <c r="Z39" s="97"/>
    </row>
    <row r="40" spans="1:43" ht="12.75" customHeight="1">
      <c r="A40" s="163" t="str">
        <f>[1]реквизиты!$A$6</f>
        <v>Гл. судья, судья ВК</v>
      </c>
      <c r="B40" s="164"/>
      <c r="C40" s="165"/>
      <c r="D40" s="166"/>
      <c r="E40" s="96"/>
      <c r="F40" s="167" t="str">
        <f>[1]реквизиты!$G$6</f>
        <v xml:space="preserve">Н.Н.Малышев </v>
      </c>
      <c r="G40" s="168"/>
      <c r="H40" s="169"/>
      <c r="I40" s="96"/>
      <c r="J40" s="113"/>
      <c r="K40" s="120"/>
      <c r="L40" s="111">
        <f>AE25</f>
        <v>16</v>
      </c>
      <c r="M40" s="137"/>
      <c r="N40" s="138"/>
      <c r="O40" s="137"/>
      <c r="P40" s="104"/>
      <c r="Q40" s="346" t="str">
        <f>IFERROR(VLOOKUP(P39,пр.взв!$B$7:$H$38,2,0),"")</f>
        <v>Корочанский Данила Дмитриевич</v>
      </c>
      <c r="R40" s="347"/>
      <c r="S40" s="347"/>
      <c r="T40" s="348"/>
      <c r="U40" s="96"/>
      <c r="V40" s="96"/>
      <c r="W40" s="96"/>
      <c r="X40" s="96"/>
      <c r="Y40" s="96"/>
      <c r="Z40" s="97"/>
    </row>
    <row r="41" spans="1:43" ht="12.75" customHeight="1" thickBot="1">
      <c r="A41" s="168"/>
      <c r="B41" s="168"/>
      <c r="C41" s="170"/>
      <c r="D41" s="171"/>
      <c r="E41" s="127"/>
      <c r="F41" s="172" t="str">
        <f>[1]реквизиты!$G$7</f>
        <v>/Дубна /</v>
      </c>
      <c r="G41" s="168"/>
      <c r="H41" s="169"/>
      <c r="I41" s="96"/>
      <c r="J41" s="168"/>
      <c r="K41" s="106"/>
      <c r="L41" s="120"/>
      <c r="M41" s="106"/>
      <c r="N41" s="121">
        <f>AE26</f>
        <v>1</v>
      </c>
      <c r="O41" s="104"/>
      <c r="P41" s="104"/>
      <c r="Q41" s="349"/>
      <c r="R41" s="350"/>
      <c r="S41" s="350"/>
      <c r="T41" s="351"/>
      <c r="U41" s="96"/>
      <c r="V41" s="96"/>
      <c r="W41" s="96"/>
      <c r="X41" s="96"/>
      <c r="Y41" s="96"/>
      <c r="Z41" s="97"/>
    </row>
    <row r="42" spans="1:43" ht="12.75" customHeight="1">
      <c r="A42" s="163" t="str">
        <f>[1]реквизиты!$A$8</f>
        <v>Гл. секретарь, судья ВК</v>
      </c>
      <c r="B42" s="168"/>
      <c r="C42" s="173"/>
      <c r="D42" s="174"/>
      <c r="E42" s="141"/>
      <c r="F42" s="167" t="str">
        <f>[1]реквизиты!$G$8</f>
        <v>А.С.Тимошин</v>
      </c>
      <c r="G42" s="168"/>
      <c r="H42" s="169"/>
      <c r="I42" s="96"/>
      <c r="J42" s="168"/>
      <c r="K42" s="104"/>
      <c r="L42" s="122"/>
      <c r="M42" s="122"/>
      <c r="N42" s="106"/>
      <c r="O42" s="114"/>
      <c r="P42" s="104"/>
      <c r="Q42" s="128"/>
      <c r="R42" s="128" t="s">
        <v>22</v>
      </c>
      <c r="S42" s="96"/>
      <c r="T42" s="96"/>
      <c r="U42" s="96"/>
      <c r="V42" s="96"/>
      <c r="W42" s="96"/>
      <c r="X42" s="96"/>
      <c r="Y42" s="96"/>
      <c r="Z42" s="97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</row>
    <row r="43" spans="1:43" ht="12.75" customHeight="1">
      <c r="A43" s="168"/>
      <c r="B43" s="168"/>
      <c r="C43" s="168"/>
      <c r="D43" s="175"/>
      <c r="E43" s="175"/>
      <c r="F43" s="172" t="str">
        <f>[1]реквизиты!$G$9</f>
        <v>/Рыбинск/</v>
      </c>
      <c r="G43" s="168"/>
      <c r="H43" s="169"/>
      <c r="I43" s="96"/>
      <c r="J43" s="175"/>
      <c r="K43" s="104"/>
      <c r="L43" s="104"/>
      <c r="M43" s="104"/>
      <c r="N43" s="104"/>
      <c r="O43" s="104"/>
      <c r="P43" s="104"/>
      <c r="Q43" s="96"/>
      <c r="R43" s="96"/>
      <c r="S43" s="96"/>
      <c r="T43" s="96"/>
      <c r="U43" s="96"/>
      <c r="V43" s="96"/>
      <c r="W43" s="96"/>
      <c r="X43" s="96"/>
      <c r="Y43" s="96"/>
      <c r="Z43" s="97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</row>
    <row r="44" spans="1:43" ht="14.25" customHeight="1">
      <c r="A44" s="176" t="s">
        <v>105</v>
      </c>
      <c r="B44" s="102"/>
      <c r="C44" s="151"/>
      <c r="D44" s="151"/>
      <c r="E44" s="151"/>
      <c r="F44" s="177"/>
      <c r="G44" s="178"/>
      <c r="H44" s="179"/>
      <c r="I44" s="96"/>
      <c r="J44" s="151"/>
      <c r="K44" s="104"/>
      <c r="L44" s="104"/>
      <c r="M44" s="104"/>
      <c r="N44" s="104"/>
      <c r="O44" s="104"/>
      <c r="P44" s="180"/>
      <c r="Q44" s="104"/>
      <c r="R44" s="104"/>
      <c r="S44" s="104"/>
      <c r="T44" s="104"/>
      <c r="U44" s="104"/>
      <c r="V44" s="206"/>
      <c r="W44" s="104"/>
      <c r="X44" s="104"/>
      <c r="Y44" s="104"/>
      <c r="Z44" s="97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</row>
    <row r="45" spans="1:43" ht="12.75" customHeight="1">
      <c r="A45" s="97"/>
      <c r="B45" s="97"/>
      <c r="C45" s="177"/>
      <c r="D45" s="177"/>
      <c r="E45" s="179"/>
      <c r="F45" s="97"/>
      <c r="G45" s="97"/>
      <c r="H45" s="97"/>
      <c r="I45" s="179"/>
      <c r="J45" s="179"/>
      <c r="K45" s="179"/>
      <c r="L45" s="179"/>
      <c r="M45" s="179"/>
      <c r="N45" s="179"/>
      <c r="O45" s="179"/>
      <c r="P45" s="177"/>
      <c r="Q45" s="177"/>
      <c r="R45" s="177"/>
      <c r="S45" s="177"/>
      <c r="T45" s="177"/>
      <c r="U45" s="177"/>
      <c r="V45" s="178"/>
      <c r="W45" s="177"/>
      <c r="X45" s="177"/>
      <c r="Y45" s="97"/>
      <c r="Z45" s="97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</row>
    <row r="46" spans="1:43" ht="12.75" customHeight="1">
      <c r="A46" s="97"/>
      <c r="B46" s="97"/>
      <c r="C46" s="177"/>
      <c r="D46" s="177"/>
      <c r="E46" s="179"/>
      <c r="F46" s="179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7"/>
      <c r="U46" s="177"/>
      <c r="V46" s="177"/>
      <c r="W46" s="177"/>
      <c r="X46" s="177"/>
      <c r="Y46" s="97"/>
      <c r="Z46" s="97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</row>
    <row r="47" spans="1:43">
      <c r="C47" s="15"/>
      <c r="D47" s="15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15"/>
      <c r="U47" s="15"/>
      <c r="V47" s="15"/>
      <c r="W47" s="15"/>
      <c r="X47" s="15"/>
    </row>
    <row r="48" spans="1:43">
      <c r="C48" s="15"/>
      <c r="D48" s="15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15"/>
      <c r="U48" s="15"/>
      <c r="V48" s="15"/>
      <c r="W48" s="15"/>
      <c r="X48" s="15"/>
    </row>
    <row r="49" spans="3:24">
      <c r="C49" s="15"/>
      <c r="D49" s="15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15"/>
      <c r="U49" s="15"/>
      <c r="V49" s="15"/>
      <c r="W49" s="15"/>
      <c r="X49" s="15"/>
    </row>
    <row r="50" spans="3:24">
      <c r="C50" s="15"/>
      <c r="D50" s="15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15"/>
      <c r="U50" s="15"/>
      <c r="V50" s="15"/>
      <c r="W50" s="15"/>
      <c r="X50" s="15"/>
    </row>
    <row r="51" spans="3:24"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</row>
    <row r="52" spans="3:24"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</row>
    <row r="53" spans="3:24"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</row>
    <row r="54" spans="3:24"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</row>
    <row r="55" spans="3:24"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</row>
    <row r="56" spans="3:24"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</row>
    <row r="57" spans="3:24"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</row>
    <row r="58" spans="3:24"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</row>
    <row r="59" spans="3:24"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</row>
    <row r="60" spans="3:24"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</row>
    <row r="61" spans="3:24"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</row>
    <row r="62" spans="3:24"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</row>
    <row r="63" spans="3:24"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</row>
    <row r="64" spans="3:24"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</row>
    <row r="65" spans="5:19"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</row>
    <row r="66" spans="5:19"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</row>
    <row r="67" spans="5:19">
      <c r="E67" s="29"/>
    </row>
    <row r="68" spans="5:19">
      <c r="E68" s="29"/>
    </row>
    <row r="69" spans="5:19">
      <c r="E69" s="29"/>
    </row>
    <row r="70" spans="5:19">
      <c r="E70" s="29"/>
    </row>
    <row r="71" spans="5:19">
      <c r="E71" s="29"/>
    </row>
    <row r="72" spans="5:19">
      <c r="E72" s="29"/>
    </row>
    <row r="73" spans="5:19">
      <c r="E73" s="29"/>
    </row>
    <row r="74" spans="5:19">
      <c r="E74" s="29"/>
    </row>
    <row r="75" spans="5:19">
      <c r="E75" s="29"/>
    </row>
    <row r="76" spans="5:19">
      <c r="E76" s="29"/>
    </row>
    <row r="77" spans="5:19">
      <c r="E77" s="29"/>
    </row>
    <row r="78" spans="5:19">
      <c r="E78" s="29"/>
    </row>
    <row r="79" spans="5:19">
      <c r="E79" s="29"/>
    </row>
    <row r="80" spans="5:19">
      <c r="E80" s="29"/>
    </row>
    <row r="81" spans="5:5">
      <c r="E81" s="29"/>
    </row>
    <row r="82" spans="5:5">
      <c r="E82" s="29"/>
    </row>
    <row r="83" spans="5:5">
      <c r="E83" s="29"/>
    </row>
  </sheetData>
  <sheetProtection formatCells="0" formatColumns="0" formatRows="0" insertColumns="0" insertRows="0" insertHyperlinks="0" deleteColumns="0" deleteRows="0" sort="0" autoFilter="0" pivotTables="0"/>
  <mergeCells count="146">
    <mergeCell ref="C3:U3"/>
    <mergeCell ref="X9:X10"/>
    <mergeCell ref="X15:X16"/>
    <mergeCell ref="A1:X1"/>
    <mergeCell ref="V4:W5"/>
    <mergeCell ref="A2:X2"/>
    <mergeCell ref="X5:X6"/>
    <mergeCell ref="P5:S6"/>
    <mergeCell ref="V3:W3"/>
    <mergeCell ref="A5:A6"/>
    <mergeCell ref="F4:S4"/>
    <mergeCell ref="L16:M16"/>
    <mergeCell ref="U15:U16"/>
    <mergeCell ref="V13:V14"/>
    <mergeCell ref="C15:C16"/>
    <mergeCell ref="D11:D12"/>
    <mergeCell ref="D13:D14"/>
    <mergeCell ref="C11:C12"/>
    <mergeCell ref="C13:C14"/>
    <mergeCell ref="D15:D16"/>
    <mergeCell ref="A9:A10"/>
    <mergeCell ref="B9:B10"/>
    <mergeCell ref="C9:C10"/>
    <mergeCell ref="A7:A8"/>
    <mergeCell ref="B7:B8"/>
    <mergeCell ref="X37:X38"/>
    <mergeCell ref="W37:W38"/>
    <mergeCell ref="X21:X22"/>
    <mergeCell ref="X33:X34"/>
    <mergeCell ref="X27:X28"/>
    <mergeCell ref="X29:X30"/>
    <mergeCell ref="X35:X36"/>
    <mergeCell ref="W27:W28"/>
    <mergeCell ref="W29:W30"/>
    <mergeCell ref="X31:X32"/>
    <mergeCell ref="W21:W22"/>
    <mergeCell ref="W35:W36"/>
    <mergeCell ref="W33:W34"/>
    <mergeCell ref="W25:W26"/>
    <mergeCell ref="W31:W32"/>
    <mergeCell ref="C7:C8"/>
    <mergeCell ref="D7:D8"/>
    <mergeCell ref="D17:D18"/>
    <mergeCell ref="C29:C30"/>
    <mergeCell ref="B35:B36"/>
    <mergeCell ref="C35:C36"/>
    <mergeCell ref="D37:D38"/>
    <mergeCell ref="U37:U38"/>
    <mergeCell ref="A15:A16"/>
    <mergeCell ref="A13:A14"/>
    <mergeCell ref="B13:B14"/>
    <mergeCell ref="B11:B12"/>
    <mergeCell ref="A11:A12"/>
    <mergeCell ref="B15:B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D35:D36"/>
    <mergeCell ref="U35:U36"/>
    <mergeCell ref="V35:V36"/>
    <mergeCell ref="A25:A26"/>
    <mergeCell ref="B25:B26"/>
    <mergeCell ref="C25:C26"/>
    <mergeCell ref="A37:A38"/>
    <mergeCell ref="B37:B38"/>
    <mergeCell ref="C37:C38"/>
    <mergeCell ref="A31:A32"/>
    <mergeCell ref="B31:B32"/>
    <mergeCell ref="C31:C32"/>
    <mergeCell ref="A33:A34"/>
    <mergeCell ref="B33:B34"/>
    <mergeCell ref="C33:C34"/>
    <mergeCell ref="A35:A36"/>
    <mergeCell ref="A27:A28"/>
    <mergeCell ref="B27:B28"/>
    <mergeCell ref="C27:C28"/>
    <mergeCell ref="A29:A30"/>
    <mergeCell ref="B29:B30"/>
    <mergeCell ref="D21:D22"/>
    <mergeCell ref="D23:D24"/>
    <mergeCell ref="K26:N27"/>
    <mergeCell ref="L24:M24"/>
    <mergeCell ref="L20:M20"/>
    <mergeCell ref="D33:D34"/>
    <mergeCell ref="D25:D26"/>
    <mergeCell ref="V31:V32"/>
    <mergeCell ref="U33:U34"/>
    <mergeCell ref="V33:V34"/>
    <mergeCell ref="U27:U28"/>
    <mergeCell ref="V27:V28"/>
    <mergeCell ref="U29:U30"/>
    <mergeCell ref="V29:V30"/>
    <mergeCell ref="U25:U26"/>
    <mergeCell ref="D27:D28"/>
    <mergeCell ref="D29:D30"/>
    <mergeCell ref="J32:J33"/>
    <mergeCell ref="U31:U32"/>
    <mergeCell ref="D31:D32"/>
    <mergeCell ref="Q40:T41"/>
    <mergeCell ref="V9:V10"/>
    <mergeCell ref="V19:V20"/>
    <mergeCell ref="U21:U22"/>
    <mergeCell ref="V21:V22"/>
    <mergeCell ref="U23:U24"/>
    <mergeCell ref="V23:V24"/>
    <mergeCell ref="U11:U12"/>
    <mergeCell ref="V11:V12"/>
    <mergeCell ref="U9:U10"/>
    <mergeCell ref="U13:U14"/>
    <mergeCell ref="U19:U20"/>
    <mergeCell ref="U17:U18"/>
    <mergeCell ref="V37:V38"/>
    <mergeCell ref="W23:W24"/>
    <mergeCell ref="V25:V26"/>
    <mergeCell ref="X7:X8"/>
    <mergeCell ref="W17:W18"/>
    <mergeCell ref="V15:V16"/>
    <mergeCell ref="V17:V18"/>
    <mergeCell ref="W13:W14"/>
    <mergeCell ref="X17:X18"/>
    <mergeCell ref="X25:X26"/>
    <mergeCell ref="X23:X24"/>
    <mergeCell ref="V7:V8"/>
    <mergeCell ref="I5:I6"/>
    <mergeCell ref="U4:U5"/>
    <mergeCell ref="D9:D10"/>
    <mergeCell ref="X19:X20"/>
    <mergeCell ref="X11:X12"/>
    <mergeCell ref="X13:X14"/>
    <mergeCell ref="W7:W8"/>
    <mergeCell ref="W9:W10"/>
    <mergeCell ref="U7:U8"/>
    <mergeCell ref="W11:W12"/>
    <mergeCell ref="W15:W16"/>
    <mergeCell ref="W19:W20"/>
    <mergeCell ref="D19:D20"/>
    <mergeCell ref="K18:N19"/>
  </mergeCells>
  <phoneticPr fontId="0" type="noConversion"/>
  <conditionalFormatting sqref="I22">
    <cfRule type="cellIs" dxfId="2" priority="2" operator="greaterThanOrEqual">
      <formula>1</formula>
    </cfRule>
  </conditionalFormatting>
  <printOptions horizontalCentered="1" verticalCentered="1"/>
  <pageMargins left="0" right="0" top="0" bottom="0" header="0.51181102362204722" footer="0.51181102362204722"/>
  <pageSetup paperSize="9" scale="64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112"/>
  <sheetViews>
    <sheetView topLeftCell="A100" workbookViewId="0">
      <selection activeCell="F119" sqref="F119"/>
    </sheetView>
  </sheetViews>
  <sheetFormatPr defaultRowHeight="12.75"/>
  <cols>
    <col min="1" max="1" width="4" customWidth="1"/>
    <col min="2" max="2" width="4.28515625" customWidth="1"/>
    <col min="3" max="3" width="22.7109375" customWidth="1"/>
    <col min="5" max="5" width="6.42578125" hidden="1" customWidth="1"/>
    <col min="6" max="6" width="20.42578125" customWidth="1"/>
    <col min="7" max="7" width="25.7109375" customWidth="1"/>
    <col min="8" max="8" width="5.28515625" customWidth="1"/>
    <col min="9" max="9" width="5.140625" customWidth="1"/>
    <col min="10" max="10" width="6.28515625" customWidth="1"/>
    <col min="11" max="11" width="3.7109375" customWidth="1"/>
    <col min="12" max="12" width="4" customWidth="1"/>
    <col min="13" max="13" width="21.42578125" customWidth="1"/>
    <col min="14" max="14" width="8.85546875" customWidth="1"/>
    <col min="15" max="15" width="7.140625" hidden="1" customWidth="1"/>
    <col min="16" max="16" width="21.140625" customWidth="1"/>
    <col min="17" max="17" width="25.7109375" customWidth="1"/>
    <col min="18" max="18" width="5.140625" customWidth="1"/>
    <col min="19" max="19" width="5.42578125" customWidth="1"/>
    <col min="20" max="20" width="6.28515625" customWidth="1"/>
  </cols>
  <sheetData>
    <row r="1" spans="1:20" ht="15.75" customHeight="1">
      <c r="B1" s="498" t="s">
        <v>38</v>
      </c>
      <c r="C1" s="498"/>
      <c r="D1" s="498"/>
      <c r="E1" s="498"/>
      <c r="F1" s="498"/>
      <c r="G1" s="498"/>
      <c r="H1" s="498"/>
      <c r="I1" s="498"/>
      <c r="J1" s="498"/>
      <c r="L1" s="498" t="s">
        <v>38</v>
      </c>
      <c r="M1" s="498"/>
      <c r="N1" s="498"/>
      <c r="O1" s="498"/>
      <c r="P1" s="498"/>
      <c r="Q1" s="498"/>
      <c r="R1" s="498"/>
      <c r="S1" s="498"/>
      <c r="T1" s="498"/>
    </row>
    <row r="2" spans="1:20" ht="15.75" customHeight="1">
      <c r="B2" s="267">
        <v>0</v>
      </c>
      <c r="C2" s="268" t="s">
        <v>108</v>
      </c>
      <c r="D2" s="268"/>
      <c r="E2" s="393" t="str">
        <f>пр.взв!D4</f>
        <v>В.к. 68 кг.</v>
      </c>
      <c r="F2" s="393"/>
      <c r="G2" s="268"/>
      <c r="H2" s="268"/>
      <c r="I2" s="268"/>
      <c r="J2" s="268"/>
      <c r="L2" s="267">
        <f>B2</f>
        <v>0</v>
      </c>
      <c r="M2" s="268" t="s">
        <v>108</v>
      </c>
      <c r="N2" s="268"/>
      <c r="O2" s="393" t="str">
        <f>E2</f>
        <v>В.к. 68 кг.</v>
      </c>
      <c r="P2" s="393"/>
      <c r="Q2" s="268"/>
      <c r="R2" s="268"/>
      <c r="S2" s="268"/>
      <c r="T2" s="268"/>
    </row>
    <row r="3" spans="1:20" ht="18.75" thickBot="1">
      <c r="B3" s="269" t="s">
        <v>31</v>
      </c>
      <c r="C3" s="74" t="s">
        <v>39</v>
      </c>
      <c r="D3" s="73" t="s">
        <v>32</v>
      </c>
      <c r="E3" s="73"/>
      <c r="F3" s="74"/>
      <c r="G3" s="72"/>
      <c r="H3" s="74"/>
      <c r="I3" s="74"/>
      <c r="J3" s="74"/>
      <c r="K3" s="74"/>
      <c r="L3" s="269" t="s">
        <v>1</v>
      </c>
      <c r="M3" s="74" t="s">
        <v>39</v>
      </c>
      <c r="N3" s="73" t="s">
        <v>32</v>
      </c>
      <c r="O3" s="73"/>
      <c r="P3" s="74"/>
      <c r="Q3" s="72"/>
      <c r="R3" s="74"/>
      <c r="S3" s="74"/>
      <c r="T3" s="74"/>
    </row>
    <row r="4" spans="1:20" ht="12.75" customHeight="1">
      <c r="A4" s="443" t="s">
        <v>40</v>
      </c>
      <c r="B4" s="445" t="s">
        <v>4</v>
      </c>
      <c r="C4" s="439" t="s">
        <v>5</v>
      </c>
      <c r="D4" s="391" t="s">
        <v>14</v>
      </c>
      <c r="E4" s="451" t="s">
        <v>15</v>
      </c>
      <c r="F4" s="452"/>
      <c r="G4" s="439" t="s">
        <v>16</v>
      </c>
      <c r="H4" s="441" t="s">
        <v>41</v>
      </c>
      <c r="I4" s="434" t="s">
        <v>17</v>
      </c>
      <c r="J4" s="436" t="s">
        <v>18</v>
      </c>
      <c r="K4" s="443" t="s">
        <v>40</v>
      </c>
      <c r="L4" s="445" t="s">
        <v>4</v>
      </c>
      <c r="M4" s="439" t="s">
        <v>5</v>
      </c>
      <c r="N4" s="391" t="s">
        <v>14</v>
      </c>
      <c r="O4" s="451" t="s">
        <v>15</v>
      </c>
      <c r="P4" s="452"/>
      <c r="Q4" s="439" t="s">
        <v>16</v>
      </c>
      <c r="R4" s="441" t="s">
        <v>41</v>
      </c>
      <c r="S4" s="434" t="s">
        <v>17</v>
      </c>
      <c r="T4" s="436" t="s">
        <v>18</v>
      </c>
    </row>
    <row r="5" spans="1:20" ht="13.5" customHeight="1" thickBot="1">
      <c r="A5" s="444"/>
      <c r="B5" s="474" t="s">
        <v>34</v>
      </c>
      <c r="C5" s="440"/>
      <c r="D5" s="409"/>
      <c r="E5" s="453"/>
      <c r="F5" s="454"/>
      <c r="G5" s="440"/>
      <c r="H5" s="442"/>
      <c r="I5" s="435"/>
      <c r="J5" s="437" t="s">
        <v>35</v>
      </c>
      <c r="K5" s="444"/>
      <c r="L5" s="474" t="s">
        <v>34</v>
      </c>
      <c r="M5" s="440"/>
      <c r="N5" s="409"/>
      <c r="O5" s="453"/>
      <c r="P5" s="454"/>
      <c r="Q5" s="440"/>
      <c r="R5" s="442"/>
      <c r="S5" s="435"/>
      <c r="T5" s="437" t="s">
        <v>35</v>
      </c>
    </row>
    <row r="6" spans="1:20" ht="12.75" customHeight="1">
      <c r="A6" s="467">
        <v>1</v>
      </c>
      <c r="B6" s="477">
        <v>1</v>
      </c>
      <c r="C6" s="496" t="str">
        <f>IFERROR(VLOOKUP(B6,пр.взв!$B$7:$H$38,2,0),"")</f>
        <v>Шайхов Абдулло Пулодович</v>
      </c>
      <c r="D6" s="462" t="str">
        <f>IFERROR(VLOOKUP(B6,пр.взв!$B$7:$H$38,3,0),"")</f>
        <v>28.12.90, мс</v>
      </c>
      <c r="E6" s="396" t="str">
        <f>IFERROR(VLOOKUP(B6,пр.взв!$B$7:$H$38,4,0),"")</f>
        <v>ЦФО</v>
      </c>
      <c r="F6" s="405" t="str">
        <f>IFERROR(VLOOKUP(B6,пр.взв!$B$7:$H$38,5,0),"")</f>
        <v>Тверская, Тверь</v>
      </c>
      <c r="G6" s="386"/>
      <c r="H6" s="388"/>
      <c r="I6" s="389"/>
      <c r="J6" s="473"/>
      <c r="K6" s="483">
        <v>9</v>
      </c>
      <c r="L6" s="477">
        <v>2</v>
      </c>
      <c r="M6" s="496" t="str">
        <f>IFERROR(VLOOKUP(L6,пр.взв!$B$7:$H$38,2,0),"")</f>
        <v>Минажетдинов Ринат Рафаилевич</v>
      </c>
      <c r="N6" s="462" t="str">
        <f>IFERROR(VLOOKUP(L6,пр.взв!$B$7:$H$38,3,0),"")</f>
        <v>22.05.98, кмс</v>
      </c>
      <c r="O6" s="396" t="str">
        <f>IFERROR(VLOOKUP(L6,пр.взв!$B$7:$H$38,4,0),"")</f>
        <v>М</v>
      </c>
      <c r="P6" s="405" t="str">
        <f>IFERROR(VLOOKUP(L6,пр.взв!$B$7:$H$38,5,0),"")</f>
        <v>Москва, НИУ МГСУ</v>
      </c>
      <c r="Q6" s="386"/>
      <c r="R6" s="388"/>
      <c r="S6" s="389"/>
      <c r="T6" s="473"/>
    </row>
    <row r="7" spans="1:20" ht="12.6" customHeight="1">
      <c r="A7" s="468"/>
      <c r="B7" s="478"/>
      <c r="C7" s="497"/>
      <c r="D7" s="387"/>
      <c r="E7" s="397"/>
      <c r="F7" s="406"/>
      <c r="G7" s="387"/>
      <c r="H7" s="387"/>
      <c r="I7" s="390"/>
      <c r="J7" s="471"/>
      <c r="K7" s="484"/>
      <c r="L7" s="478"/>
      <c r="M7" s="497"/>
      <c r="N7" s="387"/>
      <c r="O7" s="397"/>
      <c r="P7" s="406"/>
      <c r="Q7" s="387"/>
      <c r="R7" s="387"/>
      <c r="S7" s="390"/>
      <c r="T7" s="471"/>
    </row>
    <row r="8" spans="1:20" ht="12.75" customHeight="1">
      <c r="A8" s="468"/>
      <c r="B8" s="479">
        <v>17</v>
      </c>
      <c r="C8" s="417" t="str">
        <f>IFERROR(VLOOKUP(B8,пр.взв!$B$7:$H$38,2,0),"")</f>
        <v>Соловьев Михаил Алексеевич</v>
      </c>
      <c r="D8" s="394" t="str">
        <f>IFERROR(VLOOKUP(B8,пр.взв!$B$7:$H$38,3,0),"")</f>
        <v>13.11.96, кмс</v>
      </c>
      <c r="E8" s="394" t="str">
        <f>IFERROR(VLOOKUP(B8,пр.взв!$B$7:$H$38,4,0),"")</f>
        <v>ЦФО</v>
      </c>
      <c r="F8" s="417" t="str">
        <f>IFERROR(VLOOKUP(B8,пр.взв!$B$7:$H$38,5,0),"")</f>
        <v>Рязанская, Рязань</v>
      </c>
      <c r="G8" s="384"/>
      <c r="H8" s="384"/>
      <c r="I8" s="312"/>
      <c r="J8" s="421"/>
      <c r="K8" s="484"/>
      <c r="L8" s="479">
        <v>18</v>
      </c>
      <c r="M8" s="417" t="str">
        <f>IFERROR(VLOOKUP(L8,пр.взв!$B$7:$H$38,2,0),"")</f>
        <v>Наджмонов Авзунмехр Муминджонович</v>
      </c>
      <c r="N8" s="394" t="str">
        <f>IFERROR(VLOOKUP(L8,пр.взв!$B$7:$H$38,3,0),"")</f>
        <v>03.07.95, кмс</v>
      </c>
      <c r="O8" s="394" t="str">
        <f>IFERROR(VLOOKUP(L8,пр.взв!$B$7:$H$38,4,0),"")</f>
        <v>ЦФО</v>
      </c>
      <c r="P8" s="417" t="str">
        <f>IFERROR(VLOOKUP(L8,пр.взв!$B$7:$H$38,5,0),"")</f>
        <v>Тверская, Тверь</v>
      </c>
      <c r="Q8" s="384"/>
      <c r="R8" s="384"/>
      <c r="S8" s="312"/>
      <c r="T8" s="421"/>
    </row>
    <row r="9" spans="1:20" ht="12.95" customHeight="1" thickBot="1">
      <c r="A9" s="469"/>
      <c r="B9" s="480"/>
      <c r="C9" s="418"/>
      <c r="D9" s="395"/>
      <c r="E9" s="395"/>
      <c r="F9" s="418"/>
      <c r="G9" s="385"/>
      <c r="H9" s="385"/>
      <c r="I9" s="401"/>
      <c r="J9" s="422"/>
      <c r="K9" s="485"/>
      <c r="L9" s="480"/>
      <c r="M9" s="418"/>
      <c r="N9" s="395"/>
      <c r="O9" s="395"/>
      <c r="P9" s="418"/>
      <c r="Q9" s="385"/>
      <c r="R9" s="385"/>
      <c r="S9" s="401"/>
      <c r="T9" s="422"/>
    </row>
    <row r="10" spans="1:20" ht="12.75" customHeight="1">
      <c r="A10" s="467">
        <v>2</v>
      </c>
      <c r="B10" s="477">
        <v>9</v>
      </c>
      <c r="C10" s="405" t="str">
        <f>IFERROR(VLOOKUP(B10,пр.взв!$B$7:$H$38,2,0),"")</f>
        <v>Солодянников Сергей Константинович</v>
      </c>
      <c r="D10" s="396" t="str">
        <f>IFERROR(VLOOKUP(B10,пр.взв!$B$7:$H$38,3,0),"")</f>
        <v>08.10.94, кмс</v>
      </c>
      <c r="E10" s="396" t="str">
        <f>IFERROR(VLOOKUP(B10,пр.взв!$B$7:$H$38,4,0),"")</f>
        <v>ЦФО</v>
      </c>
      <c r="F10" s="405" t="str">
        <f>IFERROR(VLOOKUP(B10,пр.взв!$B$7:$H$38,5,0),"")</f>
        <v>Тверская, ОСН "Рысь"</v>
      </c>
      <c r="G10" s="386"/>
      <c r="H10" s="388"/>
      <c r="I10" s="389"/>
      <c r="J10" s="470"/>
      <c r="K10" s="483">
        <v>10</v>
      </c>
      <c r="L10" s="477">
        <v>10</v>
      </c>
      <c r="M10" s="405" t="str">
        <f>IFERROR(VLOOKUP(L10,пр.взв!$B$7:$H$38,2,0),"")</f>
        <v>Киселёв Сергей Николаевич</v>
      </c>
      <c r="N10" s="396" t="str">
        <f>IFERROR(VLOOKUP(L10,пр.взв!$B$7:$H$38,3,0),"")</f>
        <v>01.01.85, кмс</v>
      </c>
      <c r="O10" s="396" t="str">
        <f>IFERROR(VLOOKUP(L10,пр.взв!$B$7:$H$38,4,0),"")</f>
        <v>ЦФО</v>
      </c>
      <c r="P10" s="405" t="str">
        <f>IFERROR(VLOOKUP(L10,пр.взв!$B$7:$H$38,5,0),"")</f>
        <v>Тверская, ОСН "Рысь"</v>
      </c>
      <c r="Q10" s="386"/>
      <c r="R10" s="388"/>
      <c r="S10" s="389"/>
      <c r="T10" s="470"/>
    </row>
    <row r="11" spans="1:20" ht="12.6" customHeight="1">
      <c r="A11" s="468"/>
      <c r="B11" s="478"/>
      <c r="C11" s="406"/>
      <c r="D11" s="397"/>
      <c r="E11" s="397"/>
      <c r="F11" s="406"/>
      <c r="G11" s="387"/>
      <c r="H11" s="387"/>
      <c r="I11" s="390"/>
      <c r="J11" s="471"/>
      <c r="K11" s="484"/>
      <c r="L11" s="478"/>
      <c r="M11" s="406"/>
      <c r="N11" s="397"/>
      <c r="O11" s="397"/>
      <c r="P11" s="406"/>
      <c r="Q11" s="387"/>
      <c r="R11" s="387"/>
      <c r="S11" s="390"/>
      <c r="T11" s="471"/>
    </row>
    <row r="12" spans="1:20" ht="12.75" customHeight="1">
      <c r="A12" s="468"/>
      <c r="B12" s="479">
        <v>25</v>
      </c>
      <c r="C12" s="417" t="str">
        <f>IFERROR(VLOOKUP(B12,пр.взв!$B$7:$H$38,2,0),"")</f>
        <v/>
      </c>
      <c r="D12" s="394" t="str">
        <f>IFERROR(VLOOKUP(B12,пр.взв!$B$7:$H$38,3,0),"")</f>
        <v/>
      </c>
      <c r="E12" s="394" t="str">
        <f>IFERROR(VLOOKUP(B12,пр.взв!$B$7:$H$38,4,0),"")</f>
        <v/>
      </c>
      <c r="F12" s="417" t="str">
        <f>IFERROR(VLOOKUP(B12,пр.взв!$B$7:$H$38,5,0),"")</f>
        <v/>
      </c>
      <c r="G12" s="384"/>
      <c r="H12" s="384"/>
      <c r="I12" s="312"/>
      <c r="J12" s="421"/>
      <c r="K12" s="484"/>
      <c r="L12" s="479">
        <v>26</v>
      </c>
      <c r="M12" s="417" t="str">
        <f>IFERROR(VLOOKUP(L12,пр.взв!$B$7:$H$38,2,0),"")</f>
        <v/>
      </c>
      <c r="N12" s="394" t="str">
        <f>IFERROR(VLOOKUP(L12,пр.взв!$B$7:$H$38,3,0),"")</f>
        <v/>
      </c>
      <c r="O12" s="394" t="str">
        <f>IFERROR(VLOOKUP(L12,пр.взв!$B$7:$H$38,4,0),"")</f>
        <v/>
      </c>
      <c r="P12" s="417" t="str">
        <f>IFERROR(VLOOKUP(L12,пр.взв!$B$7:$H$38,5,0),"")</f>
        <v/>
      </c>
      <c r="Q12" s="384"/>
      <c r="R12" s="384"/>
      <c r="S12" s="312"/>
      <c r="T12" s="421"/>
    </row>
    <row r="13" spans="1:20" ht="12.95" customHeight="1" thickBot="1">
      <c r="A13" s="469"/>
      <c r="B13" s="480"/>
      <c r="C13" s="418"/>
      <c r="D13" s="395"/>
      <c r="E13" s="395"/>
      <c r="F13" s="418"/>
      <c r="G13" s="385"/>
      <c r="H13" s="385"/>
      <c r="I13" s="401"/>
      <c r="J13" s="422"/>
      <c r="K13" s="485"/>
      <c r="L13" s="480"/>
      <c r="M13" s="418"/>
      <c r="N13" s="395"/>
      <c r="O13" s="395"/>
      <c r="P13" s="418"/>
      <c r="Q13" s="385"/>
      <c r="R13" s="385"/>
      <c r="S13" s="401"/>
      <c r="T13" s="422"/>
    </row>
    <row r="14" spans="1:20" ht="12.75" customHeight="1">
      <c r="A14" s="467">
        <v>3</v>
      </c>
      <c r="B14" s="477">
        <v>5</v>
      </c>
      <c r="C14" s="405" t="str">
        <f>IFERROR(VLOOKUP(B14,пр.взв!$B$7:$H$38,2,0),"")</f>
        <v>Никишкин Максим Вячеславович</v>
      </c>
      <c r="D14" s="396" t="str">
        <f>IFERROR(VLOOKUP(B14,пр.взв!$B$7:$H$38,3,0),"")</f>
        <v>15.08.99, кмс</v>
      </c>
      <c r="E14" s="396" t="str">
        <f>IFERROR(VLOOKUP(B14,пр.взв!$B$7:$H$38,4,0),"")</f>
        <v>М</v>
      </c>
      <c r="F14" s="405" t="str">
        <f>IFERROR(VLOOKUP(B14,пр.взв!$B$7:$H$38,5,0),"")</f>
        <v>Москва, НИУ МГСУ</v>
      </c>
      <c r="G14" s="392"/>
      <c r="H14" s="398"/>
      <c r="I14" s="399"/>
      <c r="J14" s="472"/>
      <c r="K14" s="483">
        <v>11</v>
      </c>
      <c r="L14" s="477">
        <v>6</v>
      </c>
      <c r="M14" s="405" t="str">
        <f>IFERROR(VLOOKUP(L14,пр.взв!$B$7:$H$38,2,0),"")</f>
        <v>Корочанский Данила Дмитриевич</v>
      </c>
      <c r="N14" s="396" t="str">
        <f>IFERROR(VLOOKUP(L14,пр.взв!$B$7:$H$38,3,0),"")</f>
        <v>23.07.00, кмс</v>
      </c>
      <c r="O14" s="396" t="str">
        <f>IFERROR(VLOOKUP(L14,пр.взв!$B$7:$H$38,4,0),"")</f>
        <v>М</v>
      </c>
      <c r="P14" s="405" t="str">
        <f>IFERROR(VLOOKUP(L14,пр.взв!$B$7:$H$38,5,0),"")</f>
        <v>Москва, ГБОУ ЦО "Самбо-70"</v>
      </c>
      <c r="Q14" s="392"/>
      <c r="R14" s="398"/>
      <c r="S14" s="399"/>
      <c r="T14" s="472"/>
    </row>
    <row r="15" spans="1:20" ht="12.75" customHeight="1">
      <c r="A15" s="468"/>
      <c r="B15" s="478"/>
      <c r="C15" s="406"/>
      <c r="D15" s="397"/>
      <c r="E15" s="397"/>
      <c r="F15" s="406"/>
      <c r="G15" s="387"/>
      <c r="H15" s="387"/>
      <c r="I15" s="390"/>
      <c r="J15" s="471"/>
      <c r="K15" s="484"/>
      <c r="L15" s="478"/>
      <c r="M15" s="406"/>
      <c r="N15" s="397"/>
      <c r="O15" s="397"/>
      <c r="P15" s="406"/>
      <c r="Q15" s="387"/>
      <c r="R15" s="387"/>
      <c r="S15" s="390"/>
      <c r="T15" s="471"/>
    </row>
    <row r="16" spans="1:20" ht="12.75" customHeight="1">
      <c r="A16" s="468"/>
      <c r="B16" s="479">
        <v>21</v>
      </c>
      <c r="C16" s="417" t="str">
        <f>IFERROR(VLOOKUP(B16,пр.взв!$B$7:$H$38,2,0),"")</f>
        <v/>
      </c>
      <c r="D16" s="394" t="str">
        <f>IFERROR(VLOOKUP(B16,пр.взв!$B$7:$H$38,3,0),"")</f>
        <v/>
      </c>
      <c r="E16" s="394" t="str">
        <f>IFERROR(VLOOKUP(B16,пр.взв!$B$7:$H$38,4,0),"")</f>
        <v/>
      </c>
      <c r="F16" s="417" t="str">
        <f>IFERROR(VLOOKUP(B16,пр.взв!$B$7:$H$38,5,0),"")</f>
        <v/>
      </c>
      <c r="G16" s="384"/>
      <c r="H16" s="384"/>
      <c r="I16" s="312"/>
      <c r="J16" s="421"/>
      <c r="K16" s="484"/>
      <c r="L16" s="479">
        <v>22</v>
      </c>
      <c r="M16" s="417" t="str">
        <f>IFERROR(VLOOKUP(L16,пр.взв!$B$7:$H$38,2,0),"")</f>
        <v/>
      </c>
      <c r="N16" s="394" t="str">
        <f>IFERROR(VLOOKUP(L16,пр.взв!$B$7:$H$38,3,0),"")</f>
        <v/>
      </c>
      <c r="O16" s="394" t="str">
        <f>IFERROR(VLOOKUP(L16,пр.взв!$B$7:$H$38,4,0),"")</f>
        <v/>
      </c>
      <c r="P16" s="417" t="str">
        <f>IFERROR(VLOOKUP(L16,пр.взв!$B$7:$H$38,5,0),"")</f>
        <v/>
      </c>
      <c r="Q16" s="384"/>
      <c r="R16" s="384"/>
      <c r="S16" s="312"/>
      <c r="T16" s="421"/>
    </row>
    <row r="17" spans="1:20" ht="13.5" customHeight="1" thickBot="1">
      <c r="A17" s="469"/>
      <c r="B17" s="480"/>
      <c r="C17" s="418"/>
      <c r="D17" s="395"/>
      <c r="E17" s="395"/>
      <c r="F17" s="418"/>
      <c r="G17" s="385"/>
      <c r="H17" s="385"/>
      <c r="I17" s="401"/>
      <c r="J17" s="422"/>
      <c r="K17" s="485"/>
      <c r="L17" s="480"/>
      <c r="M17" s="418"/>
      <c r="N17" s="395"/>
      <c r="O17" s="395"/>
      <c r="P17" s="418"/>
      <c r="Q17" s="385"/>
      <c r="R17" s="385"/>
      <c r="S17" s="401"/>
      <c r="T17" s="422"/>
    </row>
    <row r="18" spans="1:20" ht="12.75" customHeight="1">
      <c r="A18" s="467">
        <v>4</v>
      </c>
      <c r="B18" s="477">
        <v>13</v>
      </c>
      <c r="C18" s="486" t="str">
        <f>IFERROR(VLOOKUP(B18,пр.взв!$B$7:$H$38,2,0),"")</f>
        <v>Прокофьев Иван Николаевич</v>
      </c>
      <c r="D18" s="423" t="str">
        <f>IFERROR(VLOOKUP(B18,пр.взв!$B$7:$H$38,3,0),"")</f>
        <v>09.04.00, кмс</v>
      </c>
      <c r="E18" s="423" t="str">
        <f>IFERROR(VLOOKUP(B18,пр.взв!$B$7:$H$38,4,0),"")</f>
        <v>ЦФО</v>
      </c>
      <c r="F18" s="486" t="str">
        <f>IFERROR(VLOOKUP(B18,пр.взв!$B$7:$H$38,5,0),"")</f>
        <v>Воронежская, Воронеж</v>
      </c>
      <c r="G18" s="386"/>
      <c r="H18" s="388"/>
      <c r="I18" s="389"/>
      <c r="J18" s="488"/>
      <c r="K18" s="489">
        <v>12</v>
      </c>
      <c r="L18" s="492">
        <v>14</v>
      </c>
      <c r="M18" s="486" t="str">
        <f>IFERROR(VLOOKUP(L18,пр.взв!$B$7:$H$38,2,0),"")</f>
        <v>Нечаев Максим Михайлович</v>
      </c>
      <c r="N18" s="423" t="str">
        <f>IFERROR(VLOOKUP(L18,пр.взв!$B$7:$H$38,3,0),"")</f>
        <v>26.01.94, кмс</v>
      </c>
      <c r="O18" s="423" t="str">
        <f>IFERROR(VLOOKUP(L18,пр.взв!$B$7:$H$38,4,0),"")</f>
        <v>СЗФО</v>
      </c>
      <c r="P18" s="486" t="str">
        <f>IFERROR(VLOOKUP(L18,пр.взв!$B$7:$H$38,5,0),"")</f>
        <v>Новгородская, Боровичи</v>
      </c>
      <c r="Q18" s="387"/>
      <c r="R18" s="481"/>
      <c r="S18" s="390"/>
      <c r="T18" s="482"/>
    </row>
    <row r="19" spans="1:20" ht="12.75" customHeight="1">
      <c r="A19" s="468"/>
      <c r="B19" s="478"/>
      <c r="C19" s="487"/>
      <c r="D19" s="424"/>
      <c r="E19" s="424"/>
      <c r="F19" s="487"/>
      <c r="G19" s="387"/>
      <c r="H19" s="387"/>
      <c r="I19" s="390"/>
      <c r="J19" s="471"/>
      <c r="K19" s="490"/>
      <c r="L19" s="493"/>
      <c r="M19" s="487"/>
      <c r="N19" s="424"/>
      <c r="O19" s="424"/>
      <c r="P19" s="487"/>
      <c r="Q19" s="387"/>
      <c r="R19" s="387"/>
      <c r="S19" s="390"/>
      <c r="T19" s="471"/>
    </row>
    <row r="20" spans="1:20" ht="12.75" customHeight="1">
      <c r="A20" s="468"/>
      <c r="B20" s="479">
        <v>29</v>
      </c>
      <c r="C20" s="419" t="str">
        <f>IFERROR(VLOOKUP(B20,пр.взв!$B$7:$H$38,2,0),"")</f>
        <v/>
      </c>
      <c r="D20" s="407" t="str">
        <f>IFERROR(VLOOKUP(B20,пр.взв!$B$7:$H$38,3,0),"")</f>
        <v/>
      </c>
      <c r="E20" s="407" t="str">
        <f>IFERROR(VLOOKUP(B20,пр.взв!$B$7:$H$38,4,0),"")</f>
        <v/>
      </c>
      <c r="F20" s="419" t="str">
        <f>IFERROR(VLOOKUP(B20,пр.взв!$B$7:$H$38,5,0),"")</f>
        <v/>
      </c>
      <c r="G20" s="384"/>
      <c r="H20" s="384"/>
      <c r="I20" s="312"/>
      <c r="J20" s="421"/>
      <c r="K20" s="490"/>
      <c r="L20" s="494">
        <v>30</v>
      </c>
      <c r="M20" s="419" t="str">
        <f>IFERROR(VLOOKUP(L20,пр.взв!$B$7:$H$38,2,0),"")</f>
        <v/>
      </c>
      <c r="N20" s="407" t="str">
        <f>IFERROR(VLOOKUP(L20,пр.взв!$B$7:$H$38,3,0),"")</f>
        <v/>
      </c>
      <c r="O20" s="407" t="str">
        <f>IFERROR(VLOOKUP(L20,пр.взв!$B$7:$H$38,4,0),"")</f>
        <v/>
      </c>
      <c r="P20" s="419" t="str">
        <f>IFERROR(VLOOKUP(L20,пр.взв!$B$7:$H$38,5,0),"")</f>
        <v/>
      </c>
      <c r="Q20" s="384"/>
      <c r="R20" s="384"/>
      <c r="S20" s="312"/>
      <c r="T20" s="421"/>
    </row>
    <row r="21" spans="1:20" ht="13.5" customHeight="1" thickBot="1">
      <c r="A21" s="469"/>
      <c r="B21" s="480"/>
      <c r="C21" s="420"/>
      <c r="D21" s="408"/>
      <c r="E21" s="408"/>
      <c r="F21" s="420"/>
      <c r="G21" s="385"/>
      <c r="H21" s="385"/>
      <c r="I21" s="401"/>
      <c r="J21" s="422"/>
      <c r="K21" s="491"/>
      <c r="L21" s="495"/>
      <c r="M21" s="420"/>
      <c r="N21" s="408"/>
      <c r="O21" s="408"/>
      <c r="P21" s="420"/>
      <c r="Q21" s="385"/>
      <c r="R21" s="385"/>
      <c r="S21" s="401"/>
      <c r="T21" s="422"/>
    </row>
    <row r="22" spans="1:20" ht="12.75" customHeight="1">
      <c r="A22" s="467">
        <v>5</v>
      </c>
      <c r="B22" s="477">
        <v>3</v>
      </c>
      <c r="C22" s="405" t="str">
        <f>IFERROR(VLOOKUP(B22,пр.взв!$B$7:$H$38,2,0),"")</f>
        <v>Ломиворотов Илья Романович</v>
      </c>
      <c r="D22" s="396" t="str">
        <f>IFERROR(VLOOKUP(B22,пр.взв!$B$7:$H$38,3,0),"")</f>
        <v>19.03.01, кмс</v>
      </c>
      <c r="E22" s="396" t="str">
        <f>IFERROR(VLOOKUP(B22,пр.взв!$B$7:$H$38,4,0),"")</f>
        <v>ЦФО</v>
      </c>
      <c r="F22" s="405" t="str">
        <f>IFERROR(VLOOKUP(B22,пр.взв!$B$7:$H$38,5,0),"")</f>
        <v>Тульская, Тула</v>
      </c>
      <c r="G22" s="392"/>
      <c r="H22" s="398"/>
      <c r="I22" s="399"/>
      <c r="J22" s="472"/>
      <c r="K22" s="483">
        <v>13</v>
      </c>
      <c r="L22" s="477">
        <v>4</v>
      </c>
      <c r="M22" s="405" t="str">
        <f>IFERROR(VLOOKUP(L22,пр.взв!$B$7:$H$38,2,0),"")</f>
        <v>Щербаков Денис Алексеевич</v>
      </c>
      <c r="N22" s="396" t="str">
        <f>IFERROR(VLOOKUP(L22,пр.взв!$B$7:$H$38,3,0),"")</f>
        <v>21.07.00, кмс</v>
      </c>
      <c r="O22" s="396" t="str">
        <f>IFERROR(VLOOKUP(L22,пр.взв!$B$7:$H$38,4,0),"")</f>
        <v>М</v>
      </c>
      <c r="P22" s="405" t="str">
        <f>IFERROR(VLOOKUP(L22,пр.взв!$B$7:$H$38,5,0),"")</f>
        <v>Москва, ГБОУ ЦО "Самбо-70"</v>
      </c>
      <c r="Q22" s="392"/>
      <c r="R22" s="398"/>
      <c r="S22" s="399"/>
      <c r="T22" s="472"/>
    </row>
    <row r="23" spans="1:20" ht="12.75" customHeight="1">
      <c r="A23" s="468"/>
      <c r="B23" s="478"/>
      <c r="C23" s="406"/>
      <c r="D23" s="397"/>
      <c r="E23" s="397"/>
      <c r="F23" s="406"/>
      <c r="G23" s="387"/>
      <c r="H23" s="387"/>
      <c r="I23" s="390"/>
      <c r="J23" s="471"/>
      <c r="K23" s="484"/>
      <c r="L23" s="478"/>
      <c r="M23" s="406"/>
      <c r="N23" s="397"/>
      <c r="O23" s="397"/>
      <c r="P23" s="406"/>
      <c r="Q23" s="387"/>
      <c r="R23" s="387"/>
      <c r="S23" s="390"/>
      <c r="T23" s="471"/>
    </row>
    <row r="24" spans="1:20" ht="12.75" customHeight="1">
      <c r="A24" s="468"/>
      <c r="B24" s="479">
        <v>19</v>
      </c>
      <c r="C24" s="417" t="str">
        <f>IFERROR(VLOOKUP(B24,пр.взв!$B$7:$H$38,2,0),"")</f>
        <v/>
      </c>
      <c r="D24" s="394" t="str">
        <f>IFERROR(VLOOKUP(B24,пр.взв!$B$7:$H$38,3,0),"")</f>
        <v/>
      </c>
      <c r="E24" s="394" t="str">
        <f>IFERROR(VLOOKUP(B24,пр.взв!$B$7:$H$38,4,0),"")</f>
        <v/>
      </c>
      <c r="F24" s="417" t="str">
        <f>IFERROR(VLOOKUP(B24,пр.взв!$B$7:$H$38,5,0),"")</f>
        <v/>
      </c>
      <c r="G24" s="384"/>
      <c r="H24" s="384"/>
      <c r="I24" s="312"/>
      <c r="J24" s="421"/>
      <c r="K24" s="484"/>
      <c r="L24" s="479">
        <v>20</v>
      </c>
      <c r="M24" s="417" t="str">
        <f>IFERROR(VLOOKUP(L24,пр.взв!$B$7:$H$38,2,0),"")</f>
        <v/>
      </c>
      <c r="N24" s="394" t="str">
        <f>IFERROR(VLOOKUP(L24,пр.взв!$B$7:$H$38,3,0),"")</f>
        <v/>
      </c>
      <c r="O24" s="394" t="str">
        <f>IFERROR(VLOOKUP(L24,пр.взв!$B$7:$H$38,4,0),"")</f>
        <v/>
      </c>
      <c r="P24" s="417" t="str">
        <f>IFERROR(VLOOKUP(L24,пр.взв!$B$7:$H$38,5,0),"")</f>
        <v/>
      </c>
      <c r="Q24" s="384"/>
      <c r="R24" s="384"/>
      <c r="S24" s="312"/>
      <c r="T24" s="421"/>
    </row>
    <row r="25" spans="1:20" ht="13.5" customHeight="1" thickBot="1">
      <c r="A25" s="469"/>
      <c r="B25" s="480"/>
      <c r="C25" s="418"/>
      <c r="D25" s="395"/>
      <c r="E25" s="395"/>
      <c r="F25" s="418"/>
      <c r="G25" s="385"/>
      <c r="H25" s="385"/>
      <c r="I25" s="401"/>
      <c r="J25" s="422"/>
      <c r="K25" s="485"/>
      <c r="L25" s="480"/>
      <c r="M25" s="418"/>
      <c r="N25" s="395"/>
      <c r="O25" s="395"/>
      <c r="P25" s="418"/>
      <c r="Q25" s="385"/>
      <c r="R25" s="385"/>
      <c r="S25" s="401"/>
      <c r="T25" s="422"/>
    </row>
    <row r="26" spans="1:20" ht="12.75" customHeight="1">
      <c r="A26" s="467">
        <v>6</v>
      </c>
      <c r="B26" s="477">
        <v>11</v>
      </c>
      <c r="C26" s="405" t="str">
        <f>IFERROR(VLOOKUP(B26,пр.взв!$B$7:$H$38,2,0),"")</f>
        <v>Шахбазов Ислам Асланбекович</v>
      </c>
      <c r="D26" s="396" t="str">
        <f>IFERROR(VLOOKUP(B26,пр.взв!$B$7:$H$38,3,0),"")</f>
        <v>11.07.98, кмс</v>
      </c>
      <c r="E26" s="396" t="str">
        <f>IFERROR(VLOOKUP(B26,пр.взв!$B$7:$H$38,4,0),"")</f>
        <v>ЦФО</v>
      </c>
      <c r="F26" s="405" t="str">
        <f>IFERROR(VLOOKUP(B26,пр.взв!$B$7:$H$38,5,0),"")</f>
        <v>Тверская, Кашин</v>
      </c>
      <c r="G26" s="386"/>
      <c r="H26" s="388"/>
      <c r="I26" s="389"/>
      <c r="J26" s="470"/>
      <c r="K26" s="483">
        <v>14</v>
      </c>
      <c r="L26" s="477">
        <v>12</v>
      </c>
      <c r="M26" s="405" t="str">
        <f>IFERROR(VLOOKUP(L26,пр.взв!$B$7:$H$38,2,0),"")</f>
        <v>Макаров Артем Юрьевич</v>
      </c>
      <c r="N26" s="396" t="str">
        <f>IFERROR(VLOOKUP(L26,пр.взв!$B$7:$H$38,3,0),"")</f>
        <v>07.08.97, кмс</v>
      </c>
      <c r="O26" s="396" t="str">
        <f>IFERROR(VLOOKUP(L26,пр.взв!$B$7:$H$38,4,0),"")</f>
        <v>ЦФО</v>
      </c>
      <c r="P26" s="405" t="str">
        <f>IFERROR(VLOOKUP(L26,пр.взв!$B$7:$H$38,5,0),"")</f>
        <v>Тверская, Кимры</v>
      </c>
      <c r="Q26" s="386"/>
      <c r="R26" s="388"/>
      <c r="S26" s="389"/>
      <c r="T26" s="470"/>
    </row>
    <row r="27" spans="1:20" ht="12.75" customHeight="1">
      <c r="A27" s="468"/>
      <c r="B27" s="478"/>
      <c r="C27" s="406"/>
      <c r="D27" s="397"/>
      <c r="E27" s="397"/>
      <c r="F27" s="406"/>
      <c r="G27" s="387"/>
      <c r="H27" s="387"/>
      <c r="I27" s="390"/>
      <c r="J27" s="471"/>
      <c r="K27" s="484"/>
      <c r="L27" s="478"/>
      <c r="M27" s="406"/>
      <c r="N27" s="397"/>
      <c r="O27" s="397"/>
      <c r="P27" s="406"/>
      <c r="Q27" s="387"/>
      <c r="R27" s="387"/>
      <c r="S27" s="390"/>
      <c r="T27" s="471"/>
    </row>
    <row r="28" spans="1:20" ht="12.75" customHeight="1">
      <c r="A28" s="468"/>
      <c r="B28" s="479">
        <v>27</v>
      </c>
      <c r="C28" s="417" t="str">
        <f>IFERROR(VLOOKUP(B28,пр.взв!$B$7:$H$38,2,0),"")</f>
        <v/>
      </c>
      <c r="D28" s="394" t="str">
        <f>IFERROR(VLOOKUP(B28,пр.взв!$B$7:$H$38,3,0),"")</f>
        <v/>
      </c>
      <c r="E28" s="394" t="str">
        <f>IFERROR(VLOOKUP(B28,пр.взв!$B$7:$H$38,4,0),"")</f>
        <v/>
      </c>
      <c r="F28" s="417" t="str">
        <f>IFERROR(VLOOKUP(B28,пр.взв!$B$7:$H$38,5,0),"")</f>
        <v/>
      </c>
      <c r="G28" s="384"/>
      <c r="H28" s="384"/>
      <c r="I28" s="312"/>
      <c r="J28" s="421"/>
      <c r="K28" s="484"/>
      <c r="L28" s="479">
        <v>28</v>
      </c>
      <c r="M28" s="417" t="str">
        <f>IFERROR(VLOOKUP(L28,пр.взв!$B$7:$H$38,2,0),"")</f>
        <v/>
      </c>
      <c r="N28" s="394" t="str">
        <f>IFERROR(VLOOKUP(L28,пр.взв!$B$7:$H$38,3,0),"")</f>
        <v/>
      </c>
      <c r="O28" s="394" t="str">
        <f>IFERROR(VLOOKUP(L28,пр.взв!$B$7:$H$38,4,0),"")</f>
        <v/>
      </c>
      <c r="P28" s="417" t="str">
        <f>IFERROR(VLOOKUP(L28,пр.взв!$B$7:$H$38,5,0),"")</f>
        <v/>
      </c>
      <c r="Q28" s="384"/>
      <c r="R28" s="384"/>
      <c r="S28" s="312"/>
      <c r="T28" s="421"/>
    </row>
    <row r="29" spans="1:20" ht="13.5" customHeight="1" thickBot="1">
      <c r="A29" s="469"/>
      <c r="B29" s="480"/>
      <c r="C29" s="418"/>
      <c r="D29" s="395"/>
      <c r="E29" s="395"/>
      <c r="F29" s="418"/>
      <c r="G29" s="385"/>
      <c r="H29" s="385"/>
      <c r="I29" s="401"/>
      <c r="J29" s="422"/>
      <c r="K29" s="485"/>
      <c r="L29" s="480"/>
      <c r="M29" s="418"/>
      <c r="N29" s="395"/>
      <c r="O29" s="395"/>
      <c r="P29" s="418"/>
      <c r="Q29" s="385"/>
      <c r="R29" s="385"/>
      <c r="S29" s="401"/>
      <c r="T29" s="422"/>
    </row>
    <row r="30" spans="1:20" ht="12.75" customHeight="1">
      <c r="A30" s="467">
        <v>7</v>
      </c>
      <c r="B30" s="477">
        <v>7</v>
      </c>
      <c r="C30" s="405" t="str">
        <f>IFERROR(VLOOKUP(B30,пр.взв!$B$7:$H$38,2,0),"")</f>
        <v>Фролов Кирилл Михайлович</v>
      </c>
      <c r="D30" s="396" t="str">
        <f>IFERROR(VLOOKUP(B30,пр.взв!$B$7:$H$38,3,0),"")</f>
        <v>06.11.98, кмс</v>
      </c>
      <c r="E30" s="396" t="str">
        <f>IFERROR(VLOOKUP(B30,пр.взв!$B$7:$H$38,4,0),"")</f>
        <v>М</v>
      </c>
      <c r="F30" s="405" t="str">
        <f>IFERROR(VLOOKUP(B30,пр.взв!$B$7:$H$38,5,0),"")</f>
        <v>Москва, ГБОУ ЦО "Самбо-70"</v>
      </c>
      <c r="G30" s="392"/>
      <c r="H30" s="398"/>
      <c r="I30" s="399"/>
      <c r="J30" s="472"/>
      <c r="K30" s="483">
        <v>15</v>
      </c>
      <c r="L30" s="477">
        <v>8</v>
      </c>
      <c r="M30" s="405" t="str">
        <f>IFERROR(VLOOKUP(L30,пр.взв!$B$7:$H$38,2,0),"")</f>
        <v>Магомедкеримов Вагаб Гераклиевич</v>
      </c>
      <c r="N30" s="396" t="str">
        <f>IFERROR(VLOOKUP(L30,пр.взв!$B$7:$H$38,3,0),"")</f>
        <v>21.10.99, кмс</v>
      </c>
      <c r="O30" s="396" t="str">
        <f>IFERROR(VLOOKUP(L30,пр.взв!$B$7:$H$38,4,0),"")</f>
        <v>ЦФО</v>
      </c>
      <c r="P30" s="405" t="str">
        <f>IFERROR(VLOOKUP(L30,пр.взв!$B$7:$H$38,5,0),"")</f>
        <v>Тверская, Тверь</v>
      </c>
      <c r="Q30" s="392"/>
      <c r="R30" s="398"/>
      <c r="S30" s="399"/>
      <c r="T30" s="472"/>
    </row>
    <row r="31" spans="1:20" ht="12.75" customHeight="1">
      <c r="A31" s="468"/>
      <c r="B31" s="478"/>
      <c r="C31" s="406"/>
      <c r="D31" s="397"/>
      <c r="E31" s="397"/>
      <c r="F31" s="406"/>
      <c r="G31" s="387"/>
      <c r="H31" s="387"/>
      <c r="I31" s="390"/>
      <c r="J31" s="471"/>
      <c r="K31" s="484"/>
      <c r="L31" s="478"/>
      <c r="M31" s="406"/>
      <c r="N31" s="397"/>
      <c r="O31" s="397"/>
      <c r="P31" s="406"/>
      <c r="Q31" s="387"/>
      <c r="R31" s="387"/>
      <c r="S31" s="390"/>
      <c r="T31" s="471"/>
    </row>
    <row r="32" spans="1:20" ht="12.75" customHeight="1">
      <c r="A32" s="468"/>
      <c r="B32" s="479">
        <v>23</v>
      </c>
      <c r="C32" s="417" t="str">
        <f>IFERROR(VLOOKUP(B32,пр.взв!$B$7:$H$38,2,0),"")</f>
        <v/>
      </c>
      <c r="D32" s="394" t="str">
        <f>IFERROR(VLOOKUP(B32,пр.взв!$B$7:$H$38,3,0),"")</f>
        <v/>
      </c>
      <c r="E32" s="394" t="str">
        <f>IFERROR(VLOOKUP(B32,пр.взв!$B$7:$H$38,4,0),"")</f>
        <v/>
      </c>
      <c r="F32" s="417" t="str">
        <f>IFERROR(VLOOKUP(B32,пр.взв!$B$7:$H$38,5,0),"")</f>
        <v/>
      </c>
      <c r="G32" s="384"/>
      <c r="H32" s="384"/>
      <c r="I32" s="312"/>
      <c r="J32" s="421"/>
      <c r="K32" s="484"/>
      <c r="L32" s="479">
        <v>24</v>
      </c>
      <c r="M32" s="417" t="str">
        <f>IFERROR(VLOOKUP(L32,пр.взв!$B$7:$H$38,2,0),"")</f>
        <v/>
      </c>
      <c r="N32" s="394" t="str">
        <f>IFERROR(VLOOKUP(L32,пр.взв!$B$7:$H$38,3,0),"")</f>
        <v/>
      </c>
      <c r="O32" s="394" t="str">
        <f>IFERROR(VLOOKUP(L32,пр.взв!$B$7:$H$38,4,0),"")</f>
        <v/>
      </c>
      <c r="P32" s="417" t="str">
        <f>IFERROR(VLOOKUP(L32,пр.взв!$B$7:$H$38,5,0),"")</f>
        <v/>
      </c>
      <c r="Q32" s="384"/>
      <c r="R32" s="384"/>
      <c r="S32" s="312"/>
      <c r="T32" s="421"/>
    </row>
    <row r="33" spans="1:20" ht="13.5" customHeight="1" thickBot="1">
      <c r="A33" s="469"/>
      <c r="B33" s="480"/>
      <c r="C33" s="418"/>
      <c r="D33" s="395"/>
      <c r="E33" s="395"/>
      <c r="F33" s="418"/>
      <c r="G33" s="385"/>
      <c r="H33" s="385"/>
      <c r="I33" s="401"/>
      <c r="J33" s="422"/>
      <c r="K33" s="485"/>
      <c r="L33" s="480"/>
      <c r="M33" s="418"/>
      <c r="N33" s="395"/>
      <c r="O33" s="395"/>
      <c r="P33" s="418"/>
      <c r="Q33" s="385"/>
      <c r="R33" s="385"/>
      <c r="S33" s="401"/>
      <c r="T33" s="422"/>
    </row>
    <row r="34" spans="1:20" ht="12.75" customHeight="1">
      <c r="A34" s="467">
        <v>8</v>
      </c>
      <c r="B34" s="477">
        <v>15</v>
      </c>
      <c r="C34" s="405" t="str">
        <f>IFERROR(VLOOKUP(B34,пр.взв!$B$7:$H$38,2,0),"")</f>
        <v>Матвеев Александр Петрович</v>
      </c>
      <c r="D34" s="396" t="str">
        <f>IFERROR(VLOOKUP(B34,пр.взв!$B$7:$H$38,3,0),"")</f>
        <v>27.04.98, кмс</v>
      </c>
      <c r="E34" s="396" t="str">
        <f>IFERROR(VLOOKUP(B34,пр.взв!$B$7:$H$38,4,0),"")</f>
        <v>СЗФО</v>
      </c>
      <c r="F34" s="405" t="str">
        <f>IFERROR(VLOOKUP(B34,пр.взв!$B$7:$H$38,5,0),"")</f>
        <v>Вологодская, Вологда</v>
      </c>
      <c r="G34" s="387"/>
      <c r="H34" s="481"/>
      <c r="I34" s="390"/>
      <c r="J34" s="482"/>
      <c r="K34" s="483">
        <v>16</v>
      </c>
      <c r="L34" s="477">
        <v>16</v>
      </c>
      <c r="M34" s="405" t="str">
        <f>IFERROR(VLOOKUP(L34,пр.взв!$B$7:$H$38,2,0),"")</f>
        <v>Айриян Николай Сержикович</v>
      </c>
      <c r="N34" s="396" t="str">
        <f>IFERROR(VLOOKUP(L34,пр.взв!$B$7:$H$38,3,0),"")</f>
        <v>21.03.87, кмс</v>
      </c>
      <c r="O34" s="396" t="str">
        <f>IFERROR(VLOOKUP(L34,пр.взв!$B$7:$H$38,4,0),"")</f>
        <v>ЦФО</v>
      </c>
      <c r="P34" s="405" t="str">
        <f>IFERROR(VLOOKUP(L34,пр.взв!$B$7:$H$38,5,0),"")</f>
        <v>Московская, Дубна</v>
      </c>
      <c r="Q34" s="387"/>
      <c r="R34" s="481"/>
      <c r="S34" s="390"/>
      <c r="T34" s="482"/>
    </row>
    <row r="35" spans="1:20" ht="12.75" customHeight="1">
      <c r="A35" s="468"/>
      <c r="B35" s="478"/>
      <c r="C35" s="406"/>
      <c r="D35" s="397"/>
      <c r="E35" s="397"/>
      <c r="F35" s="406"/>
      <c r="G35" s="387"/>
      <c r="H35" s="387"/>
      <c r="I35" s="390"/>
      <c r="J35" s="471"/>
      <c r="K35" s="484"/>
      <c r="L35" s="478"/>
      <c r="M35" s="406"/>
      <c r="N35" s="397"/>
      <c r="O35" s="397"/>
      <c r="P35" s="406"/>
      <c r="Q35" s="387"/>
      <c r="R35" s="387"/>
      <c r="S35" s="390"/>
      <c r="T35" s="471"/>
    </row>
    <row r="36" spans="1:20" ht="12.75" customHeight="1">
      <c r="A36" s="468"/>
      <c r="B36" s="479">
        <v>31</v>
      </c>
      <c r="C36" s="417" t="str">
        <f>IFERROR(VLOOKUP(B36,пр.взв!$B$7:$H$38,2,0),"")</f>
        <v/>
      </c>
      <c r="D36" s="407" t="str">
        <f>IFERROR(VLOOKUP(B36,пр.взв!$B$7:$H$38,3,0),"")</f>
        <v/>
      </c>
      <c r="E36" s="407" t="str">
        <f>IFERROR(VLOOKUP(B36,пр.взв!$B$7:$H$38,4,0),"")</f>
        <v/>
      </c>
      <c r="F36" s="419" t="str">
        <f>IFERROR(VLOOKUP(B36,пр.взв!$B$7:$H$38,5,0),"")</f>
        <v/>
      </c>
      <c r="G36" s="384"/>
      <c r="H36" s="384"/>
      <c r="I36" s="312"/>
      <c r="J36" s="421"/>
      <c r="K36" s="484"/>
      <c r="L36" s="479">
        <v>32</v>
      </c>
      <c r="M36" s="417" t="str">
        <f>IFERROR(VLOOKUP(L36,пр.взв!$B$7:$H$38,2,0),"")</f>
        <v/>
      </c>
      <c r="N36" s="407" t="str">
        <f>IFERROR(VLOOKUP(L36,пр.взв!$B$7:$H$38,3,0),"")</f>
        <v/>
      </c>
      <c r="O36" s="407" t="str">
        <f>IFERROR(VLOOKUP(L36,пр.взв!$B$7:$H$38,4,0),"")</f>
        <v/>
      </c>
      <c r="P36" s="419" t="str">
        <f>IFERROR(VLOOKUP(L36,пр.взв!$B$7:$H$38,5,0),"")</f>
        <v/>
      </c>
      <c r="Q36" s="384"/>
      <c r="R36" s="384"/>
      <c r="S36" s="312"/>
      <c r="T36" s="421"/>
    </row>
    <row r="37" spans="1:20" ht="13.5" customHeight="1" thickBot="1">
      <c r="A37" s="469"/>
      <c r="B37" s="480"/>
      <c r="C37" s="418"/>
      <c r="D37" s="408"/>
      <c r="E37" s="408"/>
      <c r="F37" s="420"/>
      <c r="G37" s="385"/>
      <c r="H37" s="385"/>
      <c r="I37" s="401"/>
      <c r="J37" s="422"/>
      <c r="K37" s="485"/>
      <c r="L37" s="480"/>
      <c r="M37" s="418"/>
      <c r="N37" s="408"/>
      <c r="O37" s="408"/>
      <c r="P37" s="420"/>
      <c r="Q37" s="385"/>
      <c r="R37" s="385"/>
      <c r="S37" s="401"/>
      <c r="T37" s="422"/>
    </row>
    <row r="38" spans="1:20" ht="15.75">
      <c r="B38" s="267">
        <f>B2</f>
        <v>0</v>
      </c>
      <c r="C38" s="268" t="s">
        <v>108</v>
      </c>
      <c r="D38" s="268"/>
      <c r="E38" s="393"/>
      <c r="F38" s="393"/>
      <c r="G38" s="268"/>
      <c r="H38" s="268"/>
      <c r="I38" s="268"/>
      <c r="J38" s="268"/>
      <c r="L38" s="267">
        <f>L2</f>
        <v>0</v>
      </c>
      <c r="M38" s="268" t="s">
        <v>108</v>
      </c>
      <c r="N38" s="268"/>
      <c r="O38" s="393"/>
      <c r="P38" s="393"/>
      <c r="Q38" s="268"/>
      <c r="R38" s="268"/>
      <c r="S38" s="268"/>
      <c r="T38" s="268"/>
    </row>
    <row r="39" spans="1:20" ht="16.5" thickBot="1">
      <c r="A39" s="44"/>
      <c r="B39" s="86" t="s">
        <v>31</v>
      </c>
      <c r="C39" s="87" t="s">
        <v>39</v>
      </c>
      <c r="D39" s="88" t="s">
        <v>36</v>
      </c>
      <c r="E39" s="88"/>
      <c r="F39" s="87"/>
      <c r="G39" s="86" t="str">
        <f>пр.взв!D4</f>
        <v>В.к. 68 кг.</v>
      </c>
      <c r="H39" s="87"/>
      <c r="I39" s="87"/>
      <c r="J39" s="89"/>
      <c r="K39" s="74"/>
      <c r="L39" s="72" t="s">
        <v>1</v>
      </c>
      <c r="M39" s="74" t="s">
        <v>39</v>
      </c>
      <c r="N39" s="73" t="s">
        <v>36</v>
      </c>
      <c r="O39" s="73"/>
      <c r="P39" s="74"/>
      <c r="Q39" s="72" t="str">
        <f>G39</f>
        <v>В.к. 68 кг.</v>
      </c>
      <c r="R39" s="74"/>
      <c r="S39" s="74"/>
      <c r="T39" s="74"/>
    </row>
    <row r="40" spans="1:20" ht="12.75" customHeight="1">
      <c r="A40" s="443" t="s">
        <v>40</v>
      </c>
      <c r="B40" s="445" t="s">
        <v>4</v>
      </c>
      <c r="C40" s="439" t="s">
        <v>5</v>
      </c>
      <c r="D40" s="391" t="s">
        <v>14</v>
      </c>
      <c r="E40" s="451" t="s">
        <v>15</v>
      </c>
      <c r="F40" s="452"/>
      <c r="G40" s="439" t="s">
        <v>16</v>
      </c>
      <c r="H40" s="441" t="s">
        <v>41</v>
      </c>
      <c r="I40" s="434" t="s">
        <v>17</v>
      </c>
      <c r="J40" s="436" t="s">
        <v>18</v>
      </c>
      <c r="K40" s="475" t="s">
        <v>40</v>
      </c>
      <c r="L40" s="445" t="s">
        <v>4</v>
      </c>
      <c r="M40" s="439" t="s">
        <v>5</v>
      </c>
      <c r="N40" s="391" t="s">
        <v>14</v>
      </c>
      <c r="O40" s="447" t="s">
        <v>15</v>
      </c>
      <c r="P40" s="448"/>
      <c r="Q40" s="439" t="s">
        <v>16</v>
      </c>
      <c r="R40" s="441" t="s">
        <v>41</v>
      </c>
      <c r="S40" s="434" t="s">
        <v>17</v>
      </c>
      <c r="T40" s="436" t="s">
        <v>18</v>
      </c>
    </row>
    <row r="41" spans="1:20" ht="13.5" customHeight="1" thickBot="1">
      <c r="A41" s="444"/>
      <c r="B41" s="474" t="s">
        <v>34</v>
      </c>
      <c r="C41" s="440"/>
      <c r="D41" s="409"/>
      <c r="E41" s="453"/>
      <c r="F41" s="454"/>
      <c r="G41" s="440"/>
      <c r="H41" s="442"/>
      <c r="I41" s="435"/>
      <c r="J41" s="437" t="s">
        <v>35</v>
      </c>
      <c r="K41" s="476"/>
      <c r="L41" s="474" t="s">
        <v>34</v>
      </c>
      <c r="M41" s="440"/>
      <c r="N41" s="409"/>
      <c r="O41" s="449"/>
      <c r="P41" s="450"/>
      <c r="Q41" s="440"/>
      <c r="R41" s="442"/>
      <c r="S41" s="435"/>
      <c r="T41" s="437" t="s">
        <v>35</v>
      </c>
    </row>
    <row r="42" spans="1:20" ht="12.75" customHeight="1">
      <c r="A42" s="467">
        <v>1</v>
      </c>
      <c r="B42" s="413">
        <f>пр.хода!E8</f>
        <v>1</v>
      </c>
      <c r="C42" s="405" t="str">
        <f>IFERROR(VLOOKUP(B42,пр.взв!$B$7:$H$38,2,0),"")</f>
        <v>Шайхов Абдулло Пулодович</v>
      </c>
      <c r="D42" s="396" t="str">
        <f>IFERROR(VLOOKUP(B42,пр.взв!$B$7:$H$38,3,0),"")</f>
        <v>28.12.90, мс</v>
      </c>
      <c r="E42" s="396" t="str">
        <f>IFERROR(VLOOKUP(B42,пр.взв!$B$7:$H$38,4,0),"")</f>
        <v>ЦФО</v>
      </c>
      <c r="F42" s="405" t="str">
        <f>IFERROR(VLOOKUP(B42,пр.взв!$B$7:$H$38,5,0),"")</f>
        <v>Тверская, Тверь</v>
      </c>
      <c r="G42" s="392"/>
      <c r="H42" s="398"/>
      <c r="I42" s="399"/>
      <c r="J42" s="472"/>
      <c r="K42" s="410">
        <v>5</v>
      </c>
      <c r="L42" s="413">
        <f>пр.хода!T8</f>
        <v>2</v>
      </c>
      <c r="M42" s="405" t="str">
        <f>IFERROR(VLOOKUP(L42,пр.взв!$B$7:$H$38,2,0),"")</f>
        <v>Минажетдинов Ринат Рафаилевич</v>
      </c>
      <c r="N42" s="396" t="str">
        <f>IFERROR(VLOOKUP(L42,пр.взв!$B$7:$H$38,3,0),"")</f>
        <v>22.05.98, кмс</v>
      </c>
      <c r="O42" s="396" t="str">
        <f>IFERROR(VLOOKUP(L42,пр.взв!$B$7:$H$38,4,0),"")</f>
        <v>М</v>
      </c>
      <c r="P42" s="405" t="str">
        <f>IFERROR(VLOOKUP(L42,пр.взв!$B$7:$H$38,5,0),"")</f>
        <v>Москва, НИУ МГСУ</v>
      </c>
      <c r="Q42" s="386"/>
      <c r="R42" s="388"/>
      <c r="S42" s="389"/>
      <c r="T42" s="473"/>
    </row>
    <row r="43" spans="1:20" ht="12.6" customHeight="1">
      <c r="A43" s="468"/>
      <c r="B43" s="414"/>
      <c r="C43" s="406"/>
      <c r="D43" s="397"/>
      <c r="E43" s="397"/>
      <c r="F43" s="406"/>
      <c r="G43" s="387"/>
      <c r="H43" s="387"/>
      <c r="I43" s="390"/>
      <c r="J43" s="471"/>
      <c r="K43" s="411"/>
      <c r="L43" s="414"/>
      <c r="M43" s="406"/>
      <c r="N43" s="397"/>
      <c r="O43" s="397"/>
      <c r="P43" s="406"/>
      <c r="Q43" s="387"/>
      <c r="R43" s="387"/>
      <c r="S43" s="390"/>
      <c r="T43" s="471"/>
    </row>
    <row r="44" spans="1:20" ht="12.75" customHeight="1">
      <c r="A44" s="468"/>
      <c r="B44" s="415">
        <f>пр.хода!E12</f>
        <v>9</v>
      </c>
      <c r="C44" s="417" t="str">
        <f>IFERROR(VLOOKUP(B44,пр.взв!$B$7:$H$38,2,0),"")</f>
        <v>Солодянников Сергей Константинович</v>
      </c>
      <c r="D44" s="394" t="str">
        <f>IFERROR(VLOOKUP(B44,пр.взв!$B$7:$H$38,3,0),"")</f>
        <v>08.10.94, кмс</v>
      </c>
      <c r="E44" s="394" t="str">
        <f>IFERROR(VLOOKUP(B44,пр.взв!$B$7:$H$38,4,0),"")</f>
        <v>ЦФО</v>
      </c>
      <c r="F44" s="417" t="str">
        <f>IFERROR(VLOOKUP(B44,пр.взв!$B$7:$H$38,5,0),"")</f>
        <v>Тверская, ОСН "Рысь"</v>
      </c>
      <c r="G44" s="384"/>
      <c r="H44" s="384"/>
      <c r="I44" s="312"/>
      <c r="J44" s="421"/>
      <c r="K44" s="411"/>
      <c r="L44" s="415">
        <f>пр.хода!T12</f>
        <v>10</v>
      </c>
      <c r="M44" s="417" t="str">
        <f>IFERROR(VLOOKUP(L44,пр.взв!$B$7:$H$38,2,0),"")</f>
        <v>Киселёв Сергей Николаевич</v>
      </c>
      <c r="N44" s="394" t="str">
        <f>IFERROR(VLOOKUP(L44,пр.взв!$B$7:$H$38,3,0),"")</f>
        <v>01.01.85, кмс</v>
      </c>
      <c r="O44" s="394" t="str">
        <f>IFERROR(VLOOKUP(L44,пр.взв!$B$7:$H$38,4,0),"")</f>
        <v>ЦФО</v>
      </c>
      <c r="P44" s="417" t="str">
        <f>IFERROR(VLOOKUP(L44,пр.взв!$B$7:$H$38,5,0),"")</f>
        <v>Тверская, ОСН "Рысь"</v>
      </c>
      <c r="Q44" s="384"/>
      <c r="R44" s="384"/>
      <c r="S44" s="312"/>
      <c r="T44" s="421"/>
    </row>
    <row r="45" spans="1:20" ht="12.95" customHeight="1" thickBot="1">
      <c r="A45" s="469"/>
      <c r="B45" s="416"/>
      <c r="C45" s="418"/>
      <c r="D45" s="395"/>
      <c r="E45" s="395"/>
      <c r="F45" s="418"/>
      <c r="G45" s="385"/>
      <c r="H45" s="385"/>
      <c r="I45" s="401"/>
      <c r="J45" s="422"/>
      <c r="K45" s="412"/>
      <c r="L45" s="416"/>
      <c r="M45" s="418"/>
      <c r="N45" s="395"/>
      <c r="O45" s="395"/>
      <c r="P45" s="418"/>
      <c r="Q45" s="385"/>
      <c r="R45" s="385"/>
      <c r="S45" s="401"/>
      <c r="T45" s="422"/>
    </row>
    <row r="46" spans="1:20" ht="12.75" customHeight="1">
      <c r="A46" s="467">
        <v>2</v>
      </c>
      <c r="B46" s="413">
        <f>пр.хода!E16</f>
        <v>5</v>
      </c>
      <c r="C46" s="405" t="str">
        <f>IFERROR(VLOOKUP(B46,пр.взв!$B$7:$H$38,2,0),"")</f>
        <v>Никишкин Максим Вячеславович</v>
      </c>
      <c r="D46" s="396" t="str">
        <f>IFERROR(VLOOKUP(B46,пр.взв!$B$7:$H$38,3,0),"")</f>
        <v>15.08.99, кмс</v>
      </c>
      <c r="E46" s="396" t="str">
        <f>IFERROR(VLOOKUP(B46,пр.взв!$B$7:$H$38,4,0),"")</f>
        <v>М</v>
      </c>
      <c r="F46" s="405" t="str">
        <f>IFERROR(VLOOKUP(B46,пр.взв!$B$7:$H$38,5,0),"")</f>
        <v>Москва, НИУ МГСУ</v>
      </c>
      <c r="G46" s="386"/>
      <c r="H46" s="388"/>
      <c r="I46" s="389"/>
      <c r="J46" s="470"/>
      <c r="K46" s="410">
        <v>6</v>
      </c>
      <c r="L46" s="413">
        <f>пр.хода!T16</f>
        <v>6</v>
      </c>
      <c r="M46" s="405" t="str">
        <f>IFERROR(VLOOKUP(L46,пр.взв!$B$7:$H$38,2,0),"")</f>
        <v>Корочанский Данила Дмитриевич</v>
      </c>
      <c r="N46" s="396" t="str">
        <f>IFERROR(VLOOKUP(L46,пр.взв!$B$7:$H$38,3,0),"")</f>
        <v>23.07.00, кмс</v>
      </c>
      <c r="O46" s="396" t="str">
        <f>IFERROR(VLOOKUP(L46,пр.взв!$B$7:$H$38,4,0),"")</f>
        <v>М</v>
      </c>
      <c r="P46" s="405" t="str">
        <f>IFERROR(VLOOKUP(L46,пр.взв!$B$7:$H$38,5,0),"")</f>
        <v>Москва, ГБОУ ЦО "Самбо-70"</v>
      </c>
      <c r="Q46" s="386"/>
      <c r="R46" s="388"/>
      <c r="S46" s="389"/>
      <c r="T46" s="470"/>
    </row>
    <row r="47" spans="1:20" ht="12.6" customHeight="1">
      <c r="A47" s="468"/>
      <c r="B47" s="414"/>
      <c r="C47" s="406"/>
      <c r="D47" s="397"/>
      <c r="E47" s="397"/>
      <c r="F47" s="406"/>
      <c r="G47" s="387"/>
      <c r="H47" s="387"/>
      <c r="I47" s="390"/>
      <c r="J47" s="471"/>
      <c r="K47" s="411"/>
      <c r="L47" s="414"/>
      <c r="M47" s="406"/>
      <c r="N47" s="397"/>
      <c r="O47" s="397"/>
      <c r="P47" s="406"/>
      <c r="Q47" s="387"/>
      <c r="R47" s="387"/>
      <c r="S47" s="390"/>
      <c r="T47" s="471"/>
    </row>
    <row r="48" spans="1:20" ht="12.75" customHeight="1">
      <c r="A48" s="468"/>
      <c r="B48" s="415">
        <f>пр.хода!E20</f>
        <v>13</v>
      </c>
      <c r="C48" s="417" t="str">
        <f>IFERROR(VLOOKUP(B48,пр.взв!$B$7:$H$38,2,0),"")</f>
        <v>Прокофьев Иван Николаевич</v>
      </c>
      <c r="D48" s="394" t="str">
        <f>IFERROR(VLOOKUP(B48,пр.взв!$B$7:$H$38,3,0),"")</f>
        <v>09.04.00, кмс</v>
      </c>
      <c r="E48" s="394" t="str">
        <f>IFERROR(VLOOKUP(B48,пр.взв!$B$7:$H$38,4,0),"")</f>
        <v>ЦФО</v>
      </c>
      <c r="F48" s="417" t="str">
        <f>IFERROR(VLOOKUP(B48,пр.взв!$B$7:$H$38,5,0),"")</f>
        <v>Воронежская, Воронеж</v>
      </c>
      <c r="G48" s="384"/>
      <c r="H48" s="384"/>
      <c r="I48" s="312"/>
      <c r="J48" s="421"/>
      <c r="K48" s="411"/>
      <c r="L48" s="415">
        <f>пр.хода!T20</f>
        <v>14</v>
      </c>
      <c r="M48" s="417" t="str">
        <f>IFERROR(VLOOKUP(L48,пр.взв!$B$7:$H$38,2,0),"")</f>
        <v>Нечаев Максим Михайлович</v>
      </c>
      <c r="N48" s="394" t="str">
        <f>IFERROR(VLOOKUP(L48,пр.взв!$B$7:$H$38,3,0),"")</f>
        <v>26.01.94, кмс</v>
      </c>
      <c r="O48" s="394" t="str">
        <f>IFERROR(VLOOKUP(L48,пр.взв!$B$7:$H$38,4,0),"")</f>
        <v>СЗФО</v>
      </c>
      <c r="P48" s="417" t="str">
        <f>IFERROR(VLOOKUP(L48,пр.взв!$B$7:$H$38,5,0),"")</f>
        <v>Новгородская, Боровичи</v>
      </c>
      <c r="Q48" s="384"/>
      <c r="R48" s="384"/>
      <c r="S48" s="312"/>
      <c r="T48" s="421"/>
    </row>
    <row r="49" spans="1:20" ht="12.95" customHeight="1" thickBot="1">
      <c r="A49" s="469"/>
      <c r="B49" s="416"/>
      <c r="C49" s="418"/>
      <c r="D49" s="395"/>
      <c r="E49" s="395"/>
      <c r="F49" s="418"/>
      <c r="G49" s="385"/>
      <c r="H49" s="385"/>
      <c r="I49" s="401"/>
      <c r="J49" s="422"/>
      <c r="K49" s="412"/>
      <c r="L49" s="416"/>
      <c r="M49" s="418"/>
      <c r="N49" s="395"/>
      <c r="O49" s="395"/>
      <c r="P49" s="418"/>
      <c r="Q49" s="385"/>
      <c r="R49" s="385"/>
      <c r="S49" s="401"/>
      <c r="T49" s="422"/>
    </row>
    <row r="50" spans="1:20" ht="12.75" customHeight="1">
      <c r="A50" s="467">
        <v>3</v>
      </c>
      <c r="B50" s="413">
        <f>пр.хода!E24</f>
        <v>3</v>
      </c>
      <c r="C50" s="405" t="str">
        <f>IFERROR(VLOOKUP(B50,пр.взв!$B$7:$H$38,2,0),"")</f>
        <v>Ломиворотов Илья Романович</v>
      </c>
      <c r="D50" s="396" t="str">
        <f>IFERROR(VLOOKUP(B50,пр.взв!$B$7:$H$38,3,0),"")</f>
        <v>19.03.01, кмс</v>
      </c>
      <c r="E50" s="396" t="str">
        <f>IFERROR(VLOOKUP(B50,пр.взв!$B$7:$H$38,4,0),"")</f>
        <v>ЦФО</v>
      </c>
      <c r="F50" s="405" t="str">
        <f>IFERROR(VLOOKUP(B50,пр.взв!$B$7:$H$38,5,0),"")</f>
        <v>Тульская, Тула</v>
      </c>
      <c r="G50" s="392"/>
      <c r="H50" s="398"/>
      <c r="I50" s="399"/>
      <c r="J50" s="472"/>
      <c r="K50" s="410">
        <v>7</v>
      </c>
      <c r="L50" s="413">
        <f>пр.хода!T24</f>
        <v>4</v>
      </c>
      <c r="M50" s="405" t="str">
        <f>IFERROR(VLOOKUP(L50,пр.взв!$B$7:$H$38,2,0),"")</f>
        <v>Щербаков Денис Алексеевич</v>
      </c>
      <c r="N50" s="396" t="str">
        <f>IFERROR(VLOOKUP(L50,пр.взв!$B$7:$H$38,3,0),"")</f>
        <v>21.07.00, кмс</v>
      </c>
      <c r="O50" s="396" t="str">
        <f>IFERROR(VLOOKUP(L50,пр.взв!$B$7:$H$38,4,0),"")</f>
        <v>М</v>
      </c>
      <c r="P50" s="405" t="str">
        <f>IFERROR(VLOOKUP(L50,пр.взв!$B$7:$H$38,5,0),"")</f>
        <v>Москва, ГБОУ ЦО "Самбо-70"</v>
      </c>
      <c r="Q50" s="392"/>
      <c r="R50" s="398"/>
      <c r="S50" s="399"/>
      <c r="T50" s="472"/>
    </row>
    <row r="51" spans="1:20" ht="12.6" customHeight="1">
      <c r="A51" s="468"/>
      <c r="B51" s="414"/>
      <c r="C51" s="406"/>
      <c r="D51" s="397"/>
      <c r="E51" s="397"/>
      <c r="F51" s="406"/>
      <c r="G51" s="387"/>
      <c r="H51" s="387"/>
      <c r="I51" s="390"/>
      <c r="J51" s="471"/>
      <c r="K51" s="411"/>
      <c r="L51" s="414"/>
      <c r="M51" s="406"/>
      <c r="N51" s="397"/>
      <c r="O51" s="397"/>
      <c r="P51" s="406"/>
      <c r="Q51" s="387"/>
      <c r="R51" s="387"/>
      <c r="S51" s="390"/>
      <c r="T51" s="471"/>
    </row>
    <row r="52" spans="1:20" ht="12.75" customHeight="1">
      <c r="A52" s="468"/>
      <c r="B52" s="415">
        <f>пр.хода!E28</f>
        <v>11</v>
      </c>
      <c r="C52" s="417" t="str">
        <f>IFERROR(VLOOKUP(B52,пр.взв!$B$7:$H$38,2,0),"")</f>
        <v>Шахбазов Ислам Асланбекович</v>
      </c>
      <c r="D52" s="394" t="str">
        <f>IFERROR(VLOOKUP(B52,пр.взв!$B$7:$H$38,3,0),"")</f>
        <v>11.07.98, кмс</v>
      </c>
      <c r="E52" s="394" t="str">
        <f>IFERROR(VLOOKUP(B52,пр.взв!$B$7:$H$38,4,0),"")</f>
        <v>ЦФО</v>
      </c>
      <c r="F52" s="417" t="str">
        <f>IFERROR(VLOOKUP(B52,пр.взв!$B$7:$H$38,5,0),"")</f>
        <v>Тверская, Кашин</v>
      </c>
      <c r="G52" s="384"/>
      <c r="H52" s="384"/>
      <c r="I52" s="312"/>
      <c r="J52" s="421"/>
      <c r="K52" s="411"/>
      <c r="L52" s="415">
        <f>пр.хода!T28</f>
        <v>12</v>
      </c>
      <c r="M52" s="417" t="str">
        <f>IFERROR(VLOOKUP(L52,пр.взв!$B$7:$H$38,2,0),"")</f>
        <v>Макаров Артем Юрьевич</v>
      </c>
      <c r="N52" s="394" t="str">
        <f>IFERROR(VLOOKUP(L52,пр.взв!$B$7:$H$38,3,0),"")</f>
        <v>07.08.97, кмс</v>
      </c>
      <c r="O52" s="394" t="str">
        <f>IFERROR(VLOOKUP(L52,пр.взв!$B$7:$H$38,4,0),"")</f>
        <v>ЦФО</v>
      </c>
      <c r="P52" s="417" t="str">
        <f>IFERROR(VLOOKUP(L52,пр.взв!$B$7:$H$38,5,0),"")</f>
        <v>Тверская, Кимры</v>
      </c>
      <c r="Q52" s="384"/>
      <c r="R52" s="384"/>
      <c r="S52" s="312"/>
      <c r="T52" s="421"/>
    </row>
    <row r="53" spans="1:20" ht="12.95" customHeight="1" thickBot="1">
      <c r="A53" s="469"/>
      <c r="B53" s="416"/>
      <c r="C53" s="418"/>
      <c r="D53" s="395"/>
      <c r="E53" s="395"/>
      <c r="F53" s="418"/>
      <c r="G53" s="385"/>
      <c r="H53" s="385"/>
      <c r="I53" s="401"/>
      <c r="J53" s="422"/>
      <c r="K53" s="412"/>
      <c r="L53" s="416"/>
      <c r="M53" s="418"/>
      <c r="N53" s="395"/>
      <c r="O53" s="395"/>
      <c r="P53" s="418"/>
      <c r="Q53" s="385"/>
      <c r="R53" s="385"/>
      <c r="S53" s="401"/>
      <c r="T53" s="422"/>
    </row>
    <row r="54" spans="1:20" ht="12.75" customHeight="1">
      <c r="A54" s="467">
        <v>4</v>
      </c>
      <c r="B54" s="413">
        <f>пр.хода!E32</f>
        <v>7</v>
      </c>
      <c r="C54" s="405" t="str">
        <f>IFERROR(VLOOKUP(B54,пр.взв!$B$7:$H$38,2,0),"")</f>
        <v>Фролов Кирилл Михайлович</v>
      </c>
      <c r="D54" s="396" t="str">
        <f>IFERROR(VLOOKUP(B54,пр.взв!$B$7:$H$38,3,0),"")</f>
        <v>06.11.98, кмс</v>
      </c>
      <c r="E54" s="396" t="str">
        <f>IFERROR(VLOOKUP(B54,пр.взв!$B$7:$H$38,4,0),"")</f>
        <v>М</v>
      </c>
      <c r="F54" s="405" t="str">
        <f>IFERROR(VLOOKUP(B54,пр.взв!$B$7:$H$38,5,0),"")</f>
        <v>Москва, ГБОУ ЦО "Самбо-70"</v>
      </c>
      <c r="G54" s="386"/>
      <c r="H54" s="388"/>
      <c r="I54" s="389"/>
      <c r="J54" s="470"/>
      <c r="K54" s="410">
        <v>8</v>
      </c>
      <c r="L54" s="413">
        <f>пр.хода!T32</f>
        <v>8</v>
      </c>
      <c r="M54" s="405" t="str">
        <f>IFERROR(VLOOKUP(L54,пр.взв!$B$7:$H$38,2,0),"")</f>
        <v>Магомедкеримов Вагаб Гераклиевич</v>
      </c>
      <c r="N54" s="396" t="str">
        <f>IFERROR(VLOOKUP(L54,пр.взв!$B$7:$H$38,3,0),"")</f>
        <v>21.10.99, кмс</v>
      </c>
      <c r="O54" s="396" t="str">
        <f>IFERROR(VLOOKUP(L54,пр.взв!$B$7:$H$38,4,0),"")</f>
        <v>ЦФО</v>
      </c>
      <c r="P54" s="405" t="str">
        <f>IFERROR(VLOOKUP(L54,пр.взв!$B$7:$H$38,5,0),"")</f>
        <v>Тверская, Тверь</v>
      </c>
      <c r="Q54" s="386"/>
      <c r="R54" s="388"/>
      <c r="S54" s="389"/>
      <c r="T54" s="470"/>
    </row>
    <row r="55" spans="1:20" ht="12.6" customHeight="1">
      <c r="A55" s="468"/>
      <c r="B55" s="414"/>
      <c r="C55" s="406"/>
      <c r="D55" s="397"/>
      <c r="E55" s="397"/>
      <c r="F55" s="406"/>
      <c r="G55" s="387"/>
      <c r="H55" s="387"/>
      <c r="I55" s="390"/>
      <c r="J55" s="471"/>
      <c r="K55" s="411"/>
      <c r="L55" s="414"/>
      <c r="M55" s="406"/>
      <c r="N55" s="397"/>
      <c r="O55" s="397"/>
      <c r="P55" s="406"/>
      <c r="Q55" s="387"/>
      <c r="R55" s="387"/>
      <c r="S55" s="390"/>
      <c r="T55" s="471"/>
    </row>
    <row r="56" spans="1:20" ht="12.75" customHeight="1">
      <c r="A56" s="468"/>
      <c r="B56" s="415">
        <f>пр.хода!E36</f>
        <v>15</v>
      </c>
      <c r="C56" s="417" t="str">
        <f>IFERROR(VLOOKUP(B56,пр.взв!$B$7:$H$38,2,0),"")</f>
        <v>Матвеев Александр Петрович</v>
      </c>
      <c r="D56" s="407" t="str">
        <f>IFERROR(VLOOKUP(B56,пр.взв!$B$7:$H$38,3,0),"")</f>
        <v>27.04.98, кмс</v>
      </c>
      <c r="E56" s="407" t="str">
        <f>IFERROR(VLOOKUP(B56,пр.взв!$B$7:$H$38,4,0),"")</f>
        <v>СЗФО</v>
      </c>
      <c r="F56" s="419" t="str">
        <f>IFERROR(VLOOKUP(B56,пр.взв!$B$7:$H$38,5,0),"")</f>
        <v>Вологодская, Вологда</v>
      </c>
      <c r="G56" s="384"/>
      <c r="H56" s="384"/>
      <c r="I56" s="312"/>
      <c r="J56" s="421"/>
      <c r="K56" s="411"/>
      <c r="L56" s="415">
        <f>пр.хода!T36</f>
        <v>16</v>
      </c>
      <c r="M56" s="417" t="str">
        <f>IFERROR(VLOOKUP(L56,пр.взв!$B$7:$H$38,2,0),"")</f>
        <v>Айриян Николай Сержикович</v>
      </c>
      <c r="N56" s="407" t="str">
        <f>IFERROR(VLOOKUP(L56,пр.взв!$B$7:$H$38,3,0),"")</f>
        <v>21.03.87, кмс</v>
      </c>
      <c r="O56" s="407" t="str">
        <f>IFERROR(VLOOKUP(L56,пр.взв!$B$7:$H$38,4,0),"")</f>
        <v>ЦФО</v>
      </c>
      <c r="P56" s="419" t="str">
        <f>IFERROR(VLOOKUP(L56,пр.взв!$B$7:$H$38,5,0),"")</f>
        <v>Московская, Дубна</v>
      </c>
      <c r="Q56" s="384"/>
      <c r="R56" s="384"/>
      <c r="S56" s="312"/>
      <c r="T56" s="421"/>
    </row>
    <row r="57" spans="1:20" ht="12.95" customHeight="1" thickBot="1">
      <c r="A57" s="469"/>
      <c r="B57" s="416"/>
      <c r="C57" s="418"/>
      <c r="D57" s="408"/>
      <c r="E57" s="408"/>
      <c r="F57" s="420"/>
      <c r="G57" s="385"/>
      <c r="H57" s="385"/>
      <c r="I57" s="401"/>
      <c r="J57" s="422"/>
      <c r="K57" s="412"/>
      <c r="L57" s="416"/>
      <c r="M57" s="418"/>
      <c r="N57" s="408"/>
      <c r="O57" s="408"/>
      <c r="P57" s="420"/>
      <c r="Q57" s="385"/>
      <c r="R57" s="385"/>
      <c r="S57" s="401"/>
      <c r="T57" s="422"/>
    </row>
    <row r="58" spans="1:20" ht="15.75">
      <c r="B58" s="267">
        <f>B38</f>
        <v>0</v>
      </c>
      <c r="C58" s="268" t="s">
        <v>108</v>
      </c>
      <c r="D58" s="268"/>
      <c r="E58" s="393"/>
      <c r="F58" s="393"/>
      <c r="G58" s="268"/>
      <c r="H58" s="268"/>
      <c r="I58" s="268"/>
      <c r="J58" s="268"/>
      <c r="L58" s="267">
        <f>L38</f>
        <v>0</v>
      </c>
      <c r="M58" s="268" t="s">
        <v>108</v>
      </c>
      <c r="N58" s="268"/>
      <c r="O58" s="393"/>
      <c r="P58" s="393"/>
      <c r="Q58" s="268"/>
      <c r="R58" s="268"/>
      <c r="S58" s="268"/>
      <c r="T58" s="268"/>
    </row>
    <row r="59" spans="1:20" ht="16.5" thickBot="1">
      <c r="B59" s="72" t="s">
        <v>31</v>
      </c>
      <c r="C59" s="74" t="s">
        <v>39</v>
      </c>
      <c r="D59" s="73" t="s">
        <v>37</v>
      </c>
      <c r="E59" s="73"/>
      <c r="F59" s="74"/>
      <c r="G59" s="72" t="str">
        <f>G71</f>
        <v>В.к. 68 кг.</v>
      </c>
      <c r="H59" s="74"/>
      <c r="I59" s="74"/>
      <c r="J59" s="74"/>
      <c r="K59" s="74"/>
      <c r="L59" s="72" t="s">
        <v>33</v>
      </c>
      <c r="M59" s="74" t="s">
        <v>39</v>
      </c>
      <c r="N59" s="73" t="s">
        <v>37</v>
      </c>
      <c r="O59" s="73"/>
      <c r="P59" s="74"/>
      <c r="Q59" s="72" t="str">
        <f>Q71</f>
        <v>В.к. 68 кг.</v>
      </c>
      <c r="R59" s="74"/>
      <c r="S59" s="74"/>
      <c r="T59" s="74"/>
    </row>
    <row r="60" spans="1:20" ht="12.75" customHeight="1">
      <c r="A60" s="443" t="s">
        <v>40</v>
      </c>
      <c r="B60" s="445" t="s">
        <v>4</v>
      </c>
      <c r="C60" s="439" t="s">
        <v>5</v>
      </c>
      <c r="D60" s="391" t="s">
        <v>14</v>
      </c>
      <c r="E60" s="451" t="s">
        <v>15</v>
      </c>
      <c r="F60" s="452"/>
      <c r="G60" s="439" t="s">
        <v>16</v>
      </c>
      <c r="H60" s="441" t="s">
        <v>41</v>
      </c>
      <c r="I60" s="434" t="s">
        <v>17</v>
      </c>
      <c r="J60" s="436" t="s">
        <v>18</v>
      </c>
      <c r="K60" s="443" t="s">
        <v>40</v>
      </c>
      <c r="L60" s="445" t="s">
        <v>4</v>
      </c>
      <c r="M60" s="439" t="s">
        <v>5</v>
      </c>
      <c r="N60" s="391" t="s">
        <v>14</v>
      </c>
      <c r="O60" s="447" t="s">
        <v>15</v>
      </c>
      <c r="P60" s="448"/>
      <c r="Q60" s="439" t="s">
        <v>16</v>
      </c>
      <c r="R60" s="441" t="s">
        <v>41</v>
      </c>
      <c r="S60" s="434" t="s">
        <v>17</v>
      </c>
      <c r="T60" s="436" t="s">
        <v>18</v>
      </c>
    </row>
    <row r="61" spans="1:20" ht="13.5" customHeight="1" thickBot="1">
      <c r="A61" s="444"/>
      <c r="B61" s="446" t="s">
        <v>34</v>
      </c>
      <c r="C61" s="440"/>
      <c r="D61" s="409"/>
      <c r="E61" s="453"/>
      <c r="F61" s="454"/>
      <c r="G61" s="440"/>
      <c r="H61" s="442"/>
      <c r="I61" s="435"/>
      <c r="J61" s="437" t="s">
        <v>35</v>
      </c>
      <c r="K61" s="444"/>
      <c r="L61" s="446" t="s">
        <v>34</v>
      </c>
      <c r="M61" s="440"/>
      <c r="N61" s="409"/>
      <c r="O61" s="449"/>
      <c r="P61" s="450"/>
      <c r="Q61" s="440"/>
      <c r="R61" s="442"/>
      <c r="S61" s="435"/>
      <c r="T61" s="437" t="s">
        <v>35</v>
      </c>
    </row>
    <row r="62" spans="1:20" ht="12.75" customHeight="1">
      <c r="A62" s="463">
        <v>1</v>
      </c>
      <c r="B62" s="413">
        <f>пр.хода!G10</f>
        <v>1</v>
      </c>
      <c r="C62" s="405" t="str">
        <f>IFERROR(VLOOKUP(B62,пр.взв!$B$7:$H$38,2,0),"")</f>
        <v>Шайхов Абдулло Пулодович</v>
      </c>
      <c r="D62" s="396" t="str">
        <f>IFERROR(VLOOKUP(B62,пр.взв!$B$7:$H$38,3,0),"")</f>
        <v>28.12.90, мс</v>
      </c>
      <c r="E62" s="396" t="str">
        <f>IFERROR(VLOOKUP(B62,пр.взв!$B$7:$H$38,4,0),"")</f>
        <v>ЦФО</v>
      </c>
      <c r="F62" s="405" t="str">
        <f>IFERROR(VLOOKUP(B62,пр.взв!$B$7:$H$38,5,0),"")</f>
        <v>Тверская, Тверь</v>
      </c>
      <c r="G62" s="386"/>
      <c r="H62" s="388"/>
      <c r="I62" s="389"/>
      <c r="J62" s="391"/>
      <c r="K62" s="402">
        <v>3</v>
      </c>
      <c r="L62" s="413">
        <f>пр.хода!R10</f>
        <v>2</v>
      </c>
      <c r="M62" s="405" t="str">
        <f>IFERROR(VLOOKUP(L62,пр.взв!$B$7:$H$38,2,0),"")</f>
        <v>Минажетдинов Ринат Рафаилевич</v>
      </c>
      <c r="N62" s="396" t="str">
        <f>IFERROR(VLOOKUP(L62,пр.взв!$B$7:$H$38,3,0),"")</f>
        <v>22.05.98, кмс</v>
      </c>
      <c r="O62" s="396" t="str">
        <f>IFERROR(VLOOKUP(L62,пр.взв!$B$7:$H$38,4,0),"")</f>
        <v>М</v>
      </c>
      <c r="P62" s="405" t="str">
        <f>IFERROR(VLOOKUP(L62,пр.взв!$B$7:$H$38,5,0),"")</f>
        <v>Москва, НИУ МГСУ</v>
      </c>
      <c r="Q62" s="386"/>
      <c r="R62" s="388"/>
      <c r="S62" s="389"/>
      <c r="T62" s="391"/>
    </row>
    <row r="63" spans="1:20" ht="12.6" customHeight="1">
      <c r="A63" s="464"/>
      <c r="B63" s="414"/>
      <c r="C63" s="406"/>
      <c r="D63" s="397"/>
      <c r="E63" s="397"/>
      <c r="F63" s="406"/>
      <c r="G63" s="387"/>
      <c r="H63" s="387"/>
      <c r="I63" s="390"/>
      <c r="J63" s="311"/>
      <c r="K63" s="382"/>
      <c r="L63" s="414"/>
      <c r="M63" s="406"/>
      <c r="N63" s="397"/>
      <c r="O63" s="397"/>
      <c r="P63" s="406"/>
      <c r="Q63" s="387"/>
      <c r="R63" s="387"/>
      <c r="S63" s="390"/>
      <c r="T63" s="311"/>
    </row>
    <row r="64" spans="1:20" ht="12.75" customHeight="1">
      <c r="A64" s="464"/>
      <c r="B64" s="415">
        <f>пр.хода!G18</f>
        <v>13</v>
      </c>
      <c r="C64" s="417" t="str">
        <f>IFERROR(VLOOKUP(B64,пр.взв!$B$7:$H$38,2,0),"")</f>
        <v>Прокофьев Иван Николаевич</v>
      </c>
      <c r="D64" s="394" t="str">
        <f>IFERROR(VLOOKUP(B64,пр.взв!$B$7:$H$38,3,0),"")</f>
        <v>09.04.00, кмс</v>
      </c>
      <c r="E64" s="394" t="str">
        <f>IFERROR(VLOOKUP(B64,пр.взв!$B$7:$H$38,4,0),"")</f>
        <v>ЦФО</v>
      </c>
      <c r="F64" s="417" t="str">
        <f>IFERROR(VLOOKUP(B64,пр.взв!$B$7:$H$38,5,0),"")</f>
        <v>Воронежская, Воронеж</v>
      </c>
      <c r="G64" s="384"/>
      <c r="H64" s="384"/>
      <c r="I64" s="312"/>
      <c r="J64" s="312"/>
      <c r="K64" s="382"/>
      <c r="L64" s="415">
        <f>пр.хода!R18</f>
        <v>6</v>
      </c>
      <c r="M64" s="417" t="str">
        <f>IFERROR(VLOOKUP(L64,пр.взв!$B$7:$H$38,2,0),"")</f>
        <v>Корочанский Данила Дмитриевич</v>
      </c>
      <c r="N64" s="394" t="str">
        <f>IFERROR(VLOOKUP(L64,пр.взв!$B$7:$H$38,3,0),"")</f>
        <v>23.07.00, кмс</v>
      </c>
      <c r="O64" s="394" t="str">
        <f>IFERROR(VLOOKUP(L64,пр.взв!$B$7:$H$38,4,0),"")</f>
        <v>М</v>
      </c>
      <c r="P64" s="417" t="str">
        <f>IFERROR(VLOOKUP(L64,пр.взв!$B$7:$H$38,5,0),"")</f>
        <v>Москва, ГБОУ ЦО "Самбо-70"</v>
      </c>
      <c r="Q64" s="384"/>
      <c r="R64" s="384"/>
      <c r="S64" s="312"/>
      <c r="T64" s="312"/>
    </row>
    <row r="65" spans="1:20" ht="12.95" customHeight="1" thickBot="1">
      <c r="A65" s="465"/>
      <c r="B65" s="416"/>
      <c r="C65" s="418"/>
      <c r="D65" s="395"/>
      <c r="E65" s="395"/>
      <c r="F65" s="418"/>
      <c r="G65" s="385"/>
      <c r="H65" s="385"/>
      <c r="I65" s="401"/>
      <c r="J65" s="401"/>
      <c r="K65" s="383"/>
      <c r="L65" s="416"/>
      <c r="M65" s="418"/>
      <c r="N65" s="395"/>
      <c r="O65" s="395"/>
      <c r="P65" s="418"/>
      <c r="Q65" s="385"/>
      <c r="R65" s="385"/>
      <c r="S65" s="401"/>
      <c r="T65" s="401"/>
    </row>
    <row r="66" spans="1:20" ht="12.75" customHeight="1">
      <c r="A66" s="463">
        <v>2</v>
      </c>
      <c r="B66" s="413">
        <f>пр.хода!G26</f>
        <v>3</v>
      </c>
      <c r="C66" s="405" t="str">
        <f>IFERROR(VLOOKUP(B66,пр.взв!$B$7:$H$38,2,0),"")</f>
        <v>Ломиворотов Илья Романович</v>
      </c>
      <c r="D66" s="396" t="str">
        <f>IFERROR(VLOOKUP(B66,пр.взв!$B$7:$H$38,3,0),"")</f>
        <v>19.03.01, кмс</v>
      </c>
      <c r="E66" s="396" t="str">
        <f>IFERROR(VLOOKUP(B66,пр.взв!$B$7:$H$38,4,0),"")</f>
        <v>ЦФО</v>
      </c>
      <c r="F66" s="405" t="str">
        <f>IFERROR(VLOOKUP(B66,пр.взв!$B$7:$H$38,5,0),"")</f>
        <v>Тульская, Тула</v>
      </c>
      <c r="G66" s="386"/>
      <c r="H66" s="388"/>
      <c r="I66" s="389"/>
      <c r="J66" s="462"/>
      <c r="K66" s="402">
        <v>4</v>
      </c>
      <c r="L66" s="413">
        <f>пр.хода!R26</f>
        <v>4</v>
      </c>
      <c r="M66" s="405" t="str">
        <f>IFERROR(VLOOKUP(L66,пр.взв!$B$7:$H$38,2,0),"")</f>
        <v>Щербаков Денис Алексеевич</v>
      </c>
      <c r="N66" s="396" t="str">
        <f>IFERROR(VLOOKUP(L66,пр.взв!$B$7:$H$38,3,0),"")</f>
        <v>21.07.00, кмс</v>
      </c>
      <c r="O66" s="396" t="str">
        <f>IFERROR(VLOOKUP(L66,пр.взв!$B$7:$H$38,4,0),"")</f>
        <v>М</v>
      </c>
      <c r="P66" s="405" t="str">
        <f>IFERROR(VLOOKUP(L66,пр.взв!$B$7:$H$38,5,0),"")</f>
        <v>Москва, ГБОУ ЦО "Самбо-70"</v>
      </c>
      <c r="Q66" s="386"/>
      <c r="R66" s="388"/>
      <c r="S66" s="389"/>
      <c r="T66" s="462"/>
    </row>
    <row r="67" spans="1:20" ht="12.6" customHeight="1">
      <c r="A67" s="464"/>
      <c r="B67" s="414"/>
      <c r="C67" s="406"/>
      <c r="D67" s="397"/>
      <c r="E67" s="397"/>
      <c r="F67" s="406"/>
      <c r="G67" s="387"/>
      <c r="H67" s="387"/>
      <c r="I67" s="390"/>
      <c r="J67" s="311"/>
      <c r="K67" s="382"/>
      <c r="L67" s="414"/>
      <c r="M67" s="406"/>
      <c r="N67" s="397"/>
      <c r="O67" s="397"/>
      <c r="P67" s="406"/>
      <c r="Q67" s="387"/>
      <c r="R67" s="387"/>
      <c r="S67" s="390"/>
      <c r="T67" s="311"/>
    </row>
    <row r="68" spans="1:20" ht="12.75" customHeight="1">
      <c r="A68" s="464"/>
      <c r="B68" s="415">
        <f>пр.хода!G34</f>
        <v>15</v>
      </c>
      <c r="C68" s="417" t="str">
        <f>IFERROR(VLOOKUP(B68,пр.взв!$B$7:$H$38,2,0),"")</f>
        <v>Матвеев Александр Петрович</v>
      </c>
      <c r="D68" s="407" t="str">
        <f>IFERROR(VLOOKUP(B68,пр.взв!$B$7:$H$38,3,0),"")</f>
        <v>27.04.98, кмс</v>
      </c>
      <c r="E68" s="407" t="str">
        <f>IFERROR(VLOOKUP(B68,пр.взв!$B$7:$H$38,4,0),"")</f>
        <v>СЗФО</v>
      </c>
      <c r="F68" s="419" t="str">
        <f>IFERROR(VLOOKUP(B68,пр.взв!$B$7:$H$38,5,0),"")</f>
        <v>Вологодская, Вологда</v>
      </c>
      <c r="G68" s="384"/>
      <c r="H68" s="384"/>
      <c r="I68" s="312"/>
      <c r="J68" s="312"/>
      <c r="K68" s="382"/>
      <c r="L68" s="415">
        <f>пр.хода!R34</f>
        <v>16</v>
      </c>
      <c r="M68" s="417" t="str">
        <f>IFERROR(VLOOKUP(L68,пр.взв!$B$7:$H$38,2,0),"")</f>
        <v>Айриян Николай Сержикович</v>
      </c>
      <c r="N68" s="407" t="str">
        <f>IFERROR(VLOOKUP(L68,пр.взв!$B$7:$H$38,3,0),"")</f>
        <v>21.03.87, кмс</v>
      </c>
      <c r="O68" s="407" t="str">
        <f>IFERROR(VLOOKUP(L68,пр.взв!$B$7:$H$38,4,0),"")</f>
        <v>ЦФО</v>
      </c>
      <c r="P68" s="419" t="str">
        <f>IFERROR(VLOOKUP(L68,пр.взв!$B$7:$H$38,5,0),"")</f>
        <v>Московская, Дубна</v>
      </c>
      <c r="Q68" s="384"/>
      <c r="R68" s="384"/>
      <c r="S68" s="312"/>
      <c r="T68" s="312"/>
    </row>
    <row r="69" spans="1:20" ht="12.95" customHeight="1" thickBot="1">
      <c r="A69" s="465"/>
      <c r="B69" s="416"/>
      <c r="C69" s="418"/>
      <c r="D69" s="408"/>
      <c r="E69" s="408"/>
      <c r="F69" s="420"/>
      <c r="G69" s="385"/>
      <c r="H69" s="385"/>
      <c r="I69" s="401"/>
      <c r="J69" s="401"/>
      <c r="K69" s="383"/>
      <c r="L69" s="416"/>
      <c r="M69" s="418"/>
      <c r="N69" s="408"/>
      <c r="O69" s="408"/>
      <c r="P69" s="420"/>
      <c r="Q69" s="385"/>
      <c r="R69" s="385"/>
      <c r="S69" s="401"/>
      <c r="T69" s="401"/>
    </row>
    <row r="70" spans="1:20" ht="15.75">
      <c r="B70" s="267">
        <f>B58</f>
        <v>0</v>
      </c>
      <c r="C70" s="268" t="s">
        <v>108</v>
      </c>
      <c r="D70" s="268"/>
      <c r="E70" s="393"/>
      <c r="F70" s="393"/>
      <c r="G70" s="268"/>
      <c r="H70" s="268"/>
      <c r="I70" s="268"/>
      <c r="J70" s="268"/>
      <c r="L70" s="267">
        <f>L58</f>
        <v>0</v>
      </c>
      <c r="M70" s="268" t="s">
        <v>108</v>
      </c>
      <c r="N70" s="268"/>
      <c r="O70" s="393"/>
      <c r="P70" s="393"/>
      <c r="Q70" s="268"/>
      <c r="R70" s="268"/>
      <c r="S70" s="268"/>
      <c r="T70" s="268"/>
    </row>
    <row r="71" spans="1:20" ht="16.5" thickBot="1">
      <c r="B71" s="72" t="s">
        <v>31</v>
      </c>
      <c r="C71" s="85" t="s">
        <v>42</v>
      </c>
      <c r="D71" s="76"/>
      <c r="E71" s="76"/>
      <c r="F71" s="76"/>
      <c r="G71" s="77" t="str">
        <f>G80</f>
        <v>В.к. 68 кг.</v>
      </c>
      <c r="H71" s="76"/>
      <c r="I71" s="76"/>
      <c r="J71" s="76"/>
      <c r="K71" s="75"/>
      <c r="L71" s="72" t="s">
        <v>1</v>
      </c>
      <c r="M71" s="85" t="s">
        <v>42</v>
      </c>
      <c r="N71" s="76"/>
      <c r="O71" s="76"/>
      <c r="P71" s="76"/>
      <c r="Q71" s="72" t="str">
        <f>G71</f>
        <v>В.к. 68 кг.</v>
      </c>
      <c r="R71" s="76"/>
      <c r="S71" s="76"/>
      <c r="T71" s="76"/>
    </row>
    <row r="72" spans="1:20" ht="12.75" customHeight="1">
      <c r="A72" s="443" t="s">
        <v>40</v>
      </c>
      <c r="B72" s="445" t="s">
        <v>4</v>
      </c>
      <c r="C72" s="439" t="s">
        <v>5</v>
      </c>
      <c r="D72" s="391" t="s">
        <v>14</v>
      </c>
      <c r="E72" s="451" t="s">
        <v>15</v>
      </c>
      <c r="F72" s="452"/>
      <c r="G72" s="439" t="s">
        <v>16</v>
      </c>
      <c r="H72" s="441" t="s">
        <v>41</v>
      </c>
      <c r="I72" s="434" t="s">
        <v>17</v>
      </c>
      <c r="J72" s="436" t="s">
        <v>18</v>
      </c>
      <c r="K72" s="443" t="s">
        <v>40</v>
      </c>
      <c r="L72" s="445" t="s">
        <v>4</v>
      </c>
      <c r="M72" s="439" t="s">
        <v>5</v>
      </c>
      <c r="N72" s="391" t="s">
        <v>14</v>
      </c>
      <c r="O72" s="447" t="s">
        <v>15</v>
      </c>
      <c r="P72" s="448"/>
      <c r="Q72" s="439" t="s">
        <v>16</v>
      </c>
      <c r="R72" s="441" t="s">
        <v>41</v>
      </c>
      <c r="S72" s="434" t="s">
        <v>17</v>
      </c>
      <c r="T72" s="436" t="s">
        <v>18</v>
      </c>
    </row>
    <row r="73" spans="1:20" ht="13.5" customHeight="1" thickBot="1">
      <c r="A73" s="444"/>
      <c r="B73" s="446" t="s">
        <v>34</v>
      </c>
      <c r="C73" s="440"/>
      <c r="D73" s="409"/>
      <c r="E73" s="453"/>
      <c r="F73" s="454"/>
      <c r="G73" s="440"/>
      <c r="H73" s="442"/>
      <c r="I73" s="435"/>
      <c r="J73" s="437" t="s">
        <v>35</v>
      </c>
      <c r="K73" s="444"/>
      <c r="L73" s="446" t="s">
        <v>34</v>
      </c>
      <c r="M73" s="440"/>
      <c r="N73" s="409"/>
      <c r="O73" s="449"/>
      <c r="P73" s="450"/>
      <c r="Q73" s="440"/>
      <c r="R73" s="442"/>
      <c r="S73" s="435"/>
      <c r="T73" s="437" t="s">
        <v>35</v>
      </c>
    </row>
    <row r="74" spans="1:20" ht="12.75" customHeight="1">
      <c r="A74" s="457">
        <v>1</v>
      </c>
      <c r="B74" s="460">
        <f>пр.хода!I14</f>
        <v>1</v>
      </c>
      <c r="C74" s="405" t="str">
        <f>IFERROR(VLOOKUP(B74,пр.взв!$B$7:$H$38,2,0),"")</f>
        <v>Шайхов Абдулло Пулодович</v>
      </c>
      <c r="D74" s="396" t="str">
        <f>IFERROR(VLOOKUP(B74,пр.взв!$B$7:$H$38,3,0),"")</f>
        <v>28.12.90, мс</v>
      </c>
      <c r="E74" s="396" t="str">
        <f>IFERROR(VLOOKUP(B74,пр.взв!$B$7:$H$38,4,0),"")</f>
        <v>ЦФО</v>
      </c>
      <c r="F74" s="405" t="str">
        <f>IFERROR(VLOOKUP(B74,пр.взв!$B$7:$H$38,5,0),"")</f>
        <v>Тверская, Тверь</v>
      </c>
      <c r="G74" s="386"/>
      <c r="H74" s="388"/>
      <c r="I74" s="389"/>
      <c r="J74" s="391"/>
      <c r="K74" s="457">
        <v>2</v>
      </c>
      <c r="L74" s="460">
        <f>пр.хода!P14</f>
        <v>2</v>
      </c>
      <c r="M74" s="405" t="str">
        <f>IFERROR(VLOOKUP(L74,пр.взв!$B$7:$H$38,2,0),"")</f>
        <v>Минажетдинов Ринат Рафаилевич</v>
      </c>
      <c r="N74" s="396" t="str">
        <f>IFERROR(VLOOKUP(L74,пр.взв!$B$7:$H$38,3,0),"")</f>
        <v>22.05.98, кмс</v>
      </c>
      <c r="O74" s="396" t="str">
        <f>IFERROR(VLOOKUP(L74,пр.взв!$B$7:$H$38,4,0),"")</f>
        <v>М</v>
      </c>
      <c r="P74" s="405" t="str">
        <f>IFERROR(VLOOKUP(L74,пр.взв!$B$7:$H$38,5,0),"")</f>
        <v>Москва, НИУ МГСУ</v>
      </c>
      <c r="Q74" s="386"/>
      <c r="R74" s="388"/>
      <c r="S74" s="389"/>
      <c r="T74" s="391"/>
    </row>
    <row r="75" spans="1:20" ht="12.6" customHeight="1">
      <c r="A75" s="458"/>
      <c r="B75" s="404"/>
      <c r="C75" s="406"/>
      <c r="D75" s="397"/>
      <c r="E75" s="397"/>
      <c r="F75" s="406"/>
      <c r="G75" s="387"/>
      <c r="H75" s="387"/>
      <c r="I75" s="390"/>
      <c r="J75" s="311"/>
      <c r="K75" s="458"/>
      <c r="L75" s="404"/>
      <c r="M75" s="406"/>
      <c r="N75" s="397"/>
      <c r="O75" s="397"/>
      <c r="P75" s="406"/>
      <c r="Q75" s="387"/>
      <c r="R75" s="387"/>
      <c r="S75" s="390"/>
      <c r="T75" s="311"/>
    </row>
    <row r="76" spans="1:20" ht="12.75" customHeight="1">
      <c r="A76" s="458"/>
      <c r="B76" s="455">
        <f>пр.хода!I30</f>
        <v>3</v>
      </c>
      <c r="C76" s="417" t="str">
        <f>IFERROR(VLOOKUP(B76,пр.взв!$B$7:$H$38,2,0),"")</f>
        <v>Ломиворотов Илья Романович</v>
      </c>
      <c r="D76" s="407" t="str">
        <f>IFERROR(VLOOKUP(B76,пр.взв!$B$7:$H$38,3,0),"")</f>
        <v>19.03.01, кмс</v>
      </c>
      <c r="E76" s="407" t="str">
        <f>IFERROR(VLOOKUP(B76,пр.взв!$B$7:$H$38,4,0),"")</f>
        <v>ЦФО</v>
      </c>
      <c r="F76" s="419" t="str">
        <f>IFERROR(VLOOKUP(B76,пр.взв!$B$7:$H$38,5,0),"")</f>
        <v>Тульская, Тула</v>
      </c>
      <c r="G76" s="384"/>
      <c r="H76" s="384"/>
      <c r="I76" s="312"/>
      <c r="J76" s="312"/>
      <c r="K76" s="458"/>
      <c r="L76" s="461">
        <f>пр.хода!P30</f>
        <v>4</v>
      </c>
      <c r="M76" s="417" t="str">
        <f>IFERROR(VLOOKUP(L76,пр.взв!$B$7:$H$38,2,0),"")</f>
        <v>Щербаков Денис Алексеевич</v>
      </c>
      <c r="N76" s="407" t="str">
        <f>IFERROR(VLOOKUP(L76,пр.взв!$B$7:$H$38,3,0),"")</f>
        <v>21.07.00, кмс</v>
      </c>
      <c r="O76" s="407" t="str">
        <f>IFERROR(VLOOKUP(L76,пр.взв!$B$7:$H$38,4,0),"")</f>
        <v>М</v>
      </c>
      <c r="P76" s="419" t="str">
        <f>IFERROR(VLOOKUP(L76,пр.взв!$B$7:$H$38,5,0),"")</f>
        <v>Москва, ГБОУ ЦО "Самбо-70"</v>
      </c>
      <c r="Q76" s="384"/>
      <c r="R76" s="384"/>
      <c r="S76" s="312"/>
      <c r="T76" s="312"/>
    </row>
    <row r="77" spans="1:20" ht="12.75" customHeight="1" thickBot="1">
      <c r="A77" s="459"/>
      <c r="B77" s="456"/>
      <c r="C77" s="418"/>
      <c r="D77" s="408"/>
      <c r="E77" s="408"/>
      <c r="F77" s="420"/>
      <c r="G77" s="385"/>
      <c r="H77" s="385"/>
      <c r="I77" s="401"/>
      <c r="J77" s="401"/>
      <c r="K77" s="459"/>
      <c r="L77" s="426"/>
      <c r="M77" s="418"/>
      <c r="N77" s="408"/>
      <c r="O77" s="408"/>
      <c r="P77" s="420"/>
      <c r="Q77" s="385"/>
      <c r="R77" s="385"/>
      <c r="S77" s="401"/>
      <c r="T77" s="401"/>
    </row>
    <row r="78" spans="1:20" ht="15.75">
      <c r="B78" s="267">
        <f>B70</f>
        <v>0</v>
      </c>
      <c r="C78" s="268" t="s">
        <v>108</v>
      </c>
      <c r="D78" s="268"/>
      <c r="E78" s="393"/>
      <c r="F78" s="393"/>
      <c r="G78" s="268"/>
      <c r="H78" s="268"/>
      <c r="I78" s="268"/>
      <c r="J78" s="268"/>
      <c r="L78" s="267">
        <f>L70</f>
        <v>0</v>
      </c>
      <c r="M78" s="268" t="s">
        <v>108</v>
      </c>
      <c r="N78" s="268"/>
      <c r="O78" s="393"/>
      <c r="P78" s="393"/>
      <c r="Q78" s="268"/>
      <c r="R78" s="268"/>
      <c r="S78" s="268"/>
      <c r="T78" s="268"/>
    </row>
    <row r="79" spans="1:20" ht="15">
      <c r="A79" s="466" t="s">
        <v>109</v>
      </c>
      <c r="B79" s="466"/>
      <c r="C79" s="466"/>
      <c r="D79" s="466"/>
      <c r="E79" s="466"/>
      <c r="F79" s="466"/>
      <c r="G79" s="466"/>
      <c r="H79" s="466"/>
      <c r="I79" s="466"/>
      <c r="J79" s="466"/>
      <c r="K79" s="466" t="s">
        <v>109</v>
      </c>
      <c r="L79" s="466"/>
      <c r="M79" s="466"/>
      <c r="N79" s="466"/>
      <c r="O79" s="466"/>
      <c r="P79" s="466"/>
      <c r="Q79" s="466"/>
      <c r="R79" s="466"/>
      <c r="S79" s="466"/>
      <c r="T79" s="466"/>
    </row>
    <row r="80" spans="1:20" ht="16.5" thickBot="1">
      <c r="B80" s="72" t="s">
        <v>31</v>
      </c>
      <c r="C80" s="78"/>
      <c r="D80" s="78"/>
      <c r="E80" s="78"/>
      <c r="F80" s="78"/>
      <c r="G80" s="79" t="str">
        <f>пр.взв!D4</f>
        <v>В.к. 68 кг.</v>
      </c>
      <c r="H80" s="78"/>
      <c r="I80" s="78"/>
      <c r="J80" s="78"/>
      <c r="K80" s="80"/>
      <c r="L80" s="81" t="s">
        <v>1</v>
      </c>
      <c r="M80" s="78"/>
      <c r="N80" s="78"/>
      <c r="O80" s="78"/>
      <c r="P80" s="78"/>
      <c r="Q80" s="79" t="str">
        <f>G80</f>
        <v>В.к. 68 кг.</v>
      </c>
      <c r="R80" s="75"/>
      <c r="S80" s="75"/>
      <c r="T80" s="75"/>
    </row>
    <row r="81" spans="1:20" ht="12.75" customHeight="1">
      <c r="A81" s="443" t="s">
        <v>40</v>
      </c>
      <c r="B81" s="445" t="s">
        <v>4</v>
      </c>
      <c r="C81" s="439" t="s">
        <v>5</v>
      </c>
      <c r="D81" s="391" t="s">
        <v>14</v>
      </c>
      <c r="E81" s="451" t="s">
        <v>15</v>
      </c>
      <c r="F81" s="452"/>
      <c r="G81" s="439" t="s">
        <v>16</v>
      </c>
      <c r="H81" s="441" t="s">
        <v>41</v>
      </c>
      <c r="I81" s="434" t="s">
        <v>17</v>
      </c>
      <c r="J81" s="436" t="s">
        <v>18</v>
      </c>
      <c r="K81" s="443" t="s">
        <v>40</v>
      </c>
      <c r="L81" s="445" t="s">
        <v>4</v>
      </c>
      <c r="M81" s="439" t="s">
        <v>5</v>
      </c>
      <c r="N81" s="391" t="s">
        <v>14</v>
      </c>
      <c r="O81" s="447" t="s">
        <v>15</v>
      </c>
      <c r="P81" s="448"/>
      <c r="Q81" s="439" t="s">
        <v>16</v>
      </c>
      <c r="R81" s="441" t="s">
        <v>41</v>
      </c>
      <c r="S81" s="434" t="s">
        <v>17</v>
      </c>
      <c r="T81" s="436" t="s">
        <v>18</v>
      </c>
    </row>
    <row r="82" spans="1:20" ht="13.5" customHeight="1" thickBot="1">
      <c r="A82" s="444"/>
      <c r="B82" s="446" t="s">
        <v>34</v>
      </c>
      <c r="C82" s="440"/>
      <c r="D82" s="409"/>
      <c r="E82" s="453"/>
      <c r="F82" s="454"/>
      <c r="G82" s="440"/>
      <c r="H82" s="442"/>
      <c r="I82" s="435"/>
      <c r="J82" s="437" t="s">
        <v>35</v>
      </c>
      <c r="K82" s="444"/>
      <c r="L82" s="446" t="s">
        <v>34</v>
      </c>
      <c r="M82" s="440"/>
      <c r="N82" s="409"/>
      <c r="O82" s="449"/>
      <c r="P82" s="450"/>
      <c r="Q82" s="440"/>
      <c r="R82" s="442"/>
      <c r="S82" s="435"/>
      <c r="T82" s="437" t="s">
        <v>35</v>
      </c>
    </row>
    <row r="83" spans="1:20" ht="12.75" customHeight="1">
      <c r="A83" s="402">
        <v>1</v>
      </c>
      <c r="B83" s="428">
        <f>пр.хода!K5</f>
        <v>17</v>
      </c>
      <c r="C83" s="405" t="str">
        <f>IFERROR(VLOOKUP(B83,пр.взв!$B$7:$H$38,2,0),"")</f>
        <v>Соловьев Михаил Алексеевич</v>
      </c>
      <c r="D83" s="396" t="str">
        <f>IFERROR(VLOOKUP(B83,пр.взв!$B$7:$H$38,3,0),"")</f>
        <v>13.11.96, кмс</v>
      </c>
      <c r="E83" s="396" t="str">
        <f>IFERROR(VLOOKUP(B83,пр.взв!$B$7:$H$38,4,0),"")</f>
        <v>ЦФО</v>
      </c>
      <c r="F83" s="405" t="str">
        <f>IFERROR(VLOOKUP(B83,пр.взв!$B$7:$H$38,5,0),"")</f>
        <v>Рязанская, Рязань</v>
      </c>
      <c r="G83" s="386"/>
      <c r="H83" s="388"/>
      <c r="I83" s="389"/>
      <c r="J83" s="391"/>
      <c r="K83" s="402">
        <v>3</v>
      </c>
      <c r="L83" s="428">
        <f>пр.хода!K33</f>
        <v>18</v>
      </c>
      <c r="M83" s="405" t="str">
        <f>IFERROR(VLOOKUP(L83,пр.взв!$B$7:$H$38,2,0),"")</f>
        <v>Наджмонов Авзунмехр Муминджонович</v>
      </c>
      <c r="N83" s="396" t="str">
        <f>IFERROR(VLOOKUP(L83,пр.взв!$B$7:$H$38,3,0),"")</f>
        <v>03.07.95, кмс</v>
      </c>
      <c r="O83" s="396" t="str">
        <f>IFERROR(VLOOKUP(L83,пр.взв!$B$7:$H$38,4,0),"")</f>
        <v>ЦФО</v>
      </c>
      <c r="P83" s="405" t="str">
        <f>IFERROR(VLOOKUP(L83,пр.взв!$B$7:$H$38,5,0),"")</f>
        <v>Тверская, Тверь</v>
      </c>
      <c r="Q83" s="432"/>
      <c r="R83" s="433"/>
      <c r="S83" s="430"/>
      <c r="T83" s="431"/>
    </row>
    <row r="84" spans="1:20" ht="12.75" customHeight="1">
      <c r="A84" s="382"/>
      <c r="B84" s="404"/>
      <c r="C84" s="406"/>
      <c r="D84" s="397"/>
      <c r="E84" s="397"/>
      <c r="F84" s="406"/>
      <c r="G84" s="387"/>
      <c r="H84" s="387"/>
      <c r="I84" s="390"/>
      <c r="J84" s="311"/>
      <c r="K84" s="382"/>
      <c r="L84" s="404"/>
      <c r="M84" s="406"/>
      <c r="N84" s="397"/>
      <c r="O84" s="397"/>
      <c r="P84" s="406"/>
      <c r="Q84" s="392"/>
      <c r="R84" s="398"/>
      <c r="S84" s="399"/>
      <c r="T84" s="400"/>
    </row>
    <row r="85" spans="1:20" ht="12.75" customHeight="1">
      <c r="A85" s="382"/>
      <c r="B85" s="425">
        <f>пр.хода!K7</f>
        <v>9</v>
      </c>
      <c r="C85" s="417" t="str">
        <f>IFERROR(VLOOKUP(B85,пр.взв!$B$7:$H$38,2,0),"")</f>
        <v>Солодянников Сергей Константинович</v>
      </c>
      <c r="D85" s="394" t="str">
        <f>IFERROR(VLOOKUP(B85,пр.взв!$B$7:$H$38,3,0),"")</f>
        <v>08.10.94, кмс</v>
      </c>
      <c r="E85" s="394" t="str">
        <f>IFERROR(VLOOKUP(B85,пр.взв!$B$7:$H$38,4,0),"")</f>
        <v>ЦФО</v>
      </c>
      <c r="F85" s="417" t="str">
        <f>IFERROR(VLOOKUP(B85,пр.взв!$B$7:$H$38,5,0),"")</f>
        <v>Тверская, ОСН "Рысь"</v>
      </c>
      <c r="G85" s="384"/>
      <c r="H85" s="384"/>
      <c r="I85" s="312"/>
      <c r="J85" s="312"/>
      <c r="K85" s="382"/>
      <c r="L85" s="425">
        <f>пр.хода!K35</f>
        <v>10</v>
      </c>
      <c r="M85" s="417" t="str">
        <f>IFERROR(VLOOKUP(L85,пр.взв!$B$7:$H$38,2,0),"")</f>
        <v>Киселёв Сергей Николаевич</v>
      </c>
      <c r="N85" s="394" t="str">
        <f>IFERROR(VLOOKUP(L85,пр.взв!$B$7:$H$38,3,0),"")</f>
        <v>01.01.85, кмс</v>
      </c>
      <c r="O85" s="394" t="str">
        <f>IFERROR(VLOOKUP(L85,пр.взв!$B$7:$H$38,4,0),"")</f>
        <v>ЦФО</v>
      </c>
      <c r="P85" s="417" t="str">
        <f>IFERROR(VLOOKUP(L85,пр.взв!$B$7:$H$38,5,0),"")</f>
        <v>Тверская, ОСН "Рысь"</v>
      </c>
      <c r="Q85" s="384"/>
      <c r="R85" s="384"/>
      <c r="S85" s="312"/>
      <c r="T85" s="312"/>
    </row>
    <row r="86" spans="1:20" ht="13.5" customHeight="1" thickBot="1">
      <c r="A86" s="438"/>
      <c r="B86" s="426"/>
      <c r="C86" s="418"/>
      <c r="D86" s="395"/>
      <c r="E86" s="395"/>
      <c r="F86" s="418"/>
      <c r="G86" s="385"/>
      <c r="H86" s="385"/>
      <c r="I86" s="401"/>
      <c r="J86" s="401"/>
      <c r="K86" s="438"/>
      <c r="L86" s="426"/>
      <c r="M86" s="418"/>
      <c r="N86" s="395"/>
      <c r="O86" s="395"/>
      <c r="P86" s="418"/>
      <c r="Q86" s="385"/>
      <c r="R86" s="385"/>
      <c r="S86" s="401"/>
      <c r="T86" s="401"/>
    </row>
    <row r="87" spans="1:20" ht="12.75" customHeight="1">
      <c r="A87" s="402">
        <v>2</v>
      </c>
      <c r="B87" s="403">
        <f>пр.хода!K9</f>
        <v>19</v>
      </c>
      <c r="C87" s="405" t="str">
        <f>IFERROR(VLOOKUP(B87,пр.взв!$B$7:$H$38,2,0),"")</f>
        <v/>
      </c>
      <c r="D87" s="396" t="str">
        <f>IFERROR(VLOOKUP(B87,пр.взв!$B$7:$H$38,3,0),"")</f>
        <v/>
      </c>
      <c r="E87" s="396" t="str">
        <f>IFERROR(VLOOKUP(B87,пр.взв!$B$7:$H$38,4,0),"")</f>
        <v/>
      </c>
      <c r="F87" s="405" t="str">
        <f>IFERROR(VLOOKUP(B87,пр.взв!$B$7:$H$38,5,0),"")</f>
        <v/>
      </c>
      <c r="G87" s="386"/>
      <c r="H87" s="388"/>
      <c r="I87" s="389"/>
      <c r="J87" s="391"/>
      <c r="K87" s="402">
        <v>4</v>
      </c>
      <c r="L87" s="403">
        <f>пр.хода!K37</f>
        <v>20</v>
      </c>
      <c r="M87" s="405" t="str">
        <f>IFERROR(VLOOKUP(L87,пр.взв!$B$7:$H$38,2,0),"")</f>
        <v/>
      </c>
      <c r="N87" s="396" t="str">
        <f>IFERROR(VLOOKUP(L87,пр.взв!$B$7:$H$38,3,0),"")</f>
        <v/>
      </c>
      <c r="O87" s="396" t="str">
        <f>IFERROR(VLOOKUP(L87,пр.взв!$B$7:$H$38,4,0),"")</f>
        <v/>
      </c>
      <c r="P87" s="405" t="str">
        <f>IFERROR(VLOOKUP(L87,пр.взв!$B$7:$H$38,5,0),"")</f>
        <v/>
      </c>
      <c r="Q87" s="432"/>
      <c r="R87" s="433"/>
      <c r="S87" s="430"/>
      <c r="T87" s="431"/>
    </row>
    <row r="88" spans="1:20" ht="12.75" customHeight="1">
      <c r="A88" s="382"/>
      <c r="B88" s="404"/>
      <c r="C88" s="406"/>
      <c r="D88" s="397"/>
      <c r="E88" s="397"/>
      <c r="F88" s="406"/>
      <c r="G88" s="387"/>
      <c r="H88" s="387"/>
      <c r="I88" s="390"/>
      <c r="J88" s="311"/>
      <c r="K88" s="382"/>
      <c r="L88" s="404"/>
      <c r="M88" s="406"/>
      <c r="N88" s="397"/>
      <c r="O88" s="397"/>
      <c r="P88" s="406"/>
      <c r="Q88" s="392"/>
      <c r="R88" s="398"/>
      <c r="S88" s="399"/>
      <c r="T88" s="400"/>
    </row>
    <row r="89" spans="1:20" ht="12.75" customHeight="1">
      <c r="A89" s="382"/>
      <c r="B89" s="425">
        <f>пр.хода!K11</f>
        <v>11</v>
      </c>
      <c r="C89" s="417" t="str">
        <f>IFERROR(VLOOKUP(B89,пр.взв!$B$7:$H$38,2,0),"")</f>
        <v>Шахбазов Ислам Асланбекович</v>
      </c>
      <c r="D89" s="407" t="str">
        <f>IFERROR(VLOOKUP(B89,пр.взв!$B$7:$H$38,3,0),"")</f>
        <v>11.07.98, кмс</v>
      </c>
      <c r="E89" s="407" t="str">
        <f>IFERROR(VLOOKUP(B89,пр.взв!$B$7:$H$38,4,0),"")</f>
        <v>ЦФО</v>
      </c>
      <c r="F89" s="419" t="str">
        <f>IFERROR(VLOOKUP(B89,пр.взв!$B$7:$H$38,5,0),"")</f>
        <v>Тверская, Кашин</v>
      </c>
      <c r="G89" s="384"/>
      <c r="H89" s="384"/>
      <c r="I89" s="312"/>
      <c r="J89" s="312"/>
      <c r="K89" s="382"/>
      <c r="L89" s="425">
        <f>пр.хода!K39</f>
        <v>12</v>
      </c>
      <c r="M89" s="417" t="str">
        <f>IFERROR(VLOOKUP(L89,пр.взв!$B$7:$H$38,2,0),"")</f>
        <v>Макаров Артем Юрьевич</v>
      </c>
      <c r="N89" s="407" t="str">
        <f>IFERROR(VLOOKUP(L89,пр.взв!$B$7:$H$38,3,0),"")</f>
        <v>07.08.97, кмс</v>
      </c>
      <c r="O89" s="407" t="str">
        <f>IFERROR(VLOOKUP(L89,пр.взв!$B$7:$H$38,4,0),"")</f>
        <v>ЦФО</v>
      </c>
      <c r="P89" s="419" t="str">
        <f>IFERROR(VLOOKUP(L89,пр.взв!$B$7:$H$38,5,0),"")</f>
        <v>Тверская, Кимры</v>
      </c>
      <c r="Q89" s="384"/>
      <c r="R89" s="384"/>
      <c r="S89" s="312"/>
      <c r="T89" s="312"/>
    </row>
    <row r="90" spans="1:20" ht="12.75" customHeight="1" thickBot="1">
      <c r="A90" s="383"/>
      <c r="B90" s="426"/>
      <c r="C90" s="418"/>
      <c r="D90" s="408"/>
      <c r="E90" s="408"/>
      <c r="F90" s="420"/>
      <c r="G90" s="385"/>
      <c r="H90" s="385"/>
      <c r="I90" s="401"/>
      <c r="J90" s="401"/>
      <c r="K90" s="383"/>
      <c r="L90" s="426"/>
      <c r="M90" s="418"/>
      <c r="N90" s="408"/>
      <c r="O90" s="408"/>
      <c r="P90" s="420"/>
      <c r="Q90" s="385"/>
      <c r="R90" s="385"/>
      <c r="S90" s="401"/>
      <c r="T90" s="401"/>
    </row>
    <row r="91" spans="1:20" ht="12.75" customHeight="1">
      <c r="B91" s="267">
        <f>B78</f>
        <v>0</v>
      </c>
      <c r="C91" s="268" t="s">
        <v>108</v>
      </c>
      <c r="D91" s="268"/>
      <c r="E91" s="393"/>
      <c r="F91" s="393"/>
      <c r="G91" s="268"/>
      <c r="H91" s="268"/>
      <c r="I91" s="268"/>
      <c r="J91" s="268"/>
      <c r="L91" s="267">
        <f>L78</f>
        <v>0</v>
      </c>
      <c r="M91" s="268" t="s">
        <v>108</v>
      </c>
      <c r="N91" s="268"/>
      <c r="O91" s="393"/>
      <c r="P91" s="393"/>
      <c r="Q91" s="268"/>
      <c r="R91" s="268"/>
      <c r="S91" s="268"/>
      <c r="T91" s="268"/>
    </row>
    <row r="92" spans="1:20" ht="12.75" customHeight="1">
      <c r="A92" s="466" t="s">
        <v>110</v>
      </c>
      <c r="B92" s="466"/>
      <c r="C92" s="466"/>
      <c r="D92" s="466"/>
      <c r="E92" s="466"/>
      <c r="F92" s="466"/>
      <c r="G92" s="466"/>
      <c r="H92" s="466"/>
      <c r="I92" s="466"/>
      <c r="J92" s="466"/>
      <c r="K92" s="466" t="s">
        <v>110</v>
      </c>
      <c r="L92" s="466"/>
      <c r="M92" s="466"/>
      <c r="N92" s="466"/>
      <c r="O92" s="466"/>
      <c r="P92" s="466"/>
      <c r="Q92" s="466"/>
      <c r="R92" s="466"/>
      <c r="S92" s="466"/>
      <c r="T92" s="466"/>
    </row>
    <row r="93" spans="1:20" ht="12.75" customHeight="1" thickBot="1">
      <c r="B93" s="72" t="s">
        <v>31</v>
      </c>
      <c r="C93" s="78"/>
      <c r="D93" s="78"/>
      <c r="E93" s="78"/>
      <c r="F93" s="78"/>
      <c r="G93" s="79" t="str">
        <f>G80</f>
        <v>В.к. 68 кг.</v>
      </c>
      <c r="H93" s="78"/>
      <c r="I93" s="78"/>
      <c r="J93" s="78"/>
      <c r="K93" s="80"/>
      <c r="L93" s="81" t="s">
        <v>1</v>
      </c>
      <c r="M93" s="78"/>
      <c r="N93" s="78"/>
      <c r="O93" s="78"/>
      <c r="P93" s="78"/>
      <c r="Q93" s="79" t="str">
        <f>Q80</f>
        <v>В.к. 68 кг.</v>
      </c>
      <c r="R93" s="75"/>
      <c r="S93" s="75"/>
      <c r="T93" s="75"/>
    </row>
    <row r="94" spans="1:20" ht="12.75" customHeight="1">
      <c r="A94" s="443" t="s">
        <v>40</v>
      </c>
      <c r="B94" s="445" t="s">
        <v>4</v>
      </c>
      <c r="C94" s="439" t="s">
        <v>5</v>
      </c>
      <c r="D94" s="391" t="s">
        <v>14</v>
      </c>
      <c r="E94" s="451" t="s">
        <v>15</v>
      </c>
      <c r="F94" s="452"/>
      <c r="G94" s="439" t="s">
        <v>16</v>
      </c>
      <c r="H94" s="441" t="s">
        <v>41</v>
      </c>
      <c r="I94" s="434" t="s">
        <v>17</v>
      </c>
      <c r="J94" s="436" t="s">
        <v>18</v>
      </c>
      <c r="K94" s="443" t="s">
        <v>40</v>
      </c>
      <c r="L94" s="445" t="s">
        <v>4</v>
      </c>
      <c r="M94" s="439" t="s">
        <v>5</v>
      </c>
      <c r="N94" s="391" t="s">
        <v>14</v>
      </c>
      <c r="O94" s="447" t="s">
        <v>15</v>
      </c>
      <c r="P94" s="448"/>
      <c r="Q94" s="439" t="s">
        <v>16</v>
      </c>
      <c r="R94" s="441" t="s">
        <v>41</v>
      </c>
      <c r="S94" s="434" t="s">
        <v>17</v>
      </c>
      <c r="T94" s="436" t="s">
        <v>18</v>
      </c>
    </row>
    <row r="95" spans="1:20" ht="13.5" thickBot="1">
      <c r="A95" s="444"/>
      <c r="B95" s="446" t="s">
        <v>34</v>
      </c>
      <c r="C95" s="440"/>
      <c r="D95" s="409"/>
      <c r="E95" s="453"/>
      <c r="F95" s="454"/>
      <c r="G95" s="440"/>
      <c r="H95" s="442"/>
      <c r="I95" s="435"/>
      <c r="J95" s="437" t="s">
        <v>35</v>
      </c>
      <c r="K95" s="444"/>
      <c r="L95" s="446" t="s">
        <v>34</v>
      </c>
      <c r="M95" s="440"/>
      <c r="N95" s="409"/>
      <c r="O95" s="449"/>
      <c r="P95" s="450"/>
      <c r="Q95" s="440"/>
      <c r="R95" s="442"/>
      <c r="S95" s="435"/>
      <c r="T95" s="437" t="s">
        <v>35</v>
      </c>
    </row>
    <row r="96" spans="1:20" ht="12.75" customHeight="1">
      <c r="A96" s="382">
        <v>5</v>
      </c>
      <c r="B96" s="428">
        <f>пр.хода!L6</f>
        <v>17</v>
      </c>
      <c r="C96" s="427" t="str">
        <f>IFERROR(VLOOKUP(B96,пр.взв!$B$7:$H$38,2,0),"")</f>
        <v>Соловьев Михаил Алексеевич</v>
      </c>
      <c r="D96" s="429" t="str">
        <f>IFERROR(VLOOKUP(B96,пр.взв!$B$7:$H$38,3,0),"")</f>
        <v>13.11.96, кмс</v>
      </c>
      <c r="E96" s="429" t="str">
        <f>IFERROR(VLOOKUP(B96,пр.взв!$B$7:$H$38,4,0),"")</f>
        <v>ЦФО</v>
      </c>
      <c r="F96" s="427" t="str">
        <f>IFERROR(VLOOKUP(B96,пр.взв!$B$7:$H$38,5,0),"")</f>
        <v>Рязанская, Рязань</v>
      </c>
      <c r="G96" s="392"/>
      <c r="H96" s="398"/>
      <c r="I96" s="399"/>
      <c r="J96" s="400"/>
      <c r="K96" s="382">
        <v>7</v>
      </c>
      <c r="L96" s="428">
        <f>пр.хода!L34</f>
        <v>18</v>
      </c>
      <c r="M96" s="427" t="str">
        <f>IFERROR(VLOOKUP(L96,пр.взв!$B$7:$H$38,2,0),"")</f>
        <v>Наджмонов Авзунмехр Муминджонович</v>
      </c>
      <c r="N96" s="429" t="str">
        <f>IFERROR(VLOOKUP(L96,пр.взв!$B$7:$H$38,3,0),"")</f>
        <v>03.07.95, кмс</v>
      </c>
      <c r="O96" s="429" t="str">
        <f>IFERROR(VLOOKUP(L96,пр.взв!$B$7:$H$38,4,0),"")</f>
        <v>ЦФО</v>
      </c>
      <c r="P96" s="427" t="str">
        <f>IFERROR(VLOOKUP(L96,пр.взв!$B$7:$H$38,5,0),"")</f>
        <v>Тверская, Тверь</v>
      </c>
      <c r="Q96" s="392"/>
      <c r="R96" s="398"/>
      <c r="S96" s="399"/>
      <c r="T96" s="400"/>
    </row>
    <row r="97" spans="1:20" ht="12.75" customHeight="1">
      <c r="A97" s="382"/>
      <c r="B97" s="404"/>
      <c r="C97" s="406"/>
      <c r="D97" s="397"/>
      <c r="E97" s="397"/>
      <c r="F97" s="406"/>
      <c r="G97" s="387"/>
      <c r="H97" s="387"/>
      <c r="I97" s="390"/>
      <c r="J97" s="311"/>
      <c r="K97" s="382"/>
      <c r="L97" s="404"/>
      <c r="M97" s="406"/>
      <c r="N97" s="397"/>
      <c r="O97" s="397"/>
      <c r="P97" s="406"/>
      <c r="Q97" s="387"/>
      <c r="R97" s="387"/>
      <c r="S97" s="390"/>
      <c r="T97" s="311"/>
    </row>
    <row r="98" spans="1:20" ht="12.75" customHeight="1">
      <c r="A98" s="382"/>
      <c r="B98" s="425">
        <f>пр.хода!L8</f>
        <v>13</v>
      </c>
      <c r="C98" s="417" t="str">
        <f>IFERROR(VLOOKUP(B98,пр.взв!$B$7:$H$38,2,0),"")</f>
        <v>Прокофьев Иван Николаевич</v>
      </c>
      <c r="D98" s="394" t="str">
        <f>IFERROR(VLOOKUP(B98,пр.взв!$B$7:$H$38,3,0),"")</f>
        <v>09.04.00, кмс</v>
      </c>
      <c r="E98" s="394" t="str">
        <f>IFERROR(VLOOKUP(B98,пр.взв!$B$7:$H$38,4,0),"")</f>
        <v>ЦФО</v>
      </c>
      <c r="F98" s="417" t="str">
        <f>IFERROR(VLOOKUP(B98,пр.взв!$B$7:$H$38,5,0),"")</f>
        <v>Воронежская, Воронеж</v>
      </c>
      <c r="G98" s="384"/>
      <c r="H98" s="384"/>
      <c r="I98" s="312"/>
      <c r="J98" s="312"/>
      <c r="K98" s="382"/>
      <c r="L98" s="425">
        <f>пр.хода!L36</f>
        <v>6</v>
      </c>
      <c r="M98" s="417" t="str">
        <f>IFERROR(VLOOKUP(L98,пр.взв!$B$7:$H$38,2,0),"")</f>
        <v>Корочанский Данила Дмитриевич</v>
      </c>
      <c r="N98" s="394" t="str">
        <f>IFERROR(VLOOKUP(L98,пр.взв!$B$7:$H$38,3,0),"")</f>
        <v>23.07.00, кмс</v>
      </c>
      <c r="O98" s="394" t="str">
        <f>IFERROR(VLOOKUP(L98,пр.взв!$B$7:$H$38,4,0),"")</f>
        <v>М</v>
      </c>
      <c r="P98" s="417" t="str">
        <f>IFERROR(VLOOKUP(L98,пр.взв!$B$7:$H$38,5,0),"")</f>
        <v>Москва, ГБОУ ЦО "Самбо-70"</v>
      </c>
      <c r="Q98" s="384"/>
      <c r="R98" s="384"/>
      <c r="S98" s="312"/>
      <c r="T98" s="312"/>
    </row>
    <row r="99" spans="1:20" ht="13.5" customHeight="1" thickBot="1">
      <c r="A99" s="383"/>
      <c r="B99" s="426"/>
      <c r="C99" s="418"/>
      <c r="D99" s="395"/>
      <c r="E99" s="395"/>
      <c r="F99" s="418"/>
      <c r="G99" s="385"/>
      <c r="H99" s="385"/>
      <c r="I99" s="401"/>
      <c r="J99" s="401"/>
      <c r="K99" s="383"/>
      <c r="L99" s="426"/>
      <c r="M99" s="418"/>
      <c r="N99" s="395"/>
      <c r="O99" s="395"/>
      <c r="P99" s="418"/>
      <c r="Q99" s="385"/>
      <c r="R99" s="385"/>
      <c r="S99" s="401"/>
      <c r="T99" s="401"/>
    </row>
    <row r="100" spans="1:20" ht="12.75" customHeight="1">
      <c r="A100" s="402">
        <v>6</v>
      </c>
      <c r="B100" s="403">
        <f>пр.хода!L10</f>
        <v>11</v>
      </c>
      <c r="C100" s="405" t="str">
        <f>IFERROR(VLOOKUP(B100,пр.взв!$B$7:$H$38,2,0),"")</f>
        <v>Шахбазов Ислам Асланбекович</v>
      </c>
      <c r="D100" s="396" t="str">
        <f>IFERROR(VLOOKUP(B100,пр.взв!$B$7:$H$38,3,0),"")</f>
        <v>11.07.98, кмс</v>
      </c>
      <c r="E100" s="396" t="str">
        <f>IFERROR(VLOOKUP(B100,пр.взв!$B$7:$H$38,4,0),"")</f>
        <v>ЦФО</v>
      </c>
      <c r="F100" s="405" t="str">
        <f>IFERROR(VLOOKUP(B100,пр.взв!$B$7:$H$38,5,0),"")</f>
        <v>Тверская, Кашин</v>
      </c>
      <c r="G100" s="386"/>
      <c r="H100" s="388"/>
      <c r="I100" s="389"/>
      <c r="J100" s="391"/>
      <c r="K100" s="402">
        <v>8</v>
      </c>
      <c r="L100" s="403">
        <f>пр.хода!L38</f>
        <v>12</v>
      </c>
      <c r="M100" s="405" t="str">
        <f>IFERROR(VLOOKUP(L100,пр.взв!$B$7:$H$38,2,0),"")</f>
        <v>Макаров Артем Юрьевич</v>
      </c>
      <c r="N100" s="396" t="str">
        <f>IFERROR(VLOOKUP(L100,пр.взв!$B$7:$H$38,3,0),"")</f>
        <v>07.08.97, кмс</v>
      </c>
      <c r="O100" s="396" t="str">
        <f>IFERROR(VLOOKUP(L100,пр.взв!$B$7:$H$38,4,0),"")</f>
        <v>ЦФО</v>
      </c>
      <c r="P100" s="405" t="str">
        <f>IFERROR(VLOOKUP(L100,пр.взв!$B$7:$H$38,5,0),"")</f>
        <v>Тверская, Кимры</v>
      </c>
      <c r="Q100" s="386"/>
      <c r="R100" s="388"/>
      <c r="S100" s="389"/>
      <c r="T100" s="391"/>
    </row>
    <row r="101" spans="1:20" ht="12.75" customHeight="1">
      <c r="A101" s="382"/>
      <c r="B101" s="404"/>
      <c r="C101" s="406"/>
      <c r="D101" s="397"/>
      <c r="E101" s="397"/>
      <c r="F101" s="406"/>
      <c r="G101" s="387"/>
      <c r="H101" s="387"/>
      <c r="I101" s="390"/>
      <c r="J101" s="311"/>
      <c r="K101" s="382"/>
      <c r="L101" s="404"/>
      <c r="M101" s="406"/>
      <c r="N101" s="397"/>
      <c r="O101" s="397"/>
      <c r="P101" s="406"/>
      <c r="Q101" s="387"/>
      <c r="R101" s="387"/>
      <c r="S101" s="390"/>
      <c r="T101" s="311"/>
    </row>
    <row r="102" spans="1:20" ht="12.75" customHeight="1">
      <c r="A102" s="382"/>
      <c r="B102" s="425">
        <f>пр.хода!L12</f>
        <v>15</v>
      </c>
      <c r="C102" s="417" t="str">
        <f>IFERROR(VLOOKUP(B102,пр.взв!$B$7:$H$38,2,0),"")</f>
        <v>Матвеев Александр Петрович</v>
      </c>
      <c r="D102" s="407" t="str">
        <f>IFERROR(VLOOKUP(B102,пр.взв!$B$7:$H$38,3,0),"")</f>
        <v>27.04.98, кмс</v>
      </c>
      <c r="E102" s="407" t="str">
        <f>IFERROR(VLOOKUP(B102,пр.взв!$B$7:$H$38,4,0),"")</f>
        <v>СЗФО</v>
      </c>
      <c r="F102" s="419" t="str">
        <f>IFERROR(VLOOKUP(B102,пр.взв!$B$7:$H$38,5,0),"")</f>
        <v>Вологодская, Вологда</v>
      </c>
      <c r="G102" s="384"/>
      <c r="H102" s="384"/>
      <c r="I102" s="312"/>
      <c r="J102" s="312"/>
      <c r="K102" s="382"/>
      <c r="L102" s="425">
        <f>пр.хода!L40</f>
        <v>16</v>
      </c>
      <c r="M102" s="417" t="str">
        <f>IFERROR(VLOOKUP(L102,пр.взв!$B$7:$H$38,2,0),"")</f>
        <v>Айриян Николай Сержикович</v>
      </c>
      <c r="N102" s="407" t="str">
        <f>IFERROR(VLOOKUP(L102,пр.взв!$B$7:$H$38,3,0),"")</f>
        <v>21.03.87, кмс</v>
      </c>
      <c r="O102" s="407" t="str">
        <f>IFERROR(VLOOKUP(L102,пр.взв!$B$7:$H$38,4,0),"")</f>
        <v>ЦФО</v>
      </c>
      <c r="P102" s="419" t="str">
        <f>IFERROR(VLOOKUP(L102,пр.взв!$B$7:$H$38,5,0),"")</f>
        <v>Московская, Дубна</v>
      </c>
      <c r="Q102" s="384"/>
      <c r="R102" s="384"/>
      <c r="S102" s="312"/>
      <c r="T102" s="312"/>
    </row>
    <row r="103" spans="1:20" ht="12.75" customHeight="1" thickBot="1">
      <c r="A103" s="383"/>
      <c r="B103" s="426"/>
      <c r="C103" s="418"/>
      <c r="D103" s="408"/>
      <c r="E103" s="408"/>
      <c r="F103" s="420"/>
      <c r="G103" s="385"/>
      <c r="H103" s="385"/>
      <c r="I103" s="401"/>
      <c r="J103" s="401"/>
      <c r="K103" s="383"/>
      <c r="L103" s="426"/>
      <c r="M103" s="418"/>
      <c r="N103" s="408"/>
      <c r="O103" s="408"/>
      <c r="P103" s="420"/>
      <c r="Q103" s="385"/>
      <c r="R103" s="385"/>
      <c r="S103" s="401"/>
      <c r="T103" s="401"/>
    </row>
    <row r="104" spans="1:20" ht="12.75" customHeight="1">
      <c r="B104" s="267">
        <f>B91</f>
        <v>0</v>
      </c>
      <c r="C104" s="268" t="s">
        <v>108</v>
      </c>
      <c r="D104" s="268"/>
      <c r="E104" s="393"/>
      <c r="F104" s="393"/>
      <c r="G104" s="268"/>
      <c r="H104" s="268"/>
      <c r="I104" s="268"/>
      <c r="J104" s="268"/>
      <c r="L104" s="267">
        <f>L91</f>
        <v>0</v>
      </c>
      <c r="M104" s="268" t="s">
        <v>108</v>
      </c>
      <c r="N104" s="268"/>
      <c r="O104" s="393"/>
      <c r="P104" s="393"/>
      <c r="Q104" s="268"/>
      <c r="R104" s="268"/>
      <c r="S104" s="268"/>
      <c r="T104" s="268"/>
    </row>
    <row r="105" spans="1:20" ht="12.75" customHeight="1">
      <c r="A105" s="466" t="s">
        <v>111</v>
      </c>
      <c r="B105" s="466"/>
      <c r="C105" s="466"/>
      <c r="D105" s="466"/>
      <c r="E105" s="466"/>
      <c r="F105" s="466"/>
      <c r="G105" s="466"/>
      <c r="H105" s="466"/>
      <c r="I105" s="466"/>
      <c r="J105" s="466"/>
      <c r="K105" s="466" t="s">
        <v>111</v>
      </c>
      <c r="L105" s="466"/>
      <c r="M105" s="466"/>
      <c r="N105" s="466"/>
      <c r="O105" s="466"/>
      <c r="P105" s="466"/>
      <c r="Q105" s="466"/>
      <c r="R105" s="466"/>
      <c r="S105" s="466"/>
      <c r="T105" s="466"/>
    </row>
    <row r="106" spans="1:20" ht="12.75" customHeight="1" thickBot="1">
      <c r="B106" s="72" t="s">
        <v>31</v>
      </c>
      <c r="C106" s="78"/>
      <c r="D106" s="78"/>
      <c r="E106" s="78"/>
      <c r="F106" s="78"/>
      <c r="G106" s="79" t="str">
        <f>G93</f>
        <v>В.к. 68 кг.</v>
      </c>
      <c r="H106" s="78"/>
      <c r="I106" s="78"/>
      <c r="J106" s="78"/>
      <c r="K106" s="80"/>
      <c r="L106" s="81" t="s">
        <v>1</v>
      </c>
      <c r="M106" s="78"/>
      <c r="N106" s="78"/>
      <c r="O106" s="78"/>
      <c r="P106" s="78"/>
      <c r="Q106" s="79" t="str">
        <f>Q93</f>
        <v>В.к. 68 кг.</v>
      </c>
      <c r="R106" s="75"/>
      <c r="S106" s="75"/>
      <c r="T106" s="75"/>
    </row>
    <row r="107" spans="1:20" ht="12.75" customHeight="1">
      <c r="A107" s="443" t="s">
        <v>40</v>
      </c>
      <c r="B107" s="445" t="s">
        <v>4</v>
      </c>
      <c r="C107" s="439" t="s">
        <v>5</v>
      </c>
      <c r="D107" s="391" t="s">
        <v>14</v>
      </c>
      <c r="E107" s="451" t="s">
        <v>15</v>
      </c>
      <c r="F107" s="452"/>
      <c r="G107" s="439" t="s">
        <v>16</v>
      </c>
      <c r="H107" s="441" t="s">
        <v>41</v>
      </c>
      <c r="I107" s="434" t="s">
        <v>17</v>
      </c>
      <c r="J107" s="436" t="s">
        <v>18</v>
      </c>
      <c r="K107" s="443" t="s">
        <v>40</v>
      </c>
      <c r="L107" s="445" t="s">
        <v>4</v>
      </c>
      <c r="M107" s="439" t="s">
        <v>5</v>
      </c>
      <c r="N107" s="391" t="s">
        <v>14</v>
      </c>
      <c r="O107" s="447" t="s">
        <v>15</v>
      </c>
      <c r="P107" s="448"/>
      <c r="Q107" s="439" t="s">
        <v>16</v>
      </c>
      <c r="R107" s="441" t="s">
        <v>41</v>
      </c>
      <c r="S107" s="434" t="s">
        <v>17</v>
      </c>
      <c r="T107" s="436" t="s">
        <v>18</v>
      </c>
    </row>
    <row r="108" spans="1:20" ht="13.5" thickBot="1">
      <c r="A108" s="444"/>
      <c r="B108" s="446" t="s">
        <v>34</v>
      </c>
      <c r="C108" s="440"/>
      <c r="D108" s="409"/>
      <c r="E108" s="453"/>
      <c r="F108" s="454"/>
      <c r="G108" s="440"/>
      <c r="H108" s="442"/>
      <c r="I108" s="435"/>
      <c r="J108" s="437" t="s">
        <v>35</v>
      </c>
      <c r="K108" s="444"/>
      <c r="L108" s="446" t="s">
        <v>34</v>
      </c>
      <c r="M108" s="440"/>
      <c r="N108" s="409"/>
      <c r="O108" s="449"/>
      <c r="P108" s="450"/>
      <c r="Q108" s="440"/>
      <c r="R108" s="442"/>
      <c r="S108" s="435"/>
      <c r="T108" s="437" t="s">
        <v>35</v>
      </c>
    </row>
    <row r="109" spans="1:20" ht="12.75" customHeight="1">
      <c r="A109" s="402">
        <v>9</v>
      </c>
      <c r="B109" s="403">
        <f>пр.хода!M7</f>
        <v>17</v>
      </c>
      <c r="C109" s="405" t="str">
        <f>IFERROR(VLOOKUP(B109,пр.взв!$B$7:$H$38,2,0),"")</f>
        <v>Соловьев Михаил Алексеевич</v>
      </c>
      <c r="D109" s="396" t="str">
        <f>IFERROR(VLOOKUP(B109,пр.взв!$B$7:$H$38,3,0),"")</f>
        <v>13.11.96, кмс</v>
      </c>
      <c r="E109" s="396" t="str">
        <f>IFERROR(VLOOKUP(B109,пр.взв!$B$7:$H$38,4,0),"")</f>
        <v>ЦФО</v>
      </c>
      <c r="F109" s="405" t="str">
        <f>IFERROR(VLOOKUP(B109,пр.взв!$B$7:$H$38,5,0),"")</f>
        <v>Рязанская, Рязань</v>
      </c>
      <c r="G109" s="386"/>
      <c r="H109" s="388"/>
      <c r="I109" s="389"/>
      <c r="J109" s="391"/>
      <c r="K109" s="402">
        <v>10</v>
      </c>
      <c r="L109" s="403">
        <f>пр.хода!M35</f>
        <v>6</v>
      </c>
      <c r="M109" s="405" t="str">
        <f>IFERROR(VLOOKUP(L109,пр.взв!$B$7:$H$38,2,0),"")</f>
        <v>Корочанский Данила Дмитриевич</v>
      </c>
      <c r="N109" s="396" t="str">
        <f>IFERROR(VLOOKUP(L109,пр.взв!$B$7:$H$38,3,0),"")</f>
        <v>23.07.00, кмс</v>
      </c>
      <c r="O109" s="396" t="str">
        <f>IFERROR(VLOOKUP(L109,пр.взв!$B$7:$H$38,4,0),"")</f>
        <v>М</v>
      </c>
      <c r="P109" s="405" t="str">
        <f>IFERROR(VLOOKUP(L109,пр.взв!$B$7:$H$38,5,0),"")</f>
        <v>Москва, ГБОУ ЦО "Самбо-70"</v>
      </c>
      <c r="Q109" s="386"/>
      <c r="R109" s="388"/>
      <c r="S109" s="389"/>
      <c r="T109" s="391"/>
    </row>
    <row r="110" spans="1:20" ht="12.75" customHeight="1">
      <c r="A110" s="382"/>
      <c r="B110" s="404"/>
      <c r="C110" s="406"/>
      <c r="D110" s="397"/>
      <c r="E110" s="397"/>
      <c r="F110" s="406"/>
      <c r="G110" s="387"/>
      <c r="H110" s="387"/>
      <c r="I110" s="390"/>
      <c r="J110" s="311"/>
      <c r="K110" s="382"/>
      <c r="L110" s="404"/>
      <c r="M110" s="406"/>
      <c r="N110" s="397"/>
      <c r="O110" s="397"/>
      <c r="P110" s="406"/>
      <c r="Q110" s="387"/>
      <c r="R110" s="387"/>
      <c r="S110" s="390"/>
      <c r="T110" s="311"/>
    </row>
    <row r="111" spans="1:20" ht="12.75" customHeight="1">
      <c r="A111" s="382"/>
      <c r="B111" s="425">
        <f>пр.хода!M11</f>
        <v>15</v>
      </c>
      <c r="C111" s="417" t="str">
        <f>IFERROR(VLOOKUP(B111,пр.взв!$B$7:$H$38,2,0),"")</f>
        <v>Матвеев Александр Петрович</v>
      </c>
      <c r="D111" s="407" t="str">
        <f>IFERROR(VLOOKUP(B111,пр.взв!$B$7:$H$38,3,0),"")</f>
        <v>27.04.98, кмс</v>
      </c>
      <c r="E111" s="407" t="str">
        <f>IFERROR(VLOOKUP(B111,пр.взв!$B$7:$H$38,4,0),"")</f>
        <v>СЗФО</v>
      </c>
      <c r="F111" s="419" t="str">
        <f>IFERROR(VLOOKUP(B111,пр.взв!$B$7:$H$38,5,0),"")</f>
        <v>Вологодская, Вологда</v>
      </c>
      <c r="G111" s="384"/>
      <c r="H111" s="384"/>
      <c r="I111" s="312"/>
      <c r="J111" s="312"/>
      <c r="K111" s="382"/>
      <c r="L111" s="425">
        <f>пр.хода!M39</f>
        <v>16</v>
      </c>
      <c r="M111" s="417" t="str">
        <f>IFERROR(VLOOKUP(L111,пр.взв!$B$7:$H$38,2,0),"")</f>
        <v>Айриян Николай Сержикович</v>
      </c>
      <c r="N111" s="407" t="str">
        <f>IFERROR(VLOOKUP(L111,пр.взв!$B$7:$H$38,3,0),"")</f>
        <v>21.03.87, кмс</v>
      </c>
      <c r="O111" s="407" t="str">
        <f>IFERROR(VLOOKUP(L111,пр.взв!$B$7:$H$38,4,0),"")</f>
        <v>ЦФО</v>
      </c>
      <c r="P111" s="419" t="str">
        <f>IFERROR(VLOOKUP(L111,пр.взв!$B$7:$H$38,5,0),"")</f>
        <v>Московская, Дубна</v>
      </c>
      <c r="Q111" s="384"/>
      <c r="R111" s="384"/>
      <c r="S111" s="312"/>
      <c r="T111" s="312"/>
    </row>
    <row r="112" spans="1:20" ht="12.75" customHeight="1" thickBot="1">
      <c r="A112" s="383"/>
      <c r="B112" s="426"/>
      <c r="C112" s="418"/>
      <c r="D112" s="408"/>
      <c r="E112" s="408"/>
      <c r="F112" s="420"/>
      <c r="G112" s="385"/>
      <c r="H112" s="385"/>
      <c r="I112" s="401"/>
      <c r="J112" s="401"/>
      <c r="K112" s="383"/>
      <c r="L112" s="426"/>
      <c r="M112" s="418"/>
      <c r="N112" s="408"/>
      <c r="O112" s="408"/>
      <c r="P112" s="420"/>
      <c r="Q112" s="385"/>
      <c r="R112" s="385"/>
      <c r="S112" s="401"/>
      <c r="T112" s="401"/>
    </row>
  </sheetData>
  <mergeCells count="908">
    <mergeCell ref="E104:F104"/>
    <mergeCell ref="O104:P104"/>
    <mergeCell ref="A105:J105"/>
    <mergeCell ref="K105:T105"/>
    <mergeCell ref="A107:A108"/>
    <mergeCell ref="B107:B108"/>
    <mergeCell ref="C107:C108"/>
    <mergeCell ref="D107:D108"/>
    <mergeCell ref="E107:F108"/>
    <mergeCell ref="G107:G108"/>
    <mergeCell ref="H107:H108"/>
    <mergeCell ref="I107:I108"/>
    <mergeCell ref="J107:J108"/>
    <mergeCell ref="K107:K108"/>
    <mergeCell ref="L107:L108"/>
    <mergeCell ref="M107:M108"/>
    <mergeCell ref="N107:N108"/>
    <mergeCell ref="O107:P108"/>
    <mergeCell ref="Q107:Q108"/>
    <mergeCell ref="R107:R108"/>
    <mergeCell ref="S107:S108"/>
    <mergeCell ref="T107:T108"/>
    <mergeCell ref="E91:F91"/>
    <mergeCell ref="O91:P91"/>
    <mergeCell ref="A92:J92"/>
    <mergeCell ref="K92:T92"/>
    <mergeCell ref="A94:A95"/>
    <mergeCell ref="B94:B95"/>
    <mergeCell ref="C94:C95"/>
    <mergeCell ref="D94:D95"/>
    <mergeCell ref="E94:F95"/>
    <mergeCell ref="G94:G95"/>
    <mergeCell ref="H94:H95"/>
    <mergeCell ref="I94:I95"/>
    <mergeCell ref="J94:J95"/>
    <mergeCell ref="K94:K95"/>
    <mergeCell ref="L94:L95"/>
    <mergeCell ref="M94:M95"/>
    <mergeCell ref="N94:N95"/>
    <mergeCell ref="O94:P95"/>
    <mergeCell ref="Q94:Q95"/>
    <mergeCell ref="R94:R95"/>
    <mergeCell ref="S94:S95"/>
    <mergeCell ref="T94:T95"/>
    <mergeCell ref="E36:E37"/>
    <mergeCell ref="E34:E35"/>
    <mergeCell ref="E56:E57"/>
    <mergeCell ref="E54:E55"/>
    <mergeCell ref="E52:E53"/>
    <mergeCell ref="E50:E51"/>
    <mergeCell ref="E48:E49"/>
    <mergeCell ref="E46:E47"/>
    <mergeCell ref="E44:E45"/>
    <mergeCell ref="E42:E43"/>
    <mergeCell ref="Q6:Q7"/>
    <mergeCell ref="R6:R7"/>
    <mergeCell ref="Q8:Q9"/>
    <mergeCell ref="R8:R9"/>
    <mergeCell ref="S6:S7"/>
    <mergeCell ref="T6:T7"/>
    <mergeCell ref="H10:H11"/>
    <mergeCell ref="I10:I11"/>
    <mergeCell ref="P8:P9"/>
    <mergeCell ref="O10:O11"/>
    <mergeCell ref="O8:O9"/>
    <mergeCell ref="L8:L9"/>
    <mergeCell ref="M8:M9"/>
    <mergeCell ref="S8:S9"/>
    <mergeCell ref="T8:T9"/>
    <mergeCell ref="O6:O7"/>
    <mergeCell ref="P6:P7"/>
    <mergeCell ref="B1:J1"/>
    <mergeCell ref="L1:T1"/>
    <mergeCell ref="G4:G5"/>
    <mergeCell ref="H4:H5"/>
    <mergeCell ref="I4:I5"/>
    <mergeCell ref="Q4:Q5"/>
    <mergeCell ref="R4:R5"/>
    <mergeCell ref="S4:S5"/>
    <mergeCell ref="T4:T5"/>
    <mergeCell ref="O4:P5"/>
    <mergeCell ref="E2:F2"/>
    <mergeCell ref="O2:P2"/>
    <mergeCell ref="A4:A5"/>
    <mergeCell ref="B4:B5"/>
    <mergeCell ref="C4:C5"/>
    <mergeCell ref="D4:D5"/>
    <mergeCell ref="N4:N5"/>
    <mergeCell ref="J4:J5"/>
    <mergeCell ref="K4:K5"/>
    <mergeCell ref="L4:L5"/>
    <mergeCell ref="M4:M5"/>
    <mergeCell ref="E4:F5"/>
    <mergeCell ref="A6:A9"/>
    <mergeCell ref="B6:B7"/>
    <mergeCell ref="C6:C7"/>
    <mergeCell ref="D6:D7"/>
    <mergeCell ref="F6:F7"/>
    <mergeCell ref="G6:G7"/>
    <mergeCell ref="E6:E7"/>
    <mergeCell ref="E8:E9"/>
    <mergeCell ref="N6:N7"/>
    <mergeCell ref="J6:J7"/>
    <mergeCell ref="K6:K9"/>
    <mergeCell ref="L6:L7"/>
    <mergeCell ref="M6:M7"/>
    <mergeCell ref="B8:B9"/>
    <mergeCell ref="C8:C9"/>
    <mergeCell ref="D8:D9"/>
    <mergeCell ref="F8:F9"/>
    <mergeCell ref="G8:G9"/>
    <mergeCell ref="H8:H9"/>
    <mergeCell ref="H6:H7"/>
    <mergeCell ref="I6:I7"/>
    <mergeCell ref="I8:I9"/>
    <mergeCell ref="J8:J9"/>
    <mergeCell ref="N8:N9"/>
    <mergeCell ref="R12:R13"/>
    <mergeCell ref="S10:S11"/>
    <mergeCell ref="T10:T11"/>
    <mergeCell ref="S12:S13"/>
    <mergeCell ref="T12:T13"/>
    <mergeCell ref="Q10:Q11"/>
    <mergeCell ref="R10:R11"/>
    <mergeCell ref="Q12:Q13"/>
    <mergeCell ref="A10:A13"/>
    <mergeCell ref="B10:B11"/>
    <mergeCell ref="C10:C11"/>
    <mergeCell ref="D10:D11"/>
    <mergeCell ref="F10:F11"/>
    <mergeCell ref="G10:G11"/>
    <mergeCell ref="B12:B13"/>
    <mergeCell ref="C12:C13"/>
    <mergeCell ref="D12:D13"/>
    <mergeCell ref="F12:F13"/>
    <mergeCell ref="E12:E13"/>
    <mergeCell ref="E10:E11"/>
    <mergeCell ref="J10:J11"/>
    <mergeCell ref="K10:K13"/>
    <mergeCell ref="L10:L11"/>
    <mergeCell ref="M10:M11"/>
    <mergeCell ref="L12:L13"/>
    <mergeCell ref="M12:M13"/>
    <mergeCell ref="N10:N11"/>
    <mergeCell ref="P10:P11"/>
    <mergeCell ref="G12:G13"/>
    <mergeCell ref="H12:H13"/>
    <mergeCell ref="N12:N13"/>
    <mergeCell ref="P12:P13"/>
    <mergeCell ref="O12:O13"/>
    <mergeCell ref="I12:I13"/>
    <mergeCell ref="J12:J13"/>
    <mergeCell ref="B14:B15"/>
    <mergeCell ref="C14:C15"/>
    <mergeCell ref="D14:D15"/>
    <mergeCell ref="F14:F15"/>
    <mergeCell ref="G14:G15"/>
    <mergeCell ref="E14:E15"/>
    <mergeCell ref="E16:E17"/>
    <mergeCell ref="N14:N15"/>
    <mergeCell ref="L16:L17"/>
    <mergeCell ref="M16:M17"/>
    <mergeCell ref="S14:S15"/>
    <mergeCell ref="T14:T15"/>
    <mergeCell ref="B16:B17"/>
    <mergeCell ref="C16:C17"/>
    <mergeCell ref="D16:D17"/>
    <mergeCell ref="F16:F17"/>
    <mergeCell ref="G16:G17"/>
    <mergeCell ref="H16:H17"/>
    <mergeCell ref="H14:H15"/>
    <mergeCell ref="I14:I15"/>
    <mergeCell ref="I16:I17"/>
    <mergeCell ref="J16:J17"/>
    <mergeCell ref="Q14:Q15"/>
    <mergeCell ref="R14:R15"/>
    <mergeCell ref="J14:J15"/>
    <mergeCell ref="K14:K17"/>
    <mergeCell ref="L14:L15"/>
    <mergeCell ref="M14:M15"/>
    <mergeCell ref="Q16:Q17"/>
    <mergeCell ref="R16:R17"/>
    <mergeCell ref="O14:O15"/>
    <mergeCell ref="P14:P15"/>
    <mergeCell ref="N16:N17"/>
    <mergeCell ref="P16:P17"/>
    <mergeCell ref="T16:T17"/>
    <mergeCell ref="S18:S19"/>
    <mergeCell ref="T18:T19"/>
    <mergeCell ref="O16:O17"/>
    <mergeCell ref="S20:S21"/>
    <mergeCell ref="T20:T21"/>
    <mergeCell ref="A18:A21"/>
    <mergeCell ref="B18:B19"/>
    <mergeCell ref="C18:C19"/>
    <mergeCell ref="D18:D19"/>
    <mergeCell ref="F18:F19"/>
    <mergeCell ref="G18:G19"/>
    <mergeCell ref="B20:B21"/>
    <mergeCell ref="C20:C21"/>
    <mergeCell ref="D20:D21"/>
    <mergeCell ref="F20:F21"/>
    <mergeCell ref="Q18:Q19"/>
    <mergeCell ref="R18:R19"/>
    <mergeCell ref="J18:J19"/>
    <mergeCell ref="K18:K21"/>
    <mergeCell ref="L18:L19"/>
    <mergeCell ref="M18:M19"/>
    <mergeCell ref="L20:L21"/>
    <mergeCell ref="A14:A17"/>
    <mergeCell ref="P18:P19"/>
    <mergeCell ref="G20:G21"/>
    <mergeCell ref="H20:H21"/>
    <mergeCell ref="P20:P21"/>
    <mergeCell ref="Q20:Q21"/>
    <mergeCell ref="R20:R21"/>
    <mergeCell ref="I20:I21"/>
    <mergeCell ref="J20:J21"/>
    <mergeCell ref="S16:S17"/>
    <mergeCell ref="A22:A25"/>
    <mergeCell ref="B22:B23"/>
    <mergeCell ref="C22:C23"/>
    <mergeCell ref="D22:D23"/>
    <mergeCell ref="F22:F23"/>
    <mergeCell ref="G22:G23"/>
    <mergeCell ref="E22:E23"/>
    <mergeCell ref="E24:E25"/>
    <mergeCell ref="N22:N23"/>
    <mergeCell ref="P22:P23"/>
    <mergeCell ref="Q22:Q23"/>
    <mergeCell ref="R22:R23"/>
    <mergeCell ref="J22:J23"/>
    <mergeCell ref="K22:K25"/>
    <mergeCell ref="L22:L23"/>
    <mergeCell ref="M22:M23"/>
    <mergeCell ref="Q24:Q25"/>
    <mergeCell ref="R24:R25"/>
    <mergeCell ref="S24:S25"/>
    <mergeCell ref="T24:T25"/>
    <mergeCell ref="S26:S27"/>
    <mergeCell ref="T26:T27"/>
    <mergeCell ref="S22:S23"/>
    <mergeCell ref="T22:T23"/>
    <mergeCell ref="B24:B25"/>
    <mergeCell ref="C24:C25"/>
    <mergeCell ref="D24:D25"/>
    <mergeCell ref="F24:F25"/>
    <mergeCell ref="G24:G25"/>
    <mergeCell ref="H24:H25"/>
    <mergeCell ref="H22:H23"/>
    <mergeCell ref="I22:I23"/>
    <mergeCell ref="I24:I25"/>
    <mergeCell ref="J24:J25"/>
    <mergeCell ref="O24:O25"/>
    <mergeCell ref="O22:O23"/>
    <mergeCell ref="P24:P25"/>
    <mergeCell ref="H26:H27"/>
    <mergeCell ref="I26:I27"/>
    <mergeCell ref="N24:N25"/>
    <mergeCell ref="L24:L25"/>
    <mergeCell ref="M24:M25"/>
    <mergeCell ref="S28:S29"/>
    <mergeCell ref="T28:T29"/>
    <mergeCell ref="A26:A29"/>
    <mergeCell ref="B26:B27"/>
    <mergeCell ref="C26:C27"/>
    <mergeCell ref="D26:D27"/>
    <mergeCell ref="F26:F27"/>
    <mergeCell ref="G26:G27"/>
    <mergeCell ref="B28:B29"/>
    <mergeCell ref="C28:C29"/>
    <mergeCell ref="D28:D29"/>
    <mergeCell ref="F28:F29"/>
    <mergeCell ref="Q26:Q27"/>
    <mergeCell ref="R26:R27"/>
    <mergeCell ref="J26:J27"/>
    <mergeCell ref="K26:K29"/>
    <mergeCell ref="L26:L27"/>
    <mergeCell ref="M26:M27"/>
    <mergeCell ref="L28:L29"/>
    <mergeCell ref="M28:M29"/>
    <mergeCell ref="N26:N27"/>
    <mergeCell ref="P26:P27"/>
    <mergeCell ref="N28:N29"/>
    <mergeCell ref="P28:P29"/>
    <mergeCell ref="Q28:Q29"/>
    <mergeCell ref="R28:R29"/>
    <mergeCell ref="I28:I29"/>
    <mergeCell ref="J28:J29"/>
    <mergeCell ref="A30:A33"/>
    <mergeCell ref="B30:B31"/>
    <mergeCell ref="C30:C31"/>
    <mergeCell ref="D30:D31"/>
    <mergeCell ref="F30:F31"/>
    <mergeCell ref="G30:G31"/>
    <mergeCell ref="E30:E31"/>
    <mergeCell ref="E32:E33"/>
    <mergeCell ref="N30:N31"/>
    <mergeCell ref="P30:P31"/>
    <mergeCell ref="Q30:Q31"/>
    <mergeCell ref="R30:R31"/>
    <mergeCell ref="J30:J31"/>
    <mergeCell ref="K30:K33"/>
    <mergeCell ref="L30:L31"/>
    <mergeCell ref="M30:M31"/>
    <mergeCell ref="Q32:Q33"/>
    <mergeCell ref="R32:R33"/>
    <mergeCell ref="M32:M33"/>
    <mergeCell ref="E28:E29"/>
    <mergeCell ref="S32:S33"/>
    <mergeCell ref="T32:T33"/>
    <mergeCell ref="S34:S35"/>
    <mergeCell ref="T34:T35"/>
    <mergeCell ref="S30:S31"/>
    <mergeCell ref="T30:T31"/>
    <mergeCell ref="B32:B33"/>
    <mergeCell ref="C32:C33"/>
    <mergeCell ref="D32:D33"/>
    <mergeCell ref="F32:F33"/>
    <mergeCell ref="G32:G33"/>
    <mergeCell ref="H32:H33"/>
    <mergeCell ref="H30:H31"/>
    <mergeCell ref="I30:I31"/>
    <mergeCell ref="I32:I33"/>
    <mergeCell ref="J32:J33"/>
    <mergeCell ref="O34:O35"/>
    <mergeCell ref="O32:O33"/>
    <mergeCell ref="O30:O31"/>
    <mergeCell ref="P32:P33"/>
    <mergeCell ref="H34:H35"/>
    <mergeCell ref="I34:I35"/>
    <mergeCell ref="N32:N33"/>
    <mergeCell ref="L32:L33"/>
    <mergeCell ref="S36:S37"/>
    <mergeCell ref="T36:T37"/>
    <mergeCell ref="A34:A37"/>
    <mergeCell ref="B34:B35"/>
    <mergeCell ref="C34:C35"/>
    <mergeCell ref="D34:D35"/>
    <mergeCell ref="F34:F35"/>
    <mergeCell ref="G34:G35"/>
    <mergeCell ref="B36:B37"/>
    <mergeCell ref="C36:C37"/>
    <mergeCell ref="D36:D37"/>
    <mergeCell ref="F36:F37"/>
    <mergeCell ref="Q34:Q35"/>
    <mergeCell ref="R34:R35"/>
    <mergeCell ref="J34:J35"/>
    <mergeCell ref="K34:K37"/>
    <mergeCell ref="L34:L35"/>
    <mergeCell ref="M34:M35"/>
    <mergeCell ref="L36:L37"/>
    <mergeCell ref="M36:M37"/>
    <mergeCell ref="N34:N35"/>
    <mergeCell ref="P34:P35"/>
    <mergeCell ref="H36:H37"/>
    <mergeCell ref="N36:N37"/>
    <mergeCell ref="Q36:Q37"/>
    <mergeCell ref="R36:R37"/>
    <mergeCell ref="I36:I37"/>
    <mergeCell ref="J36:J37"/>
    <mergeCell ref="A40:A41"/>
    <mergeCell ref="B40:B41"/>
    <mergeCell ref="C40:C41"/>
    <mergeCell ref="D40:D41"/>
    <mergeCell ref="G40:G41"/>
    <mergeCell ref="E40:F41"/>
    <mergeCell ref="H40:H41"/>
    <mergeCell ref="I40:I41"/>
    <mergeCell ref="N40:N41"/>
    <mergeCell ref="Q40:Q41"/>
    <mergeCell ref="R40:R41"/>
    <mergeCell ref="J40:J41"/>
    <mergeCell ref="K40:K41"/>
    <mergeCell ref="L40:L41"/>
    <mergeCell ref="M40:M41"/>
    <mergeCell ref="G36:G37"/>
    <mergeCell ref="O40:P41"/>
    <mergeCell ref="O36:O37"/>
    <mergeCell ref="P36:P37"/>
    <mergeCell ref="E38:F38"/>
    <mergeCell ref="S40:S41"/>
    <mergeCell ref="T40:T41"/>
    <mergeCell ref="A42:A45"/>
    <mergeCell ref="B42:B43"/>
    <mergeCell ref="C42:C43"/>
    <mergeCell ref="D42:D43"/>
    <mergeCell ref="F42:F43"/>
    <mergeCell ref="G42:G43"/>
    <mergeCell ref="H42:H43"/>
    <mergeCell ref="I42:I43"/>
    <mergeCell ref="N42:N43"/>
    <mergeCell ref="P42:P43"/>
    <mergeCell ref="Q42:Q43"/>
    <mergeCell ref="R42:R43"/>
    <mergeCell ref="J42:J43"/>
    <mergeCell ref="K42:K45"/>
    <mergeCell ref="L42:L43"/>
    <mergeCell ref="M42:M43"/>
    <mergeCell ref="L44:L45"/>
    <mergeCell ref="M44:M45"/>
    <mergeCell ref="S42:S43"/>
    <mergeCell ref="T42:T43"/>
    <mergeCell ref="B44:B45"/>
    <mergeCell ref="C44:C45"/>
    <mergeCell ref="D44:D45"/>
    <mergeCell ref="F44:F45"/>
    <mergeCell ref="G44:G45"/>
    <mergeCell ref="H44:H45"/>
    <mergeCell ref="I44:I45"/>
    <mergeCell ref="J44:J45"/>
    <mergeCell ref="H46:H47"/>
    <mergeCell ref="I46:I47"/>
    <mergeCell ref="N44:N45"/>
    <mergeCell ref="P44:P45"/>
    <mergeCell ref="Q44:Q45"/>
    <mergeCell ref="R44:R45"/>
    <mergeCell ref="L48:L49"/>
    <mergeCell ref="M48:M49"/>
    <mergeCell ref="S44:S45"/>
    <mergeCell ref="T44:T45"/>
    <mergeCell ref="A46:A49"/>
    <mergeCell ref="B46:B47"/>
    <mergeCell ref="C46:C47"/>
    <mergeCell ref="D46:D47"/>
    <mergeCell ref="F46:F47"/>
    <mergeCell ref="G46:G47"/>
    <mergeCell ref="I48:I49"/>
    <mergeCell ref="J48:J49"/>
    <mergeCell ref="N46:N47"/>
    <mergeCell ref="P46:P47"/>
    <mergeCell ref="Q46:Q47"/>
    <mergeCell ref="R46:R47"/>
    <mergeCell ref="J46:J47"/>
    <mergeCell ref="K46:K49"/>
    <mergeCell ref="L46:L47"/>
    <mergeCell ref="M46:M47"/>
    <mergeCell ref="B48:B49"/>
    <mergeCell ref="C48:C49"/>
    <mergeCell ref="D48:D49"/>
    <mergeCell ref="F48:F49"/>
    <mergeCell ref="G48:G49"/>
    <mergeCell ref="H48:H49"/>
    <mergeCell ref="N48:N49"/>
    <mergeCell ref="P48:P49"/>
    <mergeCell ref="Q48:Q49"/>
    <mergeCell ref="R48:R49"/>
    <mergeCell ref="S46:S47"/>
    <mergeCell ref="T46:T47"/>
    <mergeCell ref="S48:S49"/>
    <mergeCell ref="T48:T49"/>
    <mergeCell ref="A50:A53"/>
    <mergeCell ref="B50:B51"/>
    <mergeCell ref="C50:C51"/>
    <mergeCell ref="D50:D51"/>
    <mergeCell ref="F50:F51"/>
    <mergeCell ref="G50:G51"/>
    <mergeCell ref="N50:N51"/>
    <mergeCell ref="P50:P51"/>
    <mergeCell ref="Q50:Q51"/>
    <mergeCell ref="R50:R51"/>
    <mergeCell ref="J50:J51"/>
    <mergeCell ref="K50:K53"/>
    <mergeCell ref="L50:L51"/>
    <mergeCell ref="M50:M51"/>
    <mergeCell ref="Q52:Q53"/>
    <mergeCell ref="R52:R53"/>
    <mergeCell ref="S50:S51"/>
    <mergeCell ref="T50:T51"/>
    <mergeCell ref="B52:B53"/>
    <mergeCell ref="C52:C53"/>
    <mergeCell ref="D52:D53"/>
    <mergeCell ref="F52:F53"/>
    <mergeCell ref="G52:G53"/>
    <mergeCell ref="H52:H53"/>
    <mergeCell ref="H50:H51"/>
    <mergeCell ref="I50:I51"/>
    <mergeCell ref="I52:I53"/>
    <mergeCell ref="J52:J53"/>
    <mergeCell ref="H54:H55"/>
    <mergeCell ref="I54:I55"/>
    <mergeCell ref="J54:J55"/>
    <mergeCell ref="N52:N53"/>
    <mergeCell ref="P52:P53"/>
    <mergeCell ref="L52:L53"/>
    <mergeCell ref="M52:M53"/>
    <mergeCell ref="S52:S53"/>
    <mergeCell ref="T52:T53"/>
    <mergeCell ref="S54:S55"/>
    <mergeCell ref="T54:T55"/>
    <mergeCell ref="S56:S57"/>
    <mergeCell ref="T56:T57"/>
    <mergeCell ref="Q54:Q55"/>
    <mergeCell ref="R54:R55"/>
    <mergeCell ref="Q56:Q57"/>
    <mergeCell ref="R56:R57"/>
    <mergeCell ref="O52:O53"/>
    <mergeCell ref="O54:O55"/>
    <mergeCell ref="A54:A57"/>
    <mergeCell ref="B54:B55"/>
    <mergeCell ref="C54:C55"/>
    <mergeCell ref="D54:D55"/>
    <mergeCell ref="F54:F55"/>
    <mergeCell ref="G54:G55"/>
    <mergeCell ref="B56:B57"/>
    <mergeCell ref="C56:C57"/>
    <mergeCell ref="D56:D57"/>
    <mergeCell ref="F56:F57"/>
    <mergeCell ref="A79:J79"/>
    <mergeCell ref="K79:T79"/>
    <mergeCell ref="A60:A61"/>
    <mergeCell ref="B60:B61"/>
    <mergeCell ref="C60:C61"/>
    <mergeCell ref="D60:D61"/>
    <mergeCell ref="G60:G61"/>
    <mergeCell ref="E60:F61"/>
    <mergeCell ref="H60:H61"/>
    <mergeCell ref="I60:I61"/>
    <mergeCell ref="H62:H63"/>
    <mergeCell ref="I62:I63"/>
    <mergeCell ref="E64:E65"/>
    <mergeCell ref="E62:E63"/>
    <mergeCell ref="Q60:Q61"/>
    <mergeCell ref="R60:R61"/>
    <mergeCell ref="J60:J61"/>
    <mergeCell ref="K60:K61"/>
    <mergeCell ref="L60:L61"/>
    <mergeCell ref="M60:M61"/>
    <mergeCell ref="O60:P61"/>
    <mergeCell ref="L64:L65"/>
    <mergeCell ref="M64:M65"/>
    <mergeCell ref="N64:N65"/>
    <mergeCell ref="S60:S61"/>
    <mergeCell ref="T60:T61"/>
    <mergeCell ref="A62:A65"/>
    <mergeCell ref="B62:B63"/>
    <mergeCell ref="C62:C63"/>
    <mergeCell ref="D62:D63"/>
    <mergeCell ref="F62:F63"/>
    <mergeCell ref="G62:G63"/>
    <mergeCell ref="I64:I65"/>
    <mergeCell ref="J64:J65"/>
    <mergeCell ref="N62:N63"/>
    <mergeCell ref="P62:P63"/>
    <mergeCell ref="Q62:Q63"/>
    <mergeCell ref="R62:R63"/>
    <mergeCell ref="J62:J63"/>
    <mergeCell ref="K62:K65"/>
    <mergeCell ref="L62:L63"/>
    <mergeCell ref="M62:M63"/>
    <mergeCell ref="B64:B65"/>
    <mergeCell ref="C64:C65"/>
    <mergeCell ref="D64:D65"/>
    <mergeCell ref="F64:F65"/>
    <mergeCell ref="G64:G65"/>
    <mergeCell ref="H64:H65"/>
    <mergeCell ref="S62:S63"/>
    <mergeCell ref="T62:T63"/>
    <mergeCell ref="S64:S65"/>
    <mergeCell ref="T64:T65"/>
    <mergeCell ref="O64:O65"/>
    <mergeCell ref="O62:O63"/>
    <mergeCell ref="P64:P65"/>
    <mergeCell ref="Q64:Q65"/>
    <mergeCell ref="R64:R65"/>
    <mergeCell ref="A66:A69"/>
    <mergeCell ref="B66:B67"/>
    <mergeCell ref="C66:C67"/>
    <mergeCell ref="D66:D67"/>
    <mergeCell ref="F66:F67"/>
    <mergeCell ref="G66:G67"/>
    <mergeCell ref="N66:N67"/>
    <mergeCell ref="P66:P67"/>
    <mergeCell ref="Q66:Q67"/>
    <mergeCell ref="Q68:Q69"/>
    <mergeCell ref="R66:R67"/>
    <mergeCell ref="J66:J67"/>
    <mergeCell ref="K66:K69"/>
    <mergeCell ref="L66:L67"/>
    <mergeCell ref="M66:M67"/>
    <mergeCell ref="O66:O67"/>
    <mergeCell ref="S66:S67"/>
    <mergeCell ref="T66:T67"/>
    <mergeCell ref="B68:B69"/>
    <mergeCell ref="C68:C69"/>
    <mergeCell ref="D68:D69"/>
    <mergeCell ref="F68:F69"/>
    <mergeCell ref="G68:G69"/>
    <mergeCell ref="H68:H69"/>
    <mergeCell ref="H66:H67"/>
    <mergeCell ref="I66:I67"/>
    <mergeCell ref="I68:I69"/>
    <mergeCell ref="J68:J69"/>
    <mergeCell ref="E68:E69"/>
    <mergeCell ref="E66:E67"/>
    <mergeCell ref="S68:S69"/>
    <mergeCell ref="T68:T69"/>
    <mergeCell ref="N68:N69"/>
    <mergeCell ref="P68:P69"/>
    <mergeCell ref="R68:R69"/>
    <mergeCell ref="L68:L69"/>
    <mergeCell ref="M68:M69"/>
    <mergeCell ref="G72:G73"/>
    <mergeCell ref="H72:H73"/>
    <mergeCell ref="I72:I73"/>
    <mergeCell ref="S72:S73"/>
    <mergeCell ref="T72:T73"/>
    <mergeCell ref="O68:O69"/>
    <mergeCell ref="A72:A73"/>
    <mergeCell ref="B72:B73"/>
    <mergeCell ref="C72:C73"/>
    <mergeCell ref="D72:D73"/>
    <mergeCell ref="E72:F73"/>
    <mergeCell ref="N72:N73"/>
    <mergeCell ref="Q72:Q73"/>
    <mergeCell ref="R72:R73"/>
    <mergeCell ref="J72:J73"/>
    <mergeCell ref="K72:K73"/>
    <mergeCell ref="L72:L73"/>
    <mergeCell ref="M72:M73"/>
    <mergeCell ref="O72:P73"/>
    <mergeCell ref="A74:A77"/>
    <mergeCell ref="B74:B75"/>
    <mergeCell ref="C74:C75"/>
    <mergeCell ref="D74:D75"/>
    <mergeCell ref="F74:F75"/>
    <mergeCell ref="G74:G75"/>
    <mergeCell ref="H74:H75"/>
    <mergeCell ref="I74:I75"/>
    <mergeCell ref="N74:N75"/>
    <mergeCell ref="J74:J75"/>
    <mergeCell ref="K74:K77"/>
    <mergeCell ref="L74:L75"/>
    <mergeCell ref="M74:M75"/>
    <mergeCell ref="L76:L77"/>
    <mergeCell ref="M76:M77"/>
    <mergeCell ref="E74:E75"/>
    <mergeCell ref="S74:S75"/>
    <mergeCell ref="T74:T75"/>
    <mergeCell ref="B76:B77"/>
    <mergeCell ref="C76:C77"/>
    <mergeCell ref="D76:D77"/>
    <mergeCell ref="F76:F77"/>
    <mergeCell ref="G76:G77"/>
    <mergeCell ref="H76:H77"/>
    <mergeCell ref="I76:I77"/>
    <mergeCell ref="J76:J77"/>
    <mergeCell ref="S76:S77"/>
    <mergeCell ref="T76:T77"/>
    <mergeCell ref="N76:N77"/>
    <mergeCell ref="P76:P77"/>
    <mergeCell ref="Q76:Q77"/>
    <mergeCell ref="R76:R77"/>
    <mergeCell ref="E76:E77"/>
    <mergeCell ref="O76:O77"/>
    <mergeCell ref="O74:O75"/>
    <mergeCell ref="P74:P75"/>
    <mergeCell ref="Q74:Q75"/>
    <mergeCell ref="R74:R75"/>
    <mergeCell ref="G81:G82"/>
    <mergeCell ref="H81:H82"/>
    <mergeCell ref="I81:I82"/>
    <mergeCell ref="A81:A82"/>
    <mergeCell ref="B81:B82"/>
    <mergeCell ref="C81:C82"/>
    <mergeCell ref="D81:D82"/>
    <mergeCell ref="E81:F82"/>
    <mergeCell ref="H83:H84"/>
    <mergeCell ref="I83:I84"/>
    <mergeCell ref="E83:E84"/>
    <mergeCell ref="N81:N82"/>
    <mergeCell ref="Q81:Q82"/>
    <mergeCell ref="R81:R82"/>
    <mergeCell ref="J81:J82"/>
    <mergeCell ref="K81:K82"/>
    <mergeCell ref="L81:L82"/>
    <mergeCell ref="M81:M82"/>
    <mergeCell ref="L85:L86"/>
    <mergeCell ref="M85:M86"/>
    <mergeCell ref="O81:P82"/>
    <mergeCell ref="S81:S82"/>
    <mergeCell ref="T81:T82"/>
    <mergeCell ref="A83:A86"/>
    <mergeCell ref="B83:B84"/>
    <mergeCell ref="C83:C84"/>
    <mergeCell ref="D83:D84"/>
    <mergeCell ref="F83:F84"/>
    <mergeCell ref="G83:G84"/>
    <mergeCell ref="I85:I86"/>
    <mergeCell ref="J85:J86"/>
    <mergeCell ref="N83:N84"/>
    <mergeCell ref="P83:P84"/>
    <mergeCell ref="Q83:Q84"/>
    <mergeCell ref="R83:R84"/>
    <mergeCell ref="J83:J84"/>
    <mergeCell ref="K83:K86"/>
    <mergeCell ref="L83:L84"/>
    <mergeCell ref="M83:M84"/>
    <mergeCell ref="B85:B86"/>
    <mergeCell ref="C85:C86"/>
    <mergeCell ref="D85:D86"/>
    <mergeCell ref="F85:F86"/>
    <mergeCell ref="G85:G86"/>
    <mergeCell ref="H85:H86"/>
    <mergeCell ref="E85:E86"/>
    <mergeCell ref="N85:N86"/>
    <mergeCell ref="P85:P86"/>
    <mergeCell ref="Q85:Q86"/>
    <mergeCell ref="R85:R86"/>
    <mergeCell ref="S83:S84"/>
    <mergeCell ref="T83:T84"/>
    <mergeCell ref="S85:S86"/>
    <mergeCell ref="T85:T86"/>
    <mergeCell ref="O85:O86"/>
    <mergeCell ref="O83:O84"/>
    <mergeCell ref="O87:O88"/>
    <mergeCell ref="A87:A90"/>
    <mergeCell ref="B87:B88"/>
    <mergeCell ref="C87:C88"/>
    <mergeCell ref="D87:D88"/>
    <mergeCell ref="F87:F88"/>
    <mergeCell ref="G87:G88"/>
    <mergeCell ref="E89:E90"/>
    <mergeCell ref="E87:E88"/>
    <mergeCell ref="N87:N88"/>
    <mergeCell ref="S87:S88"/>
    <mergeCell ref="T87:T88"/>
    <mergeCell ref="B89:B90"/>
    <mergeCell ref="C89:C90"/>
    <mergeCell ref="D89:D90"/>
    <mergeCell ref="F89:F90"/>
    <mergeCell ref="G89:G90"/>
    <mergeCell ref="H89:H90"/>
    <mergeCell ref="H87:H88"/>
    <mergeCell ref="I87:I88"/>
    <mergeCell ref="I89:I90"/>
    <mergeCell ref="J89:J90"/>
    <mergeCell ref="S89:S90"/>
    <mergeCell ref="T89:T90"/>
    <mergeCell ref="N89:N90"/>
    <mergeCell ref="P89:P90"/>
    <mergeCell ref="Q89:Q90"/>
    <mergeCell ref="R89:R90"/>
    <mergeCell ref="L89:L90"/>
    <mergeCell ref="M89:M90"/>
    <mergeCell ref="P87:P88"/>
    <mergeCell ref="Q87:Q88"/>
    <mergeCell ref="R87:R88"/>
    <mergeCell ref="J87:J88"/>
    <mergeCell ref="B96:B97"/>
    <mergeCell ref="C96:C97"/>
    <mergeCell ref="D96:D97"/>
    <mergeCell ref="B98:B99"/>
    <mergeCell ref="C98:C99"/>
    <mergeCell ref="D98:D99"/>
    <mergeCell ref="F96:F97"/>
    <mergeCell ref="A100:A103"/>
    <mergeCell ref="B100:B101"/>
    <mergeCell ref="C100:C101"/>
    <mergeCell ref="D100:D101"/>
    <mergeCell ref="B102:B103"/>
    <mergeCell ref="C102:C103"/>
    <mergeCell ref="D102:D103"/>
    <mergeCell ref="F98:F99"/>
    <mergeCell ref="A96:A99"/>
    <mergeCell ref="F100:F101"/>
    <mergeCell ref="F102:F103"/>
    <mergeCell ref="E102:E103"/>
    <mergeCell ref="E100:E101"/>
    <mergeCell ref="E98:E99"/>
    <mergeCell ref="E96:E97"/>
    <mergeCell ref="A109:A112"/>
    <mergeCell ref="B109:B110"/>
    <mergeCell ref="C109:C110"/>
    <mergeCell ref="D109:D110"/>
    <mergeCell ref="F109:F110"/>
    <mergeCell ref="G109:G110"/>
    <mergeCell ref="H109:H110"/>
    <mergeCell ref="I109:I110"/>
    <mergeCell ref="J109:J110"/>
    <mergeCell ref="B111:B112"/>
    <mergeCell ref="C111:C112"/>
    <mergeCell ref="D111:D112"/>
    <mergeCell ref="F111:F112"/>
    <mergeCell ref="G111:G112"/>
    <mergeCell ref="H111:H112"/>
    <mergeCell ref="I111:I112"/>
    <mergeCell ref="J111:J112"/>
    <mergeCell ref="E111:E112"/>
    <mergeCell ref="E109:E110"/>
    <mergeCell ref="T96:T97"/>
    <mergeCell ref="L98:L99"/>
    <mergeCell ref="M98:M99"/>
    <mergeCell ref="N98:N99"/>
    <mergeCell ref="P98:P99"/>
    <mergeCell ref="Q98:Q99"/>
    <mergeCell ref="R98:R99"/>
    <mergeCell ref="S98:S99"/>
    <mergeCell ref="T98:T99"/>
    <mergeCell ref="P96:P97"/>
    <mergeCell ref="Q96:Q97"/>
    <mergeCell ref="R96:R97"/>
    <mergeCell ref="S96:S97"/>
    <mergeCell ref="L96:L97"/>
    <mergeCell ref="M96:M97"/>
    <mergeCell ref="N96:N97"/>
    <mergeCell ref="O98:O99"/>
    <mergeCell ref="O96:O97"/>
    <mergeCell ref="Q100:Q101"/>
    <mergeCell ref="R100:R101"/>
    <mergeCell ref="S100:S101"/>
    <mergeCell ref="K100:K103"/>
    <mergeCell ref="L100:L101"/>
    <mergeCell ref="M100:M101"/>
    <mergeCell ref="N100:N101"/>
    <mergeCell ref="O100:O101"/>
    <mergeCell ref="T100:T101"/>
    <mergeCell ref="L102:L103"/>
    <mergeCell ref="M102:M103"/>
    <mergeCell ref="N102:N103"/>
    <mergeCell ref="P102:P103"/>
    <mergeCell ref="Q102:Q103"/>
    <mergeCell ref="R102:R103"/>
    <mergeCell ref="S102:S103"/>
    <mergeCell ref="T102:T103"/>
    <mergeCell ref="P100:P101"/>
    <mergeCell ref="O102:O103"/>
    <mergeCell ref="Q109:Q110"/>
    <mergeCell ref="R109:R110"/>
    <mergeCell ref="S109:S110"/>
    <mergeCell ref="K109:K112"/>
    <mergeCell ref="L109:L110"/>
    <mergeCell ref="M109:M110"/>
    <mergeCell ref="N109:N110"/>
    <mergeCell ref="T109:T110"/>
    <mergeCell ref="L111:L112"/>
    <mergeCell ref="M111:M112"/>
    <mergeCell ref="N111:N112"/>
    <mergeCell ref="P111:P112"/>
    <mergeCell ref="Q111:Q112"/>
    <mergeCell ref="R111:R112"/>
    <mergeCell ref="S111:S112"/>
    <mergeCell ref="T111:T112"/>
    <mergeCell ref="P109:P110"/>
    <mergeCell ref="O111:O112"/>
    <mergeCell ref="O109:O110"/>
    <mergeCell ref="E26:E27"/>
    <mergeCell ref="E20:E21"/>
    <mergeCell ref="E18:E19"/>
    <mergeCell ref="O28:O29"/>
    <mergeCell ref="O26:O27"/>
    <mergeCell ref="O20:O21"/>
    <mergeCell ref="O18:O19"/>
    <mergeCell ref="G28:G29"/>
    <mergeCell ref="H28:H29"/>
    <mergeCell ref="N20:N21"/>
    <mergeCell ref="H18:H19"/>
    <mergeCell ref="I18:I19"/>
    <mergeCell ref="M20:M21"/>
    <mergeCell ref="N18:N19"/>
    <mergeCell ref="E58:F58"/>
    <mergeCell ref="O58:P58"/>
    <mergeCell ref="E70:F70"/>
    <mergeCell ref="O70:P70"/>
    <mergeCell ref="E78:F78"/>
    <mergeCell ref="O78:P78"/>
    <mergeCell ref="O50:O51"/>
    <mergeCell ref="O48:O49"/>
    <mergeCell ref="O46:O47"/>
    <mergeCell ref="N60:N61"/>
    <mergeCell ref="K54:K57"/>
    <mergeCell ref="L54:L55"/>
    <mergeCell ref="M54:M55"/>
    <mergeCell ref="L56:L57"/>
    <mergeCell ref="M56:M57"/>
    <mergeCell ref="N54:N55"/>
    <mergeCell ref="P54:P55"/>
    <mergeCell ref="G56:G57"/>
    <mergeCell ref="H56:H57"/>
    <mergeCell ref="N56:N57"/>
    <mergeCell ref="P56:P57"/>
    <mergeCell ref="I56:I57"/>
    <mergeCell ref="J56:J57"/>
    <mergeCell ref="O56:O57"/>
    <mergeCell ref="K96:K99"/>
    <mergeCell ref="G102:G103"/>
    <mergeCell ref="H102:H103"/>
    <mergeCell ref="G100:G101"/>
    <mergeCell ref="H100:H101"/>
    <mergeCell ref="I100:I101"/>
    <mergeCell ref="J100:J101"/>
    <mergeCell ref="G96:G97"/>
    <mergeCell ref="O38:P38"/>
    <mergeCell ref="O44:O45"/>
    <mergeCell ref="O42:O43"/>
    <mergeCell ref="H96:H97"/>
    <mergeCell ref="I96:I97"/>
    <mergeCell ref="J96:J97"/>
    <mergeCell ref="J98:J99"/>
    <mergeCell ref="G98:G99"/>
    <mergeCell ref="H98:H99"/>
    <mergeCell ref="I98:I99"/>
    <mergeCell ref="I102:I103"/>
    <mergeCell ref="J102:J103"/>
    <mergeCell ref="K87:K90"/>
    <mergeCell ref="L87:L88"/>
    <mergeCell ref="M87:M88"/>
    <mergeCell ref="O89:O90"/>
  </mergeCells>
  <phoneticPr fontId="13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  <pageSetUpPr fitToPage="1"/>
  </sheetPr>
  <dimension ref="A1:J45"/>
  <sheetViews>
    <sheetView topLeftCell="A20" zoomScaleNormal="100" workbookViewId="0">
      <selection activeCell="A29" sqref="A29:J38"/>
    </sheetView>
  </sheetViews>
  <sheetFormatPr defaultRowHeight="12.75"/>
  <cols>
    <col min="1" max="1" width="4" customWidth="1"/>
    <col min="2" max="2" width="4.85546875" customWidth="1"/>
    <col min="3" max="3" width="22" customWidth="1"/>
    <col min="4" max="4" width="8.5703125" customWidth="1"/>
    <col min="5" max="5" width="8" customWidth="1"/>
    <col min="6" max="6" width="12.85546875" customWidth="1"/>
    <col min="7" max="7" width="25.7109375" customWidth="1"/>
    <col min="8" max="8" width="5.42578125" customWidth="1"/>
    <col min="9" max="9" width="6.5703125" customWidth="1"/>
    <col min="10" max="10" width="5.85546875" customWidth="1"/>
  </cols>
  <sheetData>
    <row r="1" spans="1:10" ht="29.45" customHeight="1">
      <c r="A1" s="499" t="str">
        <f>пр.взв!A2</f>
        <v>Всероссийские соревнования по спортивному и боевому самбо среди мужчин на призы УФСИН России</v>
      </c>
      <c r="B1" s="499"/>
      <c r="C1" s="499"/>
      <c r="D1" s="499"/>
      <c r="E1" s="499"/>
      <c r="F1" s="499"/>
      <c r="G1" s="499"/>
      <c r="H1" s="499"/>
      <c r="I1" s="499"/>
      <c r="J1" s="499"/>
    </row>
    <row r="2" spans="1:10" ht="15.75">
      <c r="D2" s="53"/>
      <c r="E2" s="512" t="str">
        <f>HYPERLINK(пр.взв!D4)</f>
        <v>В.к. 68 кг.</v>
      </c>
      <c r="F2" s="512"/>
    </row>
    <row r="3" spans="1:10" ht="20.25" customHeight="1">
      <c r="C3" s="279" t="s">
        <v>112</v>
      </c>
    </row>
    <row r="4" spans="1:10">
      <c r="C4" s="54" t="s">
        <v>12</v>
      </c>
    </row>
    <row r="5" spans="1:10">
      <c r="A5" s="504" t="s">
        <v>13</v>
      </c>
      <c r="B5" s="311" t="s">
        <v>4</v>
      </c>
      <c r="C5" s="400" t="s">
        <v>5</v>
      </c>
      <c r="D5" s="311" t="s">
        <v>14</v>
      </c>
      <c r="E5" s="500" t="s">
        <v>15</v>
      </c>
      <c r="F5" s="501"/>
      <c r="G5" s="311" t="s">
        <v>16</v>
      </c>
      <c r="H5" s="312" t="s">
        <v>41</v>
      </c>
      <c r="I5" s="311" t="s">
        <v>17</v>
      </c>
      <c r="J5" s="311" t="s">
        <v>18</v>
      </c>
    </row>
    <row r="6" spans="1:10">
      <c r="A6" s="505"/>
      <c r="B6" s="312"/>
      <c r="C6" s="312"/>
      <c r="D6" s="312"/>
      <c r="E6" s="502"/>
      <c r="F6" s="503"/>
      <c r="G6" s="312"/>
      <c r="H6" s="400"/>
      <c r="I6" s="312"/>
      <c r="J6" s="312"/>
    </row>
    <row r="7" spans="1:10" ht="12.6" customHeight="1">
      <c r="A7" s="513"/>
      <c r="B7" s="514">
        <f>пр.хода!N9</f>
        <v>15</v>
      </c>
      <c r="C7" s="515" t="str">
        <f>IFERROR(VLOOKUP(B7,пр.взв!$B$7:$H$38,2,0),"")</f>
        <v>Матвеев Александр Петрович</v>
      </c>
      <c r="D7" s="515" t="str">
        <f>IFERROR(VLOOKUP(B7,пр.взв!$B$7:$H$38,3,0),"")</f>
        <v>27.04.98, кмс</v>
      </c>
      <c r="E7" s="508" t="str">
        <f>IFERROR(VLOOKUP(B7,пр.взв!$B$7:$H$38,5,0),"")</f>
        <v>Вологодская, Вологда</v>
      </c>
      <c r="F7" s="509"/>
      <c r="G7" s="506"/>
      <c r="H7" s="312"/>
      <c r="I7" s="390"/>
      <c r="J7" s="311"/>
    </row>
    <row r="8" spans="1:10" ht="12.6" customHeight="1">
      <c r="A8" s="513"/>
      <c r="B8" s="311"/>
      <c r="C8" s="516"/>
      <c r="D8" s="516"/>
      <c r="E8" s="510"/>
      <c r="F8" s="511"/>
      <c r="G8" s="506"/>
      <c r="H8" s="400"/>
      <c r="I8" s="390"/>
      <c r="J8" s="311"/>
    </row>
    <row r="9" spans="1:10" ht="12.6" customHeight="1">
      <c r="A9" s="507"/>
      <c r="B9" s="514">
        <f>пр.хода!N13</f>
        <v>2</v>
      </c>
      <c r="C9" s="515" t="str">
        <f>IFERROR(VLOOKUP(B9,пр.взв!$B$7:$H$38,2,0),"")</f>
        <v>Минажетдинов Ринат Рафаилевич</v>
      </c>
      <c r="D9" s="515" t="str">
        <f>IFERROR(VLOOKUP(B9,пр.взв!$B$7:$H$38,3,0),"")</f>
        <v>22.05.98, кмс</v>
      </c>
      <c r="E9" s="508" t="str">
        <f>IFERROR(VLOOKUP(B9,пр.взв!$B$7:$H$38,5,0),"")</f>
        <v>Москва, НИУ МГСУ</v>
      </c>
      <c r="F9" s="509"/>
      <c r="G9" s="506"/>
      <c r="H9" s="312"/>
      <c r="I9" s="311"/>
      <c r="J9" s="311"/>
    </row>
    <row r="10" spans="1:10" ht="12.6" customHeight="1">
      <c r="A10" s="507"/>
      <c r="B10" s="311"/>
      <c r="C10" s="516"/>
      <c r="D10" s="516"/>
      <c r="E10" s="510"/>
      <c r="F10" s="511"/>
      <c r="G10" s="506"/>
      <c r="H10" s="400"/>
      <c r="I10" s="311"/>
      <c r="J10" s="311"/>
    </row>
    <row r="11" spans="1:10" ht="34.5" customHeight="1">
      <c r="A11" s="37" t="s">
        <v>19</v>
      </c>
      <c r="B11" s="37"/>
      <c r="E11" s="55"/>
      <c r="F11" s="55"/>
    </row>
    <row r="12" spans="1:10" ht="20.100000000000001" customHeight="1">
      <c r="B12" s="37" t="s">
        <v>0</v>
      </c>
      <c r="C12" s="55"/>
      <c r="D12" s="55"/>
      <c r="E12" s="55"/>
      <c r="F12" s="55"/>
      <c r="G12" s="55"/>
      <c r="H12" s="55"/>
      <c r="I12" s="55"/>
      <c r="J12" s="55"/>
    </row>
    <row r="13" spans="1:10" ht="20.100000000000001" customHeight="1">
      <c r="B13" s="37" t="s">
        <v>1</v>
      </c>
      <c r="C13" s="55"/>
      <c r="D13" s="55"/>
      <c r="E13" s="55"/>
      <c r="F13" s="55"/>
      <c r="G13" s="55"/>
      <c r="H13" s="55"/>
      <c r="I13" s="55"/>
      <c r="J13" s="55"/>
    </row>
    <row r="14" spans="1:10" ht="20.100000000000001" customHeight="1"/>
    <row r="15" spans="1:10" ht="18">
      <c r="C15" s="279" t="s">
        <v>112</v>
      </c>
    </row>
    <row r="16" spans="1:10" ht="15.75">
      <c r="C16" s="54" t="s">
        <v>20</v>
      </c>
      <c r="E16" s="65" t="str">
        <f>E2</f>
        <v>В.к. 68 кг.</v>
      </c>
    </row>
    <row r="17" spans="1:10" ht="12.75" customHeight="1">
      <c r="A17" s="504" t="s">
        <v>13</v>
      </c>
      <c r="B17" s="311" t="s">
        <v>4</v>
      </c>
      <c r="C17" s="400" t="s">
        <v>5</v>
      </c>
      <c r="D17" s="311" t="s">
        <v>14</v>
      </c>
      <c r="E17" s="500" t="s">
        <v>15</v>
      </c>
      <c r="F17" s="501"/>
      <c r="G17" s="311" t="s">
        <v>16</v>
      </c>
      <c r="H17" s="312" t="s">
        <v>41</v>
      </c>
      <c r="I17" s="311" t="s">
        <v>17</v>
      </c>
      <c r="J17" s="311" t="s">
        <v>18</v>
      </c>
    </row>
    <row r="18" spans="1:10">
      <c r="A18" s="505"/>
      <c r="B18" s="312"/>
      <c r="C18" s="312"/>
      <c r="D18" s="312"/>
      <c r="E18" s="517"/>
      <c r="F18" s="518"/>
      <c r="G18" s="312"/>
      <c r="H18" s="400"/>
      <c r="I18" s="312"/>
      <c r="J18" s="312"/>
    </row>
    <row r="19" spans="1:10" ht="12.6" customHeight="1">
      <c r="A19" s="513"/>
      <c r="B19" s="514">
        <f>пр.хода!N37</f>
        <v>6</v>
      </c>
      <c r="C19" s="515" t="str">
        <f>IFERROR(VLOOKUP(B19,пр.взв!$B$7:$H$38,2,0),"")</f>
        <v>Корочанский Данила Дмитриевич</v>
      </c>
      <c r="D19" s="515" t="str">
        <f>IFERROR(VLOOKUP(B19,пр.взв!$B$7:$H$38,3,0),"")</f>
        <v>23.07.00, кмс</v>
      </c>
      <c r="E19" s="508" t="str">
        <f>IFERROR(VLOOKUP(B19,пр.взв!$B$7:$H$38,5,0),"")</f>
        <v>Москва, ГБОУ ЦО "Самбо-70"</v>
      </c>
      <c r="F19" s="509"/>
      <c r="G19" s="506"/>
      <c r="H19" s="312"/>
      <c r="I19" s="390"/>
      <c r="J19" s="311"/>
    </row>
    <row r="20" spans="1:10" ht="12.6" customHeight="1">
      <c r="A20" s="513"/>
      <c r="B20" s="311"/>
      <c r="C20" s="516"/>
      <c r="D20" s="516"/>
      <c r="E20" s="510"/>
      <c r="F20" s="511"/>
      <c r="G20" s="506"/>
      <c r="H20" s="400"/>
      <c r="I20" s="390"/>
      <c r="J20" s="311"/>
    </row>
    <row r="21" spans="1:10" ht="12.6" customHeight="1">
      <c r="A21" s="507"/>
      <c r="B21" s="514">
        <f>пр.хода!N41</f>
        <v>1</v>
      </c>
      <c r="C21" s="515" t="str">
        <f>IFERROR(VLOOKUP(B21,пр.взв!$B$7:$H$38,2,0),"")</f>
        <v>Шайхов Абдулло Пулодович</v>
      </c>
      <c r="D21" s="515" t="str">
        <f>IFERROR(VLOOKUP(B21,пр.взв!$B$7:$H$38,3,0),"")</f>
        <v>28.12.90, мс</v>
      </c>
      <c r="E21" s="508" t="str">
        <f>IFERROR(VLOOKUP(B21,пр.взв!$B$7:$H$38,5,0),"")</f>
        <v>Тверская, Тверь</v>
      </c>
      <c r="F21" s="509"/>
      <c r="G21" s="506"/>
      <c r="H21" s="312"/>
      <c r="I21" s="311"/>
      <c r="J21" s="311"/>
    </row>
    <row r="22" spans="1:10" ht="12.6" customHeight="1">
      <c r="A22" s="507"/>
      <c r="B22" s="311"/>
      <c r="C22" s="516"/>
      <c r="D22" s="516"/>
      <c r="E22" s="510"/>
      <c r="F22" s="511"/>
      <c r="G22" s="506"/>
      <c r="H22" s="400"/>
      <c r="I22" s="311"/>
      <c r="J22" s="311"/>
    </row>
    <row r="23" spans="1:10" ht="32.25" customHeight="1">
      <c r="A23" s="37" t="s">
        <v>19</v>
      </c>
      <c r="B23" s="37"/>
      <c r="E23" s="55"/>
      <c r="F23" s="55"/>
    </row>
    <row r="24" spans="1:10" ht="20.100000000000001" customHeight="1">
      <c r="B24" s="37" t="s">
        <v>0</v>
      </c>
      <c r="C24" s="55"/>
      <c r="D24" s="55"/>
      <c r="E24" s="55"/>
      <c r="F24" s="55"/>
      <c r="G24" s="55"/>
      <c r="H24" s="55"/>
      <c r="I24" s="55"/>
      <c r="J24" s="55"/>
    </row>
    <row r="25" spans="1:10" ht="20.100000000000001" customHeight="1">
      <c r="B25" s="37" t="s">
        <v>1</v>
      </c>
      <c r="C25" s="55"/>
      <c r="D25" s="55"/>
      <c r="E25" s="55"/>
      <c r="F25" s="55"/>
      <c r="G25" s="55"/>
      <c r="H25" s="55"/>
      <c r="I25" s="55"/>
      <c r="J25" s="55"/>
    </row>
    <row r="29" spans="1:10" ht="15.75">
      <c r="C29" s="52" t="s">
        <v>21</v>
      </c>
      <c r="E29" s="512" t="str">
        <f>HYPERLINK(пр.взв!D4)</f>
        <v>В.к. 68 кг.</v>
      </c>
      <c r="F29" s="512"/>
    </row>
    <row r="30" spans="1:10" ht="12.75" customHeight="1">
      <c r="A30" s="504" t="s">
        <v>13</v>
      </c>
      <c r="B30" s="311" t="s">
        <v>4</v>
      </c>
      <c r="C30" s="400" t="s">
        <v>5</v>
      </c>
      <c r="D30" s="311" t="s">
        <v>14</v>
      </c>
      <c r="E30" s="500" t="s">
        <v>15</v>
      </c>
      <c r="F30" s="501"/>
      <c r="G30" s="311" t="s">
        <v>16</v>
      </c>
      <c r="H30" s="312" t="s">
        <v>41</v>
      </c>
      <c r="I30" s="311" t="s">
        <v>17</v>
      </c>
      <c r="J30" s="311" t="s">
        <v>18</v>
      </c>
    </row>
    <row r="31" spans="1:10" ht="12.75" customHeight="1">
      <c r="A31" s="505"/>
      <c r="B31" s="312"/>
      <c r="C31" s="312"/>
      <c r="D31" s="312"/>
      <c r="E31" s="517"/>
      <c r="F31" s="518"/>
      <c r="G31" s="312"/>
      <c r="H31" s="400"/>
      <c r="I31" s="312"/>
      <c r="J31" s="312"/>
    </row>
    <row r="32" spans="1:10" ht="12.6" customHeight="1">
      <c r="A32" s="513"/>
      <c r="B32" s="519">
        <f>пр.хода!K22</f>
        <v>3</v>
      </c>
      <c r="C32" s="515" t="str">
        <f>IFERROR(VLOOKUP(B32,пр.взв!$B$7:$H$38,2,0),"")</f>
        <v>Ломиворотов Илья Романович</v>
      </c>
      <c r="D32" s="515" t="str">
        <f>IFERROR(VLOOKUP(B32,пр.взв!$B$7:$H$38,3,0),"")</f>
        <v>19.03.01, кмс</v>
      </c>
      <c r="E32" s="508" t="str">
        <f>IFERROR(VLOOKUP(B32,пр.взв!$B$7:$H$38,5,0),"")</f>
        <v>Тульская, Тула</v>
      </c>
      <c r="F32" s="509"/>
      <c r="G32" s="506"/>
      <c r="H32" s="312"/>
      <c r="I32" s="390"/>
      <c r="J32" s="311"/>
    </row>
    <row r="33" spans="1:10" ht="12.6" customHeight="1">
      <c r="A33" s="513"/>
      <c r="B33" s="311"/>
      <c r="C33" s="516"/>
      <c r="D33" s="516"/>
      <c r="E33" s="510"/>
      <c r="F33" s="511"/>
      <c r="G33" s="506"/>
      <c r="H33" s="400"/>
      <c r="I33" s="390"/>
      <c r="J33" s="311"/>
    </row>
    <row r="34" spans="1:10" ht="12.6" customHeight="1">
      <c r="A34" s="507"/>
      <c r="B34" s="519">
        <f>пр.хода!N22</f>
        <v>4</v>
      </c>
      <c r="C34" s="515" t="str">
        <f>IFERROR(VLOOKUP(B34,пр.взв!$B$7:$H$38,2,0),"")</f>
        <v>Щербаков Денис Алексеевич</v>
      </c>
      <c r="D34" s="515" t="str">
        <f>IFERROR(VLOOKUP(B34,пр.взв!$B$7:$H$38,3,0),"")</f>
        <v>21.07.00, кмс</v>
      </c>
      <c r="E34" s="508" t="str">
        <f>IFERROR(VLOOKUP(B34,пр.взв!$B$7:$H$38,5,0),"")</f>
        <v>Москва, ГБОУ ЦО "Самбо-70"</v>
      </c>
      <c r="F34" s="509"/>
      <c r="G34" s="506"/>
      <c r="H34" s="312"/>
      <c r="I34" s="311"/>
      <c r="J34" s="311"/>
    </row>
    <row r="35" spans="1:10" ht="12.6" customHeight="1">
      <c r="A35" s="507"/>
      <c r="B35" s="311"/>
      <c r="C35" s="516"/>
      <c r="D35" s="516"/>
      <c r="E35" s="510"/>
      <c r="F35" s="511"/>
      <c r="G35" s="506"/>
      <c r="H35" s="400"/>
      <c r="I35" s="311"/>
      <c r="J35" s="311"/>
    </row>
    <row r="36" spans="1:10" ht="38.25" customHeight="1">
      <c r="A36" s="37" t="s">
        <v>19</v>
      </c>
      <c r="B36" s="37"/>
      <c r="E36" s="55"/>
      <c r="F36" s="55"/>
    </row>
    <row r="37" spans="1:10" ht="20.100000000000001" customHeight="1">
      <c r="B37" s="37" t="s">
        <v>0</v>
      </c>
      <c r="C37" s="55"/>
      <c r="D37" s="55"/>
      <c r="E37" s="55"/>
      <c r="F37" s="55"/>
      <c r="G37" s="55"/>
      <c r="H37" s="55"/>
      <c r="I37" s="55"/>
      <c r="J37" s="55"/>
    </row>
    <row r="38" spans="1:10" ht="20.100000000000001" customHeight="1">
      <c r="B38" s="37" t="s">
        <v>1</v>
      </c>
      <c r="C38" s="55"/>
      <c r="D38" s="55"/>
      <c r="E38" s="55"/>
      <c r="F38" s="55"/>
      <c r="G38" s="55"/>
      <c r="H38" s="55"/>
      <c r="I38" s="55"/>
      <c r="J38" s="55"/>
    </row>
    <row r="42" spans="1:10">
      <c r="A42" s="32" t="s">
        <v>105</v>
      </c>
      <c r="B42" s="36"/>
      <c r="C42" s="36"/>
      <c r="D42" s="36"/>
      <c r="E42" s="15"/>
      <c r="F42" s="56" t="s">
        <v>105</v>
      </c>
      <c r="G42" s="34" t="s">
        <v>105</v>
      </c>
      <c r="H42" s="34"/>
    </row>
    <row r="43" spans="1:10">
      <c r="A43" s="36"/>
      <c r="B43" s="36"/>
      <c r="C43" s="36"/>
      <c r="D43" s="36"/>
      <c r="E43" s="15"/>
      <c r="F43" s="64"/>
      <c r="G43" s="15"/>
      <c r="H43" s="15"/>
    </row>
    <row r="44" spans="1:10">
      <c r="A44" s="33" t="s">
        <v>105</v>
      </c>
      <c r="C44" s="36"/>
      <c r="D44" s="36"/>
      <c r="E44" s="33"/>
      <c r="F44" s="56" t="s">
        <v>105</v>
      </c>
      <c r="G44" s="35" t="s">
        <v>105</v>
      </c>
      <c r="H44" s="35"/>
    </row>
    <row r="45" spans="1:10">
      <c r="C45" s="15"/>
      <c r="D45" s="15"/>
      <c r="E45" s="15"/>
      <c r="F45" s="15"/>
    </row>
  </sheetData>
  <mergeCells count="84">
    <mergeCell ref="E32:F33"/>
    <mergeCell ref="E34:F35"/>
    <mergeCell ref="I34:I35"/>
    <mergeCell ref="G32:G33"/>
    <mergeCell ref="I32:I33"/>
    <mergeCell ref="G30:G31"/>
    <mergeCell ref="I30:I31"/>
    <mergeCell ref="H30:H31"/>
    <mergeCell ref="H32:H33"/>
    <mergeCell ref="G34:G35"/>
    <mergeCell ref="A30:A31"/>
    <mergeCell ref="B30:B31"/>
    <mergeCell ref="C30:C31"/>
    <mergeCell ref="D30:D31"/>
    <mergeCell ref="E29:F29"/>
    <mergeCell ref="E30:F31"/>
    <mergeCell ref="A34:A35"/>
    <mergeCell ref="B34:B35"/>
    <mergeCell ref="C34:C35"/>
    <mergeCell ref="D34:D35"/>
    <mergeCell ref="A32:A33"/>
    <mergeCell ref="B32:B33"/>
    <mergeCell ref="C32:C33"/>
    <mergeCell ref="D32:D33"/>
    <mergeCell ref="A19:A20"/>
    <mergeCell ref="B19:B20"/>
    <mergeCell ref="C19:C20"/>
    <mergeCell ref="D19:D20"/>
    <mergeCell ref="G19:G20"/>
    <mergeCell ref="A21:A22"/>
    <mergeCell ref="B21:B22"/>
    <mergeCell ref="C21:C22"/>
    <mergeCell ref="D21:D22"/>
    <mergeCell ref="G21:G22"/>
    <mergeCell ref="I17:I18"/>
    <mergeCell ref="G17:G18"/>
    <mergeCell ref="E17:F18"/>
    <mergeCell ref="E19:F20"/>
    <mergeCell ref="E21:F22"/>
    <mergeCell ref="I19:I20"/>
    <mergeCell ref="I21:I22"/>
    <mergeCell ref="H21:H22"/>
    <mergeCell ref="A17:A18"/>
    <mergeCell ref="B17:B18"/>
    <mergeCell ref="C17:C18"/>
    <mergeCell ref="D17:D18"/>
    <mergeCell ref="E2:F2"/>
    <mergeCell ref="A7:A8"/>
    <mergeCell ref="B7:B8"/>
    <mergeCell ref="C7:C8"/>
    <mergeCell ref="D7:D8"/>
    <mergeCell ref="B9:B10"/>
    <mergeCell ref="C9:C10"/>
    <mergeCell ref="D9:D10"/>
    <mergeCell ref="J9:J10"/>
    <mergeCell ref="A5:A6"/>
    <mergeCell ref="B5:B6"/>
    <mergeCell ref="C5:C6"/>
    <mergeCell ref="D5:D6"/>
    <mergeCell ref="G5:G6"/>
    <mergeCell ref="I5:I6"/>
    <mergeCell ref="G7:G8"/>
    <mergeCell ref="I7:I8"/>
    <mergeCell ref="A9:A10"/>
    <mergeCell ref="I9:I10"/>
    <mergeCell ref="G9:G10"/>
    <mergeCell ref="E7:F8"/>
    <mergeCell ref="E9:F10"/>
    <mergeCell ref="J34:J35"/>
    <mergeCell ref="J17:J18"/>
    <mergeCell ref="J30:J31"/>
    <mergeCell ref="A1:J1"/>
    <mergeCell ref="J19:J20"/>
    <mergeCell ref="J21:J22"/>
    <mergeCell ref="J32:J33"/>
    <mergeCell ref="E5:F6"/>
    <mergeCell ref="J5:J6"/>
    <mergeCell ref="J7:J8"/>
    <mergeCell ref="H34:H35"/>
    <mergeCell ref="H5:H6"/>
    <mergeCell ref="H7:H8"/>
    <mergeCell ref="H9:H10"/>
    <mergeCell ref="H17:H18"/>
    <mergeCell ref="H19:H20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scale="98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tabColor indexed="10"/>
    <pageSetUpPr fitToPage="1"/>
  </sheetPr>
  <dimension ref="A1:AP75"/>
  <sheetViews>
    <sheetView tabSelected="1" topLeftCell="A22" workbookViewId="0">
      <selection sqref="A1:H25"/>
    </sheetView>
  </sheetViews>
  <sheetFormatPr defaultRowHeight="12.75"/>
  <cols>
    <col min="1" max="1" width="6.85546875" customWidth="1"/>
    <col min="2" max="2" width="7.5703125" customWidth="1"/>
    <col min="3" max="3" width="22" customWidth="1"/>
    <col min="4" max="4" width="15.42578125" customWidth="1"/>
    <col min="5" max="5" width="8.28515625" customWidth="1"/>
    <col min="6" max="6" width="21" customWidth="1"/>
    <col min="7" max="7" width="10.28515625" hidden="1" customWidth="1"/>
    <col min="8" max="8" width="18.140625" customWidth="1"/>
    <col min="9" max="9" width="5.7109375" customWidth="1"/>
    <col min="10" max="10" width="4.85546875" customWidth="1"/>
    <col min="11" max="11" width="6.140625" hidden="1" customWidth="1"/>
    <col min="12" max="19" width="2.7109375" hidden="1" customWidth="1"/>
    <col min="20" max="20" width="0" hidden="1" customWidth="1"/>
    <col min="21" max="21" width="16.42578125" hidden="1" customWidth="1"/>
    <col min="22" max="42" width="0" hidden="1" customWidth="1"/>
  </cols>
  <sheetData>
    <row r="1" spans="1:42" ht="18.75" thickBot="1">
      <c r="A1" s="520" t="s">
        <v>23</v>
      </c>
      <c r="B1" s="520"/>
      <c r="C1" s="520"/>
      <c r="D1" s="520"/>
      <c r="E1" s="520"/>
      <c r="F1" s="520"/>
      <c r="G1" s="520"/>
      <c r="H1" s="520"/>
      <c r="I1" s="280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>
        <f ca="1">SUMIF(U6:U11,W1,$L$14:$L$17)</f>
        <v>0</v>
      </c>
      <c r="V1" s="207"/>
      <c r="W1" s="207" t="str">
        <f>K12</f>
        <v>Москва</v>
      </c>
    </row>
    <row r="2" spans="1:42" ht="57" customHeight="1" thickBot="1">
      <c r="B2" s="529" t="s">
        <v>70</v>
      </c>
      <c r="C2" s="529"/>
      <c r="D2" s="536" t="str">
        <f>[1]реквизиты!$A$2</f>
        <v>Всероссийские соревнования по спортивному и боевому самбо среди мужчин на призы УФСИН России</v>
      </c>
      <c r="E2" s="537"/>
      <c r="F2" s="537"/>
      <c r="G2" s="537"/>
      <c r="H2" s="538"/>
      <c r="I2" s="287"/>
      <c r="U2" s="327">
        <f>SUMIF(K14:K16,W1,$L$14:$L$17)</f>
        <v>1</v>
      </c>
      <c r="V2" s="327"/>
      <c r="W2" s="327"/>
      <c r="X2" s="327"/>
      <c r="Y2" s="327"/>
    </row>
    <row r="3" spans="1:42" ht="15" customHeight="1" thickBot="1">
      <c r="B3" s="528" t="str">
        <f>[1]реквизиты!$A$3</f>
        <v>20-22 апреля 2019 г           г.Тверь</v>
      </c>
      <c r="C3" s="528"/>
      <c r="D3" s="528"/>
      <c r="E3" s="528"/>
      <c r="F3" s="528"/>
      <c r="G3" s="528"/>
      <c r="H3" s="12" t="str">
        <f>HYPERLINK(пр.взв!D4)</f>
        <v>В.к. 68 кг.</v>
      </c>
      <c r="I3" s="12"/>
    </row>
    <row r="4" spans="1:42" ht="12.95" customHeight="1" thickBot="1">
      <c r="A4" s="530" t="s">
        <v>43</v>
      </c>
      <c r="B4" s="532" t="s">
        <v>4</v>
      </c>
      <c r="C4" s="534" t="s">
        <v>5</v>
      </c>
      <c r="D4" s="452" t="s">
        <v>6</v>
      </c>
      <c r="E4" s="451" t="s">
        <v>7</v>
      </c>
      <c r="F4" s="452"/>
      <c r="G4" s="431" t="s">
        <v>9</v>
      </c>
      <c r="H4" s="539" t="s">
        <v>8</v>
      </c>
      <c r="I4" s="281"/>
      <c r="K4" s="541" t="str">
        <f>IFERROR(LEFT(F6,FIND(",",F6)-1),F6)</f>
        <v>Тульская</v>
      </c>
      <c r="L4" s="542">
        <v>1</v>
      </c>
      <c r="M4" s="543" t="s">
        <v>53</v>
      </c>
      <c r="N4" s="526" t="s">
        <v>54</v>
      </c>
      <c r="O4" s="521"/>
      <c r="P4" s="522"/>
      <c r="Q4" s="522"/>
      <c r="R4" s="523"/>
      <c r="T4" s="524" t="s">
        <v>53</v>
      </c>
      <c r="U4" s="526" t="s">
        <v>54</v>
      </c>
      <c r="V4" s="521"/>
      <c r="W4" s="522"/>
      <c r="X4" s="522"/>
      <c r="Y4" s="523"/>
      <c r="AD4" s="524" t="s">
        <v>53</v>
      </c>
      <c r="AE4" s="526" t="s">
        <v>54</v>
      </c>
      <c r="AF4" s="521"/>
      <c r="AG4" s="522"/>
      <c r="AH4" s="522"/>
      <c r="AI4" s="523"/>
      <c r="AK4" s="524" t="s">
        <v>53</v>
      </c>
      <c r="AL4" s="526" t="s">
        <v>54</v>
      </c>
      <c r="AM4" s="521"/>
      <c r="AN4" s="522"/>
      <c r="AO4" s="522"/>
      <c r="AP4" s="523"/>
    </row>
    <row r="5" spans="1:42" ht="12.95" customHeight="1" thickBot="1">
      <c r="A5" s="531"/>
      <c r="B5" s="533"/>
      <c r="C5" s="535"/>
      <c r="D5" s="454"/>
      <c r="E5" s="453"/>
      <c r="F5" s="454"/>
      <c r="G5" s="401"/>
      <c r="H5" s="422"/>
      <c r="I5" s="281"/>
      <c r="K5" s="541"/>
      <c r="L5" s="542"/>
      <c r="M5" s="544"/>
      <c r="N5" s="540"/>
      <c r="O5" s="187">
        <v>1</v>
      </c>
      <c r="P5" s="188">
        <v>2</v>
      </c>
      <c r="Q5" s="188">
        <v>3</v>
      </c>
      <c r="R5" s="189">
        <v>5</v>
      </c>
      <c r="T5" s="525"/>
      <c r="U5" s="540"/>
      <c r="V5" s="187">
        <v>1</v>
      </c>
      <c r="W5" s="188">
        <v>2</v>
      </c>
      <c r="X5" s="188">
        <v>3</v>
      </c>
      <c r="Y5" s="189">
        <v>5</v>
      </c>
      <c r="AA5" s="208">
        <v>1</v>
      </c>
      <c r="AC5" s="208">
        <v>2</v>
      </c>
      <c r="AD5" s="525"/>
      <c r="AE5" s="527"/>
      <c r="AF5" s="209">
        <v>1</v>
      </c>
      <c r="AG5" s="210">
        <v>2</v>
      </c>
      <c r="AH5" s="210">
        <v>3</v>
      </c>
      <c r="AI5" s="211">
        <v>5</v>
      </c>
      <c r="AK5" s="525"/>
      <c r="AL5" s="527"/>
      <c r="AM5" s="209">
        <v>1</v>
      </c>
      <c r="AN5" s="210">
        <v>2</v>
      </c>
      <c r="AO5" s="210">
        <v>3</v>
      </c>
      <c r="AP5" s="211">
        <v>5</v>
      </c>
    </row>
    <row r="6" spans="1:42" ht="24" customHeight="1">
      <c r="A6" s="263">
        <v>1</v>
      </c>
      <c r="B6" s="264">
        <f>пр.хода!K17</f>
        <v>3</v>
      </c>
      <c r="C6" s="291" t="str">
        <f>IFERROR(VLOOKUP(B6,пр.взв!$B$7:$H$38,2,0),"")</f>
        <v>Ломиворотов Илья Романович</v>
      </c>
      <c r="D6" s="292" t="str">
        <f>IFERROR(VLOOKUP(B6,пр.взв!$B$7:$H$38,3,0),"")</f>
        <v>19.03.01, кмс</v>
      </c>
      <c r="E6" s="293" t="str">
        <f>IFERROR(VLOOKUP(B6,пр.взв!$B$7:$H$38,4,0),"")</f>
        <v>ЦФО</v>
      </c>
      <c r="F6" s="294" t="str">
        <f>IFERROR(VLOOKUP(B6,пр.взв!$B$7:$H$38,5,0),"")</f>
        <v>Тульская, Тула</v>
      </c>
      <c r="G6" s="295">
        <f>IFERROR(VLOOKUP(B6,пр.взв!$B$7:$H$38,6,0),"")</f>
        <v>0</v>
      </c>
      <c r="H6" s="296" t="str">
        <f>IFERROR(VLOOKUP(B6,пр.взв!$B$7:$H$38,7,0),"")</f>
        <v>Ломиворотов РН</v>
      </c>
      <c r="I6" s="284">
        <v>100</v>
      </c>
      <c r="J6" s="283">
        <f>A6</f>
        <v>1</v>
      </c>
      <c r="K6" s="541" t="s">
        <v>55</v>
      </c>
      <c r="L6" s="542">
        <v>1</v>
      </c>
      <c r="M6" s="190">
        <v>1</v>
      </c>
      <c r="N6" s="191" t="s">
        <v>56</v>
      </c>
      <c r="O6" s="192">
        <f>SUMIF($K$4:$K$7,K4,$L$4:$L$7)</f>
        <v>1</v>
      </c>
      <c r="P6" s="192">
        <f ca="1">SUMIF($J$8:$K$9,"алт",$L$6:$L$9)</f>
        <v>0</v>
      </c>
      <c r="Q6" s="193">
        <f>SUMIF($K$10:$K$13,"Алт",$L$10:$L$13)</f>
        <v>0</v>
      </c>
      <c r="R6" s="193">
        <f>SUMIF($K$14:$K$17,"Алт",$L$14:$L$17)</f>
        <v>0</v>
      </c>
      <c r="T6" s="190">
        <v>1</v>
      </c>
      <c r="U6" s="191" t="str">
        <f>K4</f>
        <v>Тульская</v>
      </c>
      <c r="V6" s="192">
        <f t="shared" ref="V6:V11" si="0">SUMIF($K$4:$K$7,U6,$L$4:$L$7)</f>
        <v>1</v>
      </c>
      <c r="W6" s="192">
        <f t="shared" ref="W6:W11" ca="1" si="1">SUMIF($J$8:$K$9,U6,$L$6:$L$9)</f>
        <v>0</v>
      </c>
      <c r="X6" s="193">
        <f t="shared" ref="X6:X11" si="2">SUMIF($K$10:$K$13,U6,$L$10:$L$13)</f>
        <v>0</v>
      </c>
      <c r="Y6" s="193">
        <f>SUMIF($K$14:$K$17,U6,$L$14:$L$17)</f>
        <v>0</v>
      </c>
      <c r="AA6" t="str">
        <f>U6</f>
        <v>Тульская</v>
      </c>
      <c r="AC6" t="str">
        <f>AA6</f>
        <v>Тульская</v>
      </c>
      <c r="AD6" s="212">
        <v>1</v>
      </c>
      <c r="AE6" s="213" t="str">
        <f>AC6</f>
        <v>Тульская</v>
      </c>
      <c r="AF6" s="214">
        <f t="shared" ref="AF6:AF11" si="3">SUMIF($K$4:$K$7,AE6,$L$4:$L$7)</f>
        <v>1</v>
      </c>
      <c r="AG6" s="214">
        <f t="shared" ref="AG6:AG11" ca="1" si="4">SUMIF($J$8:$K$9,AE6,$L$6:$L$9)</f>
        <v>0</v>
      </c>
      <c r="AH6" s="214">
        <f t="shared" ref="AH6:AH11" si="5">SUMIF($K$10:$K$13,AE6,$L$10:$L$13)</f>
        <v>0</v>
      </c>
      <c r="AI6" s="215">
        <f t="shared" ref="AI6:AI11" si="6">SUMIF($K$14:$K$17,AE6,$L$14:$L$17)</f>
        <v>0</v>
      </c>
      <c r="AK6" s="212">
        <v>1</v>
      </c>
      <c r="AL6" s="213" t="str">
        <f t="shared" ref="AL6:AP11" si="7">IF(AE6=0," ",AE6)</f>
        <v>Тульская</v>
      </c>
      <c r="AM6" s="214">
        <f t="shared" si="7"/>
        <v>1</v>
      </c>
      <c r="AN6" s="214" t="str">
        <f t="shared" ca="1" si="7"/>
        <v xml:space="preserve"> </v>
      </c>
      <c r="AO6" s="214" t="str">
        <f t="shared" si="7"/>
        <v xml:space="preserve"> </v>
      </c>
      <c r="AP6" s="215" t="str">
        <f t="shared" si="7"/>
        <v xml:space="preserve"> </v>
      </c>
    </row>
    <row r="7" spans="1:42" ht="24" customHeight="1">
      <c r="A7" s="262">
        <v>2</v>
      </c>
      <c r="B7" s="261">
        <f>пр.хода!K25</f>
        <v>4</v>
      </c>
      <c r="C7" s="297" t="str">
        <f>IFERROR(VLOOKUP(B7,пр.взв!$B$7:$H$38,2,0),"")</f>
        <v>Щербаков Денис Алексеевич</v>
      </c>
      <c r="D7" s="298" t="str">
        <f>IFERROR(VLOOKUP(B7,пр.взв!$B$7:$H$38,3,0),"")</f>
        <v>21.07.00, кмс</v>
      </c>
      <c r="E7" s="299" t="str">
        <f>IFERROR(VLOOKUP(B7,пр.взв!$B$7:$H$38,4,0),"")</f>
        <v>М</v>
      </c>
      <c r="F7" s="300" t="str">
        <f>IFERROR(VLOOKUP(B7,пр.взв!$B$7:$H$38,5,0),"")</f>
        <v>Москва, ГБОУ ЦО "Самбо-70"</v>
      </c>
      <c r="G7" s="301">
        <f>IFERROR(VLOOKUP(B7,пр.взв!$B$7:$H$38,6,0),"")</f>
        <v>0</v>
      </c>
      <c r="H7" s="302" t="str">
        <f>IFERROR(VLOOKUP(B7,пр.взв!$B$7:$H$38,7,0),"")</f>
        <v>Савкин АВ Соломатин АВ</v>
      </c>
      <c r="I7" s="284">
        <v>80</v>
      </c>
      <c r="J7" s="283">
        <f t="shared" ref="J7:J23" si="8">A7</f>
        <v>2</v>
      </c>
      <c r="K7" s="541"/>
      <c r="L7" s="542"/>
      <c r="M7" s="194">
        <v>2</v>
      </c>
      <c r="N7" s="191" t="s">
        <v>57</v>
      </c>
      <c r="O7" s="192">
        <f>SUMIF($K$4:$K$7,"заб",$L$4:$L$7)</f>
        <v>0</v>
      </c>
      <c r="P7" s="192">
        <f ca="1">SUMIF($J$8:$K$9,"заб",$L$6:$L$9)</f>
        <v>0</v>
      </c>
      <c r="Q7" s="193">
        <f>SUMIF($K$10:$K$13,"заб",$L$10:$L$13)</f>
        <v>0</v>
      </c>
      <c r="R7" s="193">
        <f>SUMIF($K$14:$K$17,"заб",$L$14:$L$17)</f>
        <v>0</v>
      </c>
      <c r="T7" s="194">
        <v>2</v>
      </c>
      <c r="U7" s="191" t="str">
        <f>IF(K8=K4," ",K8)</f>
        <v>Москва</v>
      </c>
      <c r="V7" s="192">
        <f t="shared" si="0"/>
        <v>0</v>
      </c>
      <c r="W7" s="192">
        <f t="shared" ca="1" si="1"/>
        <v>1</v>
      </c>
      <c r="X7" s="193">
        <f t="shared" si="2"/>
        <v>1</v>
      </c>
      <c r="Y7" s="193">
        <f>SUMIF($K$14:$K$17,U7,$L$14:$L$17)</f>
        <v>1</v>
      </c>
      <c r="AA7" t="str">
        <f>IF(OR(U7=" "),U8,U7)</f>
        <v>Москва</v>
      </c>
      <c r="AB7">
        <f>IF(V7=V6," ",V7)</f>
        <v>0</v>
      </c>
      <c r="AC7" t="str">
        <f>IF(OR(AA7=" "),AA8,AA7)</f>
        <v>Москва</v>
      </c>
      <c r="AD7" s="216">
        <v>2</v>
      </c>
      <c r="AE7" s="217" t="str">
        <f>IF(OR(AC7=" "),AC8,AC7)</f>
        <v>Москва</v>
      </c>
      <c r="AF7" s="218">
        <f t="shared" si="3"/>
        <v>0</v>
      </c>
      <c r="AG7" s="218">
        <f t="shared" ca="1" si="4"/>
        <v>1</v>
      </c>
      <c r="AH7" s="218">
        <f t="shared" si="5"/>
        <v>1</v>
      </c>
      <c r="AI7" s="219">
        <f t="shared" si="6"/>
        <v>1</v>
      </c>
      <c r="AK7" s="216">
        <v>2</v>
      </c>
      <c r="AL7" s="217" t="str">
        <f t="shared" si="7"/>
        <v>Москва</v>
      </c>
      <c r="AM7" s="218" t="str">
        <f t="shared" si="7"/>
        <v xml:space="preserve"> </v>
      </c>
      <c r="AN7" s="218">
        <f t="shared" ca="1" si="7"/>
        <v>1</v>
      </c>
      <c r="AO7" s="218">
        <f t="shared" si="7"/>
        <v>1</v>
      </c>
      <c r="AP7" s="219">
        <f t="shared" si="7"/>
        <v>1</v>
      </c>
    </row>
    <row r="8" spans="1:42" ht="24" customHeight="1">
      <c r="A8" s="262">
        <v>3</v>
      </c>
      <c r="B8" s="261">
        <f>пр.хода!O6</f>
        <v>15</v>
      </c>
      <c r="C8" s="297" t="str">
        <f>IFERROR(VLOOKUP(B8,пр.взв!$B$7:$H$38,2,0),"")</f>
        <v>Матвеев Александр Петрович</v>
      </c>
      <c r="D8" s="298" t="str">
        <f>IFERROR(VLOOKUP(B8,пр.взв!$B$7:$H$38,3,0),"")</f>
        <v>27.04.98, кмс</v>
      </c>
      <c r="E8" s="299" t="str">
        <f>IFERROR(VLOOKUP(B8,пр.взв!$B$7:$H$38,4,0),"")</f>
        <v>СЗФО</v>
      </c>
      <c r="F8" s="300" t="str">
        <f>IFERROR(VLOOKUP(B8,пр.взв!$B$7:$H$38,5,0),"")</f>
        <v>Вологодская, Вологда</v>
      </c>
      <c r="G8" s="301">
        <f>IFERROR(VLOOKUP(B8,пр.взв!$B$7:$H$38,6,0),"")</f>
        <v>0</v>
      </c>
      <c r="H8" s="302" t="str">
        <f>IFERROR(VLOOKUP(B8,пр.взв!$B$7:$H$38,7,0),"")</f>
        <v>Мельников АВ Селяков ЮЛ</v>
      </c>
      <c r="I8" s="284">
        <v>70</v>
      </c>
      <c r="J8" s="283">
        <f t="shared" si="8"/>
        <v>3</v>
      </c>
      <c r="K8" s="542" t="str">
        <f>IFERROR(LEFT(F7,FIND(",",F7)-1),F7)</f>
        <v>Москва</v>
      </c>
      <c r="L8" s="542">
        <v>1</v>
      </c>
      <c r="M8" s="195">
        <v>3</v>
      </c>
      <c r="N8" s="191" t="s">
        <v>58</v>
      </c>
      <c r="O8" s="192">
        <f>SUMIF($K$4:$K$7,"ирк",$L$4:$L$7)</f>
        <v>0</v>
      </c>
      <c r="P8" s="192">
        <f ca="1">SUMIF($J$8:$K$9,"ирк",$L$6:$L$9)</f>
        <v>0</v>
      </c>
      <c r="Q8" s="193">
        <f>SUMIF($K$10:$K$13,"ирк",$L$10:$L$13)</f>
        <v>0</v>
      </c>
      <c r="R8" s="193">
        <f>SUMIF($K$14:$K$17,"ирк",$L$14:$L$17)</f>
        <v>0</v>
      </c>
      <c r="T8" s="195">
        <v>3</v>
      </c>
      <c r="U8" s="191" t="str">
        <f>IF(OR(K10=K4,K10=K8)," ",K10)</f>
        <v>Вологодская</v>
      </c>
      <c r="V8" s="192">
        <f t="shared" si="0"/>
        <v>0</v>
      </c>
      <c r="W8" s="192">
        <f t="shared" ca="1" si="1"/>
        <v>0</v>
      </c>
      <c r="X8" s="193">
        <f t="shared" si="2"/>
        <v>1</v>
      </c>
      <c r="Y8" s="193">
        <f>SUMIF($K$14:$K$17,U8,$L$14:$L$17)</f>
        <v>0</v>
      </c>
      <c r="AA8" t="str">
        <f>IF(OR(U8=" ",U7=" "),U9,U8)</f>
        <v>Вологодская</v>
      </c>
      <c r="AC8" t="str">
        <f>IF(OR(AA8=" ",AA7=" "),AA9,AA8)</f>
        <v>Вологодская</v>
      </c>
      <c r="AD8" s="220">
        <v>3</v>
      </c>
      <c r="AE8" s="217" t="str">
        <f>IF(OR(AC8=" ",AC7=" "),AC9,AC8)</f>
        <v>Вологодская</v>
      </c>
      <c r="AF8" s="218">
        <f t="shared" si="3"/>
        <v>0</v>
      </c>
      <c r="AG8" s="218">
        <f t="shared" ca="1" si="4"/>
        <v>0</v>
      </c>
      <c r="AH8" s="218">
        <f t="shared" si="5"/>
        <v>1</v>
      </c>
      <c r="AI8" s="219">
        <f t="shared" si="6"/>
        <v>0</v>
      </c>
      <c r="AK8" s="220">
        <v>3</v>
      </c>
      <c r="AL8" s="217" t="str">
        <f t="shared" si="7"/>
        <v>Вологодская</v>
      </c>
      <c r="AM8" s="218" t="str">
        <f t="shared" si="7"/>
        <v xml:space="preserve"> </v>
      </c>
      <c r="AN8" s="218" t="str">
        <f t="shared" ca="1" si="7"/>
        <v xml:space="preserve"> </v>
      </c>
      <c r="AO8" s="218">
        <f t="shared" si="7"/>
        <v>1</v>
      </c>
      <c r="AP8" s="219" t="str">
        <f t="shared" si="7"/>
        <v xml:space="preserve"> </v>
      </c>
    </row>
    <row r="9" spans="1:42" ht="24" customHeight="1">
      <c r="A9" s="262">
        <v>3</v>
      </c>
      <c r="B9" s="261">
        <f>пр.хода!P39</f>
        <v>6</v>
      </c>
      <c r="C9" s="297" t="str">
        <f>IFERROR(VLOOKUP(B9,пр.взв!$B$7:$H$38,2,0),"")</f>
        <v>Корочанский Данила Дмитриевич</v>
      </c>
      <c r="D9" s="298" t="str">
        <f>IFERROR(VLOOKUP(B9,пр.взв!$B$7:$H$38,3,0),"")</f>
        <v>23.07.00, кмс</v>
      </c>
      <c r="E9" s="299" t="str">
        <f>IFERROR(VLOOKUP(B9,пр.взв!$B$7:$H$38,4,0),"")</f>
        <v>М</v>
      </c>
      <c r="F9" s="300" t="str">
        <f>IFERROR(VLOOKUP(B9,пр.взв!$B$7:$H$38,5,0),"")</f>
        <v>Москва, ГБОУ ЦО "Самбо-70"</v>
      </c>
      <c r="G9" s="301">
        <f>IFERROR(VLOOKUP(B9,пр.взв!$B$7:$H$38,6,0),"")</f>
        <v>0</v>
      </c>
      <c r="H9" s="302" t="str">
        <f>IFERROR(VLOOKUP(B9,пр.взв!$B$7:$H$38,7,0),"")</f>
        <v>Савкин АВ Соломатин АВ</v>
      </c>
      <c r="I9" s="284">
        <v>70</v>
      </c>
      <c r="J9" s="283">
        <f t="shared" si="8"/>
        <v>3</v>
      </c>
      <c r="K9" s="542"/>
      <c r="L9" s="542"/>
      <c r="M9" s="194">
        <v>4</v>
      </c>
      <c r="N9" s="191" t="s">
        <v>59</v>
      </c>
      <c r="O9" s="192">
        <f>SUMIF($K$4:$K$7,"кем",$L$4:$L$7)</f>
        <v>0</v>
      </c>
      <c r="P9" s="192">
        <f ca="1">SUMIF($J$8:$K$9,"кем",$L$6:$L$9)</f>
        <v>0</v>
      </c>
      <c r="Q9" s="193">
        <f>SUMIF($K$10:$K$13,"кем",$L$10:$L$13)</f>
        <v>0</v>
      </c>
      <c r="R9" s="193">
        <f>SUMIF($K$14:$K$17,"кем",$L$14:$L$17)</f>
        <v>0</v>
      </c>
      <c r="T9" s="194">
        <v>4</v>
      </c>
      <c r="U9" s="191" t="str">
        <f>IF(OR(K12=K4,K12=K8,K12=K10)," ",K12)</f>
        <v xml:space="preserve"> </v>
      </c>
      <c r="V9" s="192">
        <f t="shared" si="0"/>
        <v>0</v>
      </c>
      <c r="W9" s="192">
        <f t="shared" ca="1" si="1"/>
        <v>0</v>
      </c>
      <c r="X9" s="193">
        <f t="shared" si="2"/>
        <v>0</v>
      </c>
      <c r="Y9" s="193">
        <f>SUMIF($K$14:$K$17,U9,$L$14:$L$17)</f>
        <v>0</v>
      </c>
      <c r="AA9" t="str">
        <f>IF(OR(U7=" ",U8=" ",U9=" "),U10,U9)</f>
        <v xml:space="preserve"> </v>
      </c>
      <c r="AC9" t="str">
        <f>IF(OR(AA7=" ",AA8=" ",AA9=" "),AA10,AA9)</f>
        <v>Тверская</v>
      </c>
      <c r="AD9" s="216">
        <v>4</v>
      </c>
      <c r="AE9" s="217" t="str">
        <f>IF(OR(AC7=" ",AC8=" ",AC9=" "),AC10,AC9)</f>
        <v>Тверская</v>
      </c>
      <c r="AF9" s="218">
        <f t="shared" si="3"/>
        <v>0</v>
      </c>
      <c r="AG9" s="218">
        <f t="shared" ca="1" si="4"/>
        <v>0</v>
      </c>
      <c r="AH9" s="218">
        <f t="shared" si="5"/>
        <v>0</v>
      </c>
      <c r="AI9" s="219">
        <f t="shared" si="6"/>
        <v>1</v>
      </c>
      <c r="AK9" s="216">
        <v>4</v>
      </c>
      <c r="AL9" s="217" t="str">
        <f t="shared" si="7"/>
        <v>Тверская</v>
      </c>
      <c r="AM9" s="218" t="str">
        <f t="shared" si="7"/>
        <v xml:space="preserve"> </v>
      </c>
      <c r="AN9" s="218" t="str">
        <f t="shared" ca="1" si="7"/>
        <v xml:space="preserve"> </v>
      </c>
      <c r="AO9" s="218" t="str">
        <f t="shared" si="7"/>
        <v xml:space="preserve"> </v>
      </c>
      <c r="AP9" s="219">
        <f t="shared" si="7"/>
        <v>1</v>
      </c>
    </row>
    <row r="10" spans="1:42" ht="24" customHeight="1">
      <c r="A10" s="262">
        <v>5</v>
      </c>
      <c r="B10" s="261">
        <f>пр.хода!AD20</f>
        <v>2</v>
      </c>
      <c r="C10" s="297" t="str">
        <f>IFERROR(VLOOKUP(B10,пр.взв!$B$7:$H$38,2,0),"")</f>
        <v>Минажетдинов Ринат Рафаилевич</v>
      </c>
      <c r="D10" s="298" t="str">
        <f>IFERROR(VLOOKUP(B10,пр.взв!$B$7:$H$38,3,0),"")</f>
        <v>22.05.98, кмс</v>
      </c>
      <c r="E10" s="299" t="str">
        <f>IFERROR(VLOOKUP(B10,пр.взв!$B$7:$H$38,4,0),"")</f>
        <v>М</v>
      </c>
      <c r="F10" s="300" t="str">
        <f>IFERROR(VLOOKUP(B10,пр.взв!$B$7:$H$38,5,0),"")</f>
        <v>Москва, НИУ МГСУ</v>
      </c>
      <c r="G10" s="301">
        <f>IFERROR(VLOOKUP(B10,пр.взв!$B$7:$H$38,6,0),"")</f>
        <v>0</v>
      </c>
      <c r="H10" s="302" t="str">
        <f>IFERROR(VLOOKUP(B10,пр.взв!$B$7:$H$38,7,0),"")</f>
        <v>Гарник В.С., Никишкин В.В.</v>
      </c>
      <c r="I10" s="284">
        <v>50</v>
      </c>
      <c r="J10" s="283">
        <f t="shared" si="8"/>
        <v>5</v>
      </c>
      <c r="K10" s="542" t="str">
        <f>IFERROR(LEFT(F8,FIND(",",F8)-1),F8)</f>
        <v>Вологодская</v>
      </c>
      <c r="L10" s="542">
        <v>1</v>
      </c>
      <c r="M10" s="195">
        <v>5</v>
      </c>
      <c r="N10" s="191" t="s">
        <v>60</v>
      </c>
      <c r="O10" s="192">
        <f>SUMIF($K$4:$K$7,"кра",$L$4:$L$7)</f>
        <v>0</v>
      </c>
      <c r="P10" s="192">
        <f ca="1">SUMIF($J$8:$K$9,"кра",$L$6:$L$9)</f>
        <v>0</v>
      </c>
      <c r="Q10" s="193">
        <f>SUMIF($K$10:$K$13,"кра",$L$10:$L$13)</f>
        <v>0</v>
      </c>
      <c r="R10" s="193">
        <f>SUMIF($K$14:$K$17,"кра",$L$14:$L$17)</f>
        <v>0</v>
      </c>
      <c r="T10" s="195">
        <v>5</v>
      </c>
      <c r="U10" s="191" t="str">
        <f>IF(OR(K14=K4,K14=K8,K14=K10,K14=K12)," ",K14)</f>
        <v xml:space="preserve"> </v>
      </c>
      <c r="V10" s="192">
        <f t="shared" si="0"/>
        <v>0</v>
      </c>
      <c r="W10" s="192">
        <f t="shared" ca="1" si="1"/>
        <v>0</v>
      </c>
      <c r="X10" s="193">
        <f t="shared" si="2"/>
        <v>0</v>
      </c>
      <c r="Y10" s="193">
        <f>SUMIF($K$14:$K$17,U10,$L$14:$L$17)</f>
        <v>0</v>
      </c>
      <c r="AA10" t="str">
        <f>IF(OR(U7=" ",U8=" ",U9=" ",U10=" "),U11,U10)</f>
        <v>Тверская</v>
      </c>
      <c r="AC10" t="str">
        <f>IF(OR(AA7=" ",AA8=" ",AA9=" ")," ",AA10)</f>
        <v xml:space="preserve"> </v>
      </c>
      <c r="AD10" s="220">
        <v>5</v>
      </c>
      <c r="AE10" s="217" t="str">
        <f>IF(OR(AC7=" ",AC8=" ",AC9=" ")," ",AC10)</f>
        <v xml:space="preserve"> </v>
      </c>
      <c r="AF10" s="218">
        <f t="shared" si="3"/>
        <v>0</v>
      </c>
      <c r="AG10" s="218">
        <f t="shared" ca="1" si="4"/>
        <v>0</v>
      </c>
      <c r="AH10" s="218">
        <f t="shared" si="5"/>
        <v>0</v>
      </c>
      <c r="AI10" s="219">
        <f t="shared" si="6"/>
        <v>0</v>
      </c>
      <c r="AK10" s="220">
        <v>5</v>
      </c>
      <c r="AL10" s="217" t="str">
        <f t="shared" si="7"/>
        <v xml:space="preserve"> </v>
      </c>
      <c r="AM10" s="218" t="str">
        <f t="shared" si="7"/>
        <v xml:space="preserve"> </v>
      </c>
      <c r="AN10" s="218" t="str">
        <f t="shared" ca="1" si="7"/>
        <v xml:space="preserve"> </v>
      </c>
      <c r="AO10" s="218" t="str">
        <f t="shared" si="7"/>
        <v xml:space="preserve"> </v>
      </c>
      <c r="AP10" s="219" t="str">
        <f t="shared" si="7"/>
        <v xml:space="preserve"> </v>
      </c>
    </row>
    <row r="11" spans="1:42" ht="24" customHeight="1" thickBot="1">
      <c r="A11" s="262">
        <v>5</v>
      </c>
      <c r="B11" s="261">
        <f>пр.хода!AD21</f>
        <v>1</v>
      </c>
      <c r="C11" s="297" t="str">
        <f>IFERROR(VLOOKUP(B11,пр.взв!$B$7:$H$38,2,0),"")</f>
        <v>Шайхов Абдулло Пулодович</v>
      </c>
      <c r="D11" s="298" t="str">
        <f>IFERROR(VLOOKUP(B11,пр.взв!$B$7:$H$38,3,0),"")</f>
        <v>28.12.90, мс</v>
      </c>
      <c r="E11" s="299" t="str">
        <f>IFERROR(VLOOKUP(B11,пр.взв!$B$7:$H$38,4,0),"")</f>
        <v>ЦФО</v>
      </c>
      <c r="F11" s="300" t="str">
        <f>IFERROR(VLOOKUP(B11,пр.взв!$B$7:$H$38,5,0),"")</f>
        <v>Тверская, Тверь</v>
      </c>
      <c r="G11" s="301">
        <f>IFERROR(VLOOKUP(B11,пр.взв!$B$7:$H$38,6,0),"")</f>
        <v>0</v>
      </c>
      <c r="H11" s="302" t="str">
        <f>IFERROR(VLOOKUP(B11,пр.взв!$B$7:$H$38,7,0),"")</f>
        <v>Рыбинкин КВ Матюшенский АВ</v>
      </c>
      <c r="I11" s="284">
        <v>50</v>
      </c>
      <c r="J11" s="283">
        <f t="shared" si="8"/>
        <v>5</v>
      </c>
      <c r="K11" s="542"/>
      <c r="L11" s="542"/>
      <c r="M11" s="194">
        <v>6</v>
      </c>
      <c r="N11" s="191" t="s">
        <v>61</v>
      </c>
      <c r="O11" s="192">
        <f>SUMIF($K$4:$K$7,"нов",$L$4:$L$7)</f>
        <v>0</v>
      </c>
      <c r="P11" s="192">
        <f ca="1">SUMIF($J$8:$K$9,"нов",$L$6:$L$9)</f>
        <v>0</v>
      </c>
      <c r="Q11" s="193">
        <f>SUMIF($K$10:$K$13,"нов",$L$10:$L$13)</f>
        <v>0</v>
      </c>
      <c r="R11" s="193">
        <f>SUMIF($K$14:$K$17,"нов",$L$14:$L$17)</f>
        <v>0</v>
      </c>
      <c r="T11" s="194">
        <v>6</v>
      </c>
      <c r="U11" s="191" t="str">
        <f>IF(OR(K16=K4,K16=K8,K16=K10,K16=K12,K16=K14)," ",K16)</f>
        <v>Тверская</v>
      </c>
      <c r="V11" s="192">
        <f t="shared" si="0"/>
        <v>0</v>
      </c>
      <c r="W11" s="192">
        <f t="shared" ca="1" si="1"/>
        <v>0</v>
      </c>
      <c r="X11" s="193">
        <f t="shared" si="2"/>
        <v>0</v>
      </c>
      <c r="Y11" s="193">
        <f>SUMIF($K$14:$K$17,U11,$L$8:$L$17)</f>
        <v>1</v>
      </c>
      <c r="AA11" t="str">
        <f>IF(OR(U7=" ",U8=" ",U9=" ",U10=" ")," ",U11)</f>
        <v xml:space="preserve"> </v>
      </c>
      <c r="AC11" t="str">
        <f>IF(OR(AA7=" ",AA8=" ",AA9=" ",AA10=" ")," ",AA11)</f>
        <v xml:space="preserve"> </v>
      </c>
      <c r="AD11" s="221">
        <v>6</v>
      </c>
      <c r="AE11" s="222" t="str">
        <f>IF(OR(AC7=" ",AC8=" ",AC9=" ",AC10=" ")," ",AC11)</f>
        <v xml:space="preserve"> </v>
      </c>
      <c r="AF11" s="223">
        <f t="shared" si="3"/>
        <v>0</v>
      </c>
      <c r="AG11" s="223">
        <f t="shared" ca="1" si="4"/>
        <v>0</v>
      </c>
      <c r="AH11" s="223">
        <f t="shared" si="5"/>
        <v>0</v>
      </c>
      <c r="AI11" s="224">
        <f t="shared" si="6"/>
        <v>0</v>
      </c>
      <c r="AK11" s="221">
        <v>6</v>
      </c>
      <c r="AL11" s="222" t="str">
        <f t="shared" si="7"/>
        <v xml:space="preserve"> </v>
      </c>
      <c r="AM11" s="223" t="str">
        <f t="shared" si="7"/>
        <v xml:space="preserve"> </v>
      </c>
      <c r="AN11" s="223" t="str">
        <f t="shared" ca="1" si="7"/>
        <v xml:space="preserve"> </v>
      </c>
      <c r="AO11" s="223" t="str">
        <f t="shared" si="7"/>
        <v xml:space="preserve"> </v>
      </c>
      <c r="AP11" s="224" t="str">
        <f t="shared" si="7"/>
        <v xml:space="preserve"> </v>
      </c>
    </row>
    <row r="12" spans="1:42" ht="24" customHeight="1" thickBot="1">
      <c r="A12" s="260" t="s">
        <v>44</v>
      </c>
      <c r="B12" s="261">
        <f>пр.хода!AD17</f>
        <v>17</v>
      </c>
      <c r="C12" s="297" t="str">
        <f>IFERROR(VLOOKUP(B12,пр.взв!$B$7:$H$38,2,0),"")</f>
        <v>Соловьев Михаил Алексеевич</v>
      </c>
      <c r="D12" s="298" t="str">
        <f>IFERROR(VLOOKUP(B12,пр.взв!$B$7:$H$38,3,0),"")</f>
        <v>13.11.96, кмс</v>
      </c>
      <c r="E12" s="299" t="str">
        <f>IFERROR(VLOOKUP(B12,пр.взв!$B$7:$H$38,4,0),"")</f>
        <v>ЦФО</v>
      </c>
      <c r="F12" s="300" t="str">
        <f>IFERROR(VLOOKUP(B12,пр.взв!$B$7:$H$38,5,0),"")</f>
        <v>Рязанская, Рязань</v>
      </c>
      <c r="G12" s="301">
        <f>IFERROR(VLOOKUP(B12,пр.взв!$B$7:$H$38,6,0),"")</f>
        <v>0</v>
      </c>
      <c r="H12" s="302" t="str">
        <f>IFERROR(VLOOKUP(B12,пр.взв!$B$7:$H$38,7,0),"")</f>
        <v>Жуков СИ Ханинёв АВ</v>
      </c>
      <c r="I12" s="284">
        <v>35</v>
      </c>
      <c r="J12" s="283" t="str">
        <f t="shared" si="8"/>
        <v>7-8</v>
      </c>
      <c r="K12" s="542" t="str">
        <f>IFERROR(LEFT(F9,FIND(",",F9)-1),F9)</f>
        <v>Москва</v>
      </c>
      <c r="L12" s="542">
        <v>1</v>
      </c>
      <c r="M12" s="195">
        <v>7</v>
      </c>
      <c r="N12" s="191" t="s">
        <v>62</v>
      </c>
      <c r="O12" s="192">
        <f>SUMIF($K$4:$K$7,"омс",$L$4:$L$7)</f>
        <v>0</v>
      </c>
      <c r="P12" s="192">
        <f ca="1">SUMIF($J$8:$K$9,"омс",$L$6:$L$9)</f>
        <v>0</v>
      </c>
      <c r="Q12" s="193">
        <f>SUMIF($K$10:$K$13,"омс",$L$10:$L$13)</f>
        <v>0</v>
      </c>
      <c r="R12" s="193">
        <f>SUMIF($K$14:$K$17,"омс",$L$14:$L$17)</f>
        <v>0</v>
      </c>
      <c r="T12" s="196"/>
      <c r="U12" s="191" t="str">
        <f>IF(OR(K15=K7,K15=K11,K15=K13)," ",K15)</f>
        <v xml:space="preserve"> </v>
      </c>
      <c r="V12" s="197"/>
      <c r="W12" s="197"/>
      <c r="X12" s="198"/>
      <c r="Y12" s="198"/>
      <c r="AD12" s="202"/>
      <c r="AE12" s="203"/>
      <c r="AF12" s="225">
        <f>SUM(AF6:AF11)</f>
        <v>1</v>
      </c>
      <c r="AG12" s="225">
        <f ca="1">SUM(AG6:AG11)</f>
        <v>1</v>
      </c>
      <c r="AH12" s="225">
        <f>SUM(AH6:AH11)</f>
        <v>2</v>
      </c>
      <c r="AI12" s="225">
        <f>SUM(AI6:AI11)</f>
        <v>2</v>
      </c>
      <c r="AK12" s="202"/>
      <c r="AL12" s="203"/>
      <c r="AM12" s="225">
        <f>SUM(AM6:AM11)</f>
        <v>1</v>
      </c>
      <c r="AN12" s="225">
        <f ca="1">SUM(AN6:AN11)</f>
        <v>1</v>
      </c>
      <c r="AO12" s="225">
        <f>SUM(AO6:AO11)</f>
        <v>2</v>
      </c>
      <c r="AP12" s="225">
        <f>SUM(AP6:AP11)</f>
        <v>2</v>
      </c>
    </row>
    <row r="13" spans="1:42" ht="24" customHeight="1">
      <c r="A13" s="260" t="s">
        <v>44</v>
      </c>
      <c r="B13" s="261">
        <f>пр.хода!AD18</f>
        <v>16</v>
      </c>
      <c r="C13" s="297" t="str">
        <f>IFERROR(VLOOKUP(B13,пр.взв!$B$7:$H$38,2,0),"")</f>
        <v>Айриян Николай Сержикович</v>
      </c>
      <c r="D13" s="298" t="str">
        <f>IFERROR(VLOOKUP(B13,пр.взв!$B$7:$H$38,3,0),"")</f>
        <v>21.03.87, кмс</v>
      </c>
      <c r="E13" s="299" t="str">
        <f>IFERROR(VLOOKUP(B13,пр.взв!$B$7:$H$38,4,0),"")</f>
        <v>ЦФО</v>
      </c>
      <c r="F13" s="300" t="str">
        <f>IFERROR(VLOOKUP(B13,пр.взв!$B$7:$H$38,5,0),"")</f>
        <v>Московская, Дубна</v>
      </c>
      <c r="G13" s="301">
        <f>IFERROR(VLOOKUP(B13,пр.взв!$B$7:$H$38,6,0),"")</f>
        <v>0</v>
      </c>
      <c r="H13" s="302" t="str">
        <f>IFERROR(VLOOKUP(B13,пр.взв!$B$7:$H$38,7,0),"")</f>
        <v>Малышев НН Карачевцев МС</v>
      </c>
      <c r="I13" s="284">
        <v>35</v>
      </c>
      <c r="J13" s="283" t="str">
        <f t="shared" si="8"/>
        <v>7-8</v>
      </c>
      <c r="K13" s="542"/>
      <c r="L13" s="542"/>
      <c r="M13" s="194">
        <v>8</v>
      </c>
      <c r="N13" s="191" t="s">
        <v>63</v>
      </c>
      <c r="O13" s="192">
        <f>SUMIF($K$4:$K$7,"р.а",$L$4:$L$7)</f>
        <v>0</v>
      </c>
      <c r="P13" s="192">
        <f ca="1">SUMIF($J$8:$K$9,"р.а",$L$6:$L$9)</f>
        <v>0</v>
      </c>
      <c r="Q13" s="193">
        <f>SUMIF($K$10:$K$13,"р.а",$L$10:$L$13)</f>
        <v>0</v>
      </c>
      <c r="R13" s="193">
        <f>SUMIF($K$14:$K$17,"р.а",$L$14:$L$17)</f>
        <v>0</v>
      </c>
      <c r="T13" s="199"/>
      <c r="U13" s="200" t="str">
        <f>IF(OR(K16=K8,K16=K12,K16=K14)," ",K16)</f>
        <v>Тверская</v>
      </c>
      <c r="V13" s="197"/>
      <c r="W13" s="197"/>
      <c r="X13" s="198"/>
      <c r="Y13" s="198"/>
    </row>
    <row r="14" spans="1:42" ht="24" customHeight="1">
      <c r="A14" s="260" t="s">
        <v>47</v>
      </c>
      <c r="B14" s="261">
        <f>пр.хода!AD12</f>
        <v>13</v>
      </c>
      <c r="C14" s="297" t="str">
        <f>IFERROR(VLOOKUP(B14,пр.взв!$B$7:$H$38,2,0),"")</f>
        <v>Прокофьев Иван Николаевич</v>
      </c>
      <c r="D14" s="298" t="str">
        <f>IFERROR(VLOOKUP(B14,пр.взв!$B$7:$H$38,3,0),"")</f>
        <v>09.04.00, кмс</v>
      </c>
      <c r="E14" s="299" t="str">
        <f>IFERROR(VLOOKUP(B14,пр.взв!$B$7:$H$38,4,0),"")</f>
        <v>ЦФО</v>
      </c>
      <c r="F14" s="300" t="str">
        <f>IFERROR(VLOOKUP(B14,пр.взв!$B$7:$H$38,5,0),"")</f>
        <v>Воронежская, Воронеж</v>
      </c>
      <c r="G14" s="301">
        <f>IFERROR(VLOOKUP(B14,пр.взв!$B$7:$H$38,6,0),"")</f>
        <v>0</v>
      </c>
      <c r="H14" s="302" t="str">
        <f>IFERROR(VLOOKUP(B14,пр.взв!$B$7:$H$38,7,0),"")</f>
        <v>Ефремов МА</v>
      </c>
      <c r="I14" s="284">
        <v>15</v>
      </c>
      <c r="J14" s="283" t="str">
        <f t="shared" si="8"/>
        <v>9-12</v>
      </c>
      <c r="K14" s="542" t="str">
        <f>IFERROR(LEFT(F10,FIND(",",F10)-1),F10)</f>
        <v>Москва</v>
      </c>
      <c r="L14" s="542">
        <v>1</v>
      </c>
      <c r="M14" s="195">
        <v>9</v>
      </c>
      <c r="N14" s="191" t="s">
        <v>64</v>
      </c>
      <c r="O14" s="192">
        <f>SUMIF($K$4:$K$7,"р.б",$L$4:$L$7)</f>
        <v>0</v>
      </c>
      <c r="P14" s="192">
        <f ca="1">SUMIF($J$8:$K$9,"р.б",$L$6:$L$9)</f>
        <v>0</v>
      </c>
      <c r="Q14" s="193">
        <f>SUMIF($K$10:$K$13,"р.б",$L$10:$L$13)</f>
        <v>0</v>
      </c>
      <c r="R14" s="193">
        <f>SUMIF($K$14:$K$17,"р.б",$L$14:$L$17)</f>
        <v>0</v>
      </c>
      <c r="T14" s="196"/>
      <c r="U14" s="200"/>
      <c r="V14" s="197"/>
      <c r="W14" s="197"/>
      <c r="X14" s="198"/>
      <c r="Y14" s="198"/>
    </row>
    <row r="15" spans="1:42" ht="24" customHeight="1">
      <c r="A15" s="260" t="s">
        <v>47</v>
      </c>
      <c r="B15" s="261">
        <f>пр.хода!AD13</f>
        <v>11</v>
      </c>
      <c r="C15" s="297" t="str">
        <f>IFERROR(VLOOKUP(B15,пр.взв!$B$7:$H$38,2,0),"")</f>
        <v>Шахбазов Ислам Асланбекович</v>
      </c>
      <c r="D15" s="298" t="str">
        <f>IFERROR(VLOOKUP(B15,пр.взв!$B$7:$H$38,3,0),"")</f>
        <v>11.07.98, кмс</v>
      </c>
      <c r="E15" s="299" t="str">
        <f>IFERROR(VLOOKUP(B15,пр.взв!$B$7:$H$38,4,0),"")</f>
        <v>ЦФО</v>
      </c>
      <c r="F15" s="300" t="str">
        <f>IFERROR(VLOOKUP(B15,пр.взв!$B$7:$H$38,5,0),"")</f>
        <v>Тверская, Кашин</v>
      </c>
      <c r="G15" s="301">
        <f>IFERROR(VLOOKUP(B15,пр.взв!$B$7:$H$38,6,0),"")</f>
        <v>0</v>
      </c>
      <c r="H15" s="302" t="str">
        <f>IFERROR(VLOOKUP(B15,пр.взв!$B$7:$H$38,7,0),"")</f>
        <v>Кириллов СВ</v>
      </c>
      <c r="I15" s="284">
        <v>15</v>
      </c>
      <c r="J15" s="283" t="str">
        <f t="shared" si="8"/>
        <v>9-12</v>
      </c>
      <c r="K15" s="542"/>
      <c r="L15" s="542"/>
      <c r="M15" s="194">
        <v>10</v>
      </c>
      <c r="N15" s="191" t="s">
        <v>65</v>
      </c>
      <c r="O15" s="192">
        <f>SUMIF($K$4:$K$7,"р.х",$L$4:$L$7)</f>
        <v>0</v>
      </c>
      <c r="P15" s="192">
        <f ca="1">SUMIF($J$8:$K$9,"р.х",$L$6:$L$9)</f>
        <v>0</v>
      </c>
      <c r="Q15" s="193">
        <f>SUMIF($K$10:$K$13,"р.х",$L$10:$L$13)</f>
        <v>0</v>
      </c>
      <c r="R15" s="193">
        <f>SUMIF($K$14:$K$17,"р.х",$L$14:$L$17)</f>
        <v>0</v>
      </c>
      <c r="T15" s="199"/>
      <c r="U15" s="200"/>
      <c r="V15" s="197"/>
      <c r="W15" s="197"/>
      <c r="X15" s="198"/>
      <c r="Y15" s="198"/>
    </row>
    <row r="16" spans="1:42" ht="24" customHeight="1">
      <c r="A16" s="260" t="s">
        <v>47</v>
      </c>
      <c r="B16" s="261">
        <f>пр.хода!AD14</f>
        <v>18</v>
      </c>
      <c r="C16" s="297" t="str">
        <f>IFERROR(VLOOKUP(B16,пр.взв!$B$7:$H$38,2,0),"")</f>
        <v>Наджмонов Авзунмехр Муминджонович</v>
      </c>
      <c r="D16" s="298" t="str">
        <f>IFERROR(VLOOKUP(B16,пр.взв!$B$7:$H$38,3,0),"")</f>
        <v>03.07.95, кмс</v>
      </c>
      <c r="E16" s="299" t="str">
        <f>IFERROR(VLOOKUP(B16,пр.взв!$B$7:$H$38,4,0),"")</f>
        <v>ЦФО</v>
      </c>
      <c r="F16" s="300" t="str">
        <f>IFERROR(VLOOKUP(B16,пр.взв!$B$7:$H$38,5,0),"")</f>
        <v>Тверская, Тверь</v>
      </c>
      <c r="G16" s="301">
        <f>IFERROR(VLOOKUP(B16,пр.взв!$B$7:$H$38,6,0),"")</f>
        <v>0</v>
      </c>
      <c r="H16" s="302" t="str">
        <f>IFERROR(VLOOKUP(B16,пр.взв!$B$7:$H$38,7,0),"")</f>
        <v>Каверзин ПИ Павлов ВВ</v>
      </c>
      <c r="I16" s="284">
        <v>15</v>
      </c>
      <c r="J16" s="283" t="str">
        <f t="shared" si="8"/>
        <v>9-12</v>
      </c>
      <c r="K16" s="542" t="str">
        <f>IFERROR(LEFT(F11,FIND(",",F11)-1),F11)</f>
        <v>Тверская</v>
      </c>
      <c r="L16" s="542">
        <v>1</v>
      </c>
      <c r="M16" s="195">
        <v>11</v>
      </c>
      <c r="N16" s="205" t="s">
        <v>66</v>
      </c>
      <c r="O16" s="192">
        <f>SUMIF($K$4:$K$7,"том",$L$4:$L$7)</f>
        <v>0</v>
      </c>
      <c r="P16" s="192">
        <f ca="1">SUMIF($J$8:$K$9,"том",$L$6:$L$9)</f>
        <v>0</v>
      </c>
      <c r="Q16" s="193">
        <f>SUMIF($K$10:$K$13,"том",$L$10:$L$13)</f>
        <v>0</v>
      </c>
      <c r="R16" s="193">
        <f>SUMIF($K$14:$K$17,"том",$L$14:$L$17)</f>
        <v>0</v>
      </c>
      <c r="T16" s="196"/>
      <c r="U16" s="201"/>
      <c r="V16" s="197"/>
      <c r="W16" s="197"/>
      <c r="X16" s="198"/>
      <c r="Y16" s="198"/>
    </row>
    <row r="17" spans="1:37" ht="24" customHeight="1" thickBot="1">
      <c r="A17" s="260" t="s">
        <v>47</v>
      </c>
      <c r="B17" s="261">
        <f>пр.хода!AD15</f>
        <v>12</v>
      </c>
      <c r="C17" s="297" t="str">
        <f>IFERROR(VLOOKUP(B17,пр.взв!$B$7:$H$38,2,0),"")</f>
        <v>Макаров Артем Юрьевич</v>
      </c>
      <c r="D17" s="298" t="str">
        <f>IFERROR(VLOOKUP(B17,пр.взв!$B$7:$H$38,3,0),"")</f>
        <v>07.08.97, кмс</v>
      </c>
      <c r="E17" s="299" t="str">
        <f>IFERROR(VLOOKUP(B17,пр.взв!$B$7:$H$38,4,0),"")</f>
        <v>ЦФО</v>
      </c>
      <c r="F17" s="300" t="str">
        <f>IFERROR(VLOOKUP(B17,пр.взв!$B$7:$H$38,5,0),"")</f>
        <v>Тверская, Кимры</v>
      </c>
      <c r="G17" s="301">
        <f>IFERROR(VLOOKUP(B17,пр.взв!$B$7:$H$38,6,0),"")</f>
        <v>0</v>
      </c>
      <c r="H17" s="302" t="str">
        <f>IFERROR(VLOOKUP(B17,пр.взв!$B$7:$H$38,7,0),"")</f>
        <v>Серебряков РА</v>
      </c>
      <c r="I17" s="284">
        <v>15</v>
      </c>
      <c r="J17" s="283" t="str">
        <f t="shared" si="8"/>
        <v>9-12</v>
      </c>
      <c r="K17" s="542"/>
      <c r="L17" s="542"/>
      <c r="M17" s="194">
        <v>12</v>
      </c>
      <c r="N17" s="205" t="s">
        <v>67</v>
      </c>
      <c r="O17" s="192">
        <f>SUMIF($K$4:$K$7,"Мос",$L$4:$L$7)</f>
        <v>0</v>
      </c>
      <c r="P17" s="192">
        <f ca="1">SUMIF($J$8:$K$9,"Мос",$L$6:$L$9)</f>
        <v>0</v>
      </c>
      <c r="Q17" s="193">
        <f>SUMIF($K$10:$K$13,"Мос",$L$10:$L$13)</f>
        <v>0</v>
      </c>
      <c r="R17" s="193">
        <f>SUMIF($K$14:$K$17,"Мос",$L$14:$L$17)</f>
        <v>0</v>
      </c>
      <c r="T17" s="199"/>
      <c r="U17" s="201"/>
      <c r="V17" s="197"/>
      <c r="W17" s="197"/>
      <c r="X17" s="198"/>
      <c r="Y17" s="198"/>
    </row>
    <row r="18" spans="1:37" ht="24" customHeight="1" thickBot="1">
      <c r="A18" s="260" t="s">
        <v>183</v>
      </c>
      <c r="B18" s="261">
        <f>пр.хода!AD7</f>
        <v>9</v>
      </c>
      <c r="C18" s="297" t="str">
        <f>IFERROR(VLOOKUP(B18,пр.взв!$B$7:$H$38,2,0),"")</f>
        <v>Солодянников Сергей Константинович</v>
      </c>
      <c r="D18" s="298" t="str">
        <f>IFERROR(VLOOKUP(B18,пр.взв!$B$7:$H$38,3,0),"")</f>
        <v>08.10.94, кмс</v>
      </c>
      <c r="E18" s="299" t="str">
        <f>IFERROR(VLOOKUP(B18,пр.взв!$B$7:$H$38,4,0),"")</f>
        <v>ЦФО</v>
      </c>
      <c r="F18" s="300" t="str">
        <f>IFERROR(VLOOKUP(B18,пр.взв!$B$7:$H$38,5,0),"")</f>
        <v>Тверская, ОСН "Рысь"</v>
      </c>
      <c r="G18" s="301">
        <f>IFERROR(VLOOKUP(B18,пр.взв!$B$7:$H$38,6,0),"")</f>
        <v>0</v>
      </c>
      <c r="H18" s="302" t="str">
        <f>IFERROR(VLOOKUP(B18,пр.взв!$B$7:$H$38,7,0),"")</f>
        <v>Харитонов ДЗ</v>
      </c>
      <c r="I18" s="285">
        <f>IF(B18&gt;пр.взв!AH$7," ",10)</f>
        <v>10</v>
      </c>
      <c r="J18" s="283" t="str">
        <f t="shared" si="8"/>
        <v>13-14</v>
      </c>
      <c r="M18" s="202"/>
      <c r="N18" s="203"/>
      <c r="O18" s="204">
        <f>SUM(O6:O17)</f>
        <v>1</v>
      </c>
      <c r="P18" s="204">
        <f ca="1">SUM(P6:P17)</f>
        <v>0</v>
      </c>
      <c r="Q18" s="204">
        <f>SUM(Q6:Q17)</f>
        <v>0</v>
      </c>
      <c r="R18" s="204">
        <f>SUM(R6:R17)</f>
        <v>0</v>
      </c>
      <c r="T18" s="202"/>
      <c r="U18" s="203"/>
      <c r="V18" s="204">
        <f>SUM(V6:V17)</f>
        <v>1</v>
      </c>
      <c r="W18" s="204">
        <f ca="1">SUM(W6:W17)</f>
        <v>1</v>
      </c>
      <c r="X18" s="204">
        <f>SUM(X6:X17)</f>
        <v>2</v>
      </c>
      <c r="Y18" s="204">
        <f>SUM(Y6:Y17)</f>
        <v>2</v>
      </c>
    </row>
    <row r="19" spans="1:37" ht="24" customHeight="1">
      <c r="A19" s="260" t="s">
        <v>183</v>
      </c>
      <c r="B19" s="261">
        <v>10</v>
      </c>
      <c r="C19" s="297" t="str">
        <f>IFERROR(VLOOKUP(B19,пр.взв!$B$7:$H$38,2,0),"")</f>
        <v>Киселёв Сергей Николаевич</v>
      </c>
      <c r="D19" s="298" t="str">
        <f>IFERROR(VLOOKUP(B19,пр.взв!$B$7:$H$38,3,0),"")</f>
        <v>01.01.85, кмс</v>
      </c>
      <c r="E19" s="299" t="str">
        <f>IFERROR(VLOOKUP(B19,пр.взв!$B$7:$H$38,4,0),"")</f>
        <v>ЦФО</v>
      </c>
      <c r="F19" s="300" t="str">
        <f>IFERROR(VLOOKUP(B19,пр.взв!$B$7:$H$38,5,0),"")</f>
        <v>Тверская, ОСН "Рысь"</v>
      </c>
      <c r="G19" s="301">
        <f>IFERROR(VLOOKUP(B19,пр.взв!$B$7:$H$38,6,0),"")</f>
        <v>0</v>
      </c>
      <c r="H19" s="302" t="str">
        <f>IFERROR(VLOOKUP(B19,пр.взв!$B$7:$H$38,7,0),"")</f>
        <v>Харитонов ДЗ</v>
      </c>
      <c r="I19" s="285">
        <f>IF(B19&gt;пр.взв!AH$7," ",10)</f>
        <v>10</v>
      </c>
      <c r="J19" s="283" t="str">
        <f t="shared" si="8"/>
        <v>13-14</v>
      </c>
    </row>
    <row r="20" spans="1:37" ht="24" customHeight="1">
      <c r="A20" s="260" t="s">
        <v>184</v>
      </c>
      <c r="B20" s="261">
        <v>5</v>
      </c>
      <c r="C20" s="297" t="str">
        <f>IFERROR(VLOOKUP(B20,пр.взв!$B$7:$H$38,2,0),"")</f>
        <v>Никишкин Максим Вячеславович</v>
      </c>
      <c r="D20" s="298" t="str">
        <f>IFERROR(VLOOKUP(B20,пр.взв!$B$7:$H$38,3,0),"")</f>
        <v>15.08.99, кмс</v>
      </c>
      <c r="E20" s="299" t="str">
        <f>IFERROR(VLOOKUP(B20,пр.взв!$B$7:$H$38,4,0),"")</f>
        <v>М</v>
      </c>
      <c r="F20" s="300" t="str">
        <f>IFERROR(VLOOKUP(B20,пр.взв!$B$7:$H$38,5,0),"")</f>
        <v>Москва, НИУ МГСУ</v>
      </c>
      <c r="G20" s="301">
        <f>IFERROR(VLOOKUP(B20,пр.взв!$B$7:$H$38,6,0),"")</f>
        <v>0</v>
      </c>
      <c r="H20" s="302" t="str">
        <f>IFERROR(VLOOKUP(B20,пр.взв!$B$7:$H$38,7,0),"")</f>
        <v>Никишкин В.В., Гарник В.С.</v>
      </c>
      <c r="I20" s="285">
        <f>IF(B20&gt;пр.взв!AH$7," ",10)</f>
        <v>10</v>
      </c>
      <c r="J20" s="283" t="str">
        <f t="shared" si="8"/>
        <v>15-18</v>
      </c>
    </row>
    <row r="21" spans="1:37" ht="24" customHeight="1">
      <c r="A21" s="260" t="s">
        <v>184</v>
      </c>
      <c r="B21" s="261">
        <v>7</v>
      </c>
      <c r="C21" s="297" t="str">
        <f>IFERROR(VLOOKUP(B21,пр.взв!$B$7:$H$38,2,0),"")</f>
        <v>Фролов Кирилл Михайлович</v>
      </c>
      <c r="D21" s="298" t="str">
        <f>IFERROR(VLOOKUP(B21,пр.взв!$B$7:$H$38,3,0),"")</f>
        <v>06.11.98, кмс</v>
      </c>
      <c r="E21" s="299" t="str">
        <f>IFERROR(VLOOKUP(B21,пр.взв!$B$7:$H$38,4,0),"")</f>
        <v>М</v>
      </c>
      <c r="F21" s="300" t="str">
        <f>IFERROR(VLOOKUP(B21,пр.взв!$B$7:$H$38,5,0),"")</f>
        <v>Москва, ГБОУ ЦО "Самбо-70"</v>
      </c>
      <c r="G21" s="301">
        <f>IFERROR(VLOOKUP(B21,пр.взв!$B$7:$H$38,6,0),"")</f>
        <v>0</v>
      </c>
      <c r="H21" s="302" t="str">
        <f>IFERROR(VLOOKUP(B21,пр.взв!$B$7:$H$38,7,0),"")</f>
        <v>Савкин АВ Соломатин АВ</v>
      </c>
      <c r="I21" s="285">
        <f>IF(B21&gt;пр.взв!AH$7," ",10)</f>
        <v>10</v>
      </c>
      <c r="J21" s="283" t="str">
        <f t="shared" si="8"/>
        <v>15-18</v>
      </c>
    </row>
    <row r="22" spans="1:37" ht="24" customHeight="1">
      <c r="A22" s="260" t="s">
        <v>184</v>
      </c>
      <c r="B22" s="261">
        <v>14</v>
      </c>
      <c r="C22" s="297" t="str">
        <f>IFERROR(VLOOKUP(B22,пр.взв!$B$7:$H$38,2,0),"")</f>
        <v>Нечаев Максим Михайлович</v>
      </c>
      <c r="D22" s="298" t="str">
        <f>IFERROR(VLOOKUP(B22,пр.взв!$B$7:$H$38,3,0),"")</f>
        <v>26.01.94, кмс</v>
      </c>
      <c r="E22" s="299" t="str">
        <f>IFERROR(VLOOKUP(B22,пр.взв!$B$7:$H$38,4,0),"")</f>
        <v>СЗФО</v>
      </c>
      <c r="F22" s="300" t="str">
        <f>IFERROR(VLOOKUP(B22,пр.взв!$B$7:$H$38,5,0),"")</f>
        <v>Новгородская, Боровичи</v>
      </c>
      <c r="G22" s="301">
        <f>IFERROR(VLOOKUP(B22,пр.взв!$B$7:$H$38,6,0),"")</f>
        <v>0</v>
      </c>
      <c r="H22" s="302" t="str">
        <f>IFERROR(VLOOKUP(B22,пр.взв!$B$7:$H$38,7,0),"")</f>
        <v>Аристархов ВН</v>
      </c>
      <c r="I22" s="286">
        <f>IF(B22&gt;пр.взв!AH$7," ",1)</f>
        <v>1</v>
      </c>
      <c r="J22" s="283" t="str">
        <f>A22</f>
        <v>15-18</v>
      </c>
    </row>
    <row r="23" spans="1:37" ht="24" customHeight="1" thickBot="1">
      <c r="A23" s="265" t="s">
        <v>184</v>
      </c>
      <c r="B23" s="290">
        <v>8</v>
      </c>
      <c r="C23" s="303" t="str">
        <f>IFERROR(VLOOKUP(B23,пр.взв!$B$7:$H$38,2,0),"")</f>
        <v>Магомедкеримов Вагаб Гераклиевич</v>
      </c>
      <c r="D23" s="304" t="str">
        <f>IFERROR(VLOOKUP(B23,пр.взв!$B$7:$H$38,3,0),"")</f>
        <v>21.10.99, кмс</v>
      </c>
      <c r="E23" s="305" t="str">
        <f>IFERROR(VLOOKUP(B23,пр.взв!$B$7:$H$38,4,0),"")</f>
        <v>ЦФО</v>
      </c>
      <c r="F23" s="306" t="str">
        <f>IFERROR(VLOOKUP(B23,пр.взв!$B$7:$H$38,5,0),"")</f>
        <v>Тверская, Тверь</v>
      </c>
      <c r="G23" s="307">
        <f>IFERROR(VLOOKUP(B23,пр.взв!$B$7:$H$38,6,0),"")</f>
        <v>0</v>
      </c>
      <c r="H23" s="308" t="str">
        <f>IFERROR(VLOOKUP(B23,пр.взв!$B$7:$H$38,7,0),"")</f>
        <v>Остапенко АА</v>
      </c>
      <c r="I23" s="286">
        <f>IF(B23&gt;пр.взв!AH$7," ",1)</f>
        <v>1</v>
      </c>
      <c r="J23" s="283" t="str">
        <f t="shared" si="8"/>
        <v>15-18</v>
      </c>
    </row>
    <row r="24" spans="1:37" ht="53.25" customHeight="1">
      <c r="A24" s="61" t="str">
        <f>пр.хода!A40</f>
        <v>Гл. судья, судья ВК</v>
      </c>
      <c r="B24" s="31"/>
      <c r="C24" s="62"/>
      <c r="D24" s="266"/>
      <c r="E24" s="288"/>
      <c r="F24" s="82" t="str">
        <f>пр.хода!F40</f>
        <v xml:space="preserve">Н.Н.Малышев </v>
      </c>
      <c r="H24" s="84" t="str">
        <f>пр.хода!F41</f>
        <v>/Дубна /</v>
      </c>
      <c r="I24" s="286" t="e">
        <f>IF(#REF!&gt;пр.взв!AH$7," ",1)</f>
        <v>#REF!</v>
      </c>
      <c r="J24" s="283" t="e">
        <f>#REF!</f>
        <v>#REF!</v>
      </c>
    </row>
    <row r="25" spans="1:37" ht="51" customHeight="1">
      <c r="A25" s="61" t="str">
        <f>пр.хода!A42</f>
        <v>Гл. секретарь, судья ВК</v>
      </c>
      <c r="B25" s="31"/>
      <c r="C25" s="62"/>
      <c r="D25" s="62"/>
      <c r="E25" s="55"/>
      <c r="F25" s="83" t="str">
        <f>пр.хода!F42</f>
        <v>А.С.Тимошин</v>
      </c>
      <c r="H25" s="84" t="str">
        <f>пр.хода!F43</f>
        <v>/Рыбинск/</v>
      </c>
      <c r="I25" s="286" t="e">
        <f>IF(#REF!&gt;пр.взв!AH$7," ",1)</f>
        <v>#REF!</v>
      </c>
      <c r="J25" s="283" t="e">
        <f>#REF!</f>
        <v>#REF!</v>
      </c>
    </row>
    <row r="26" spans="1:37" ht="24" customHeight="1">
      <c r="A26" s="31"/>
      <c r="B26" s="31"/>
      <c r="C26" s="31"/>
      <c r="D26" s="236"/>
      <c r="E26" s="31"/>
      <c r="F26" s="31"/>
      <c r="G26" s="31"/>
      <c r="I26" s="284" t="e">
        <f>IF(#REF!&gt;пр.взв!AH$7," ",1)</f>
        <v>#REF!</v>
      </c>
      <c r="J26" s="283" t="e">
        <f>#REF!</f>
        <v>#REF!</v>
      </c>
      <c r="AK26">
        <v>24</v>
      </c>
    </row>
    <row r="27" spans="1:37" ht="24" customHeight="1">
      <c r="A27" s="31"/>
      <c r="B27" s="31"/>
      <c r="C27" s="31"/>
      <c r="D27" s="31"/>
      <c r="I27" s="284" t="e">
        <f>IF(#REF!&gt;пр.взв!AH$7," ",1)</f>
        <v>#REF!</v>
      </c>
      <c r="J27" s="283" t="e">
        <f>#REF!</f>
        <v>#REF!</v>
      </c>
    </row>
    <row r="28" spans="1:37" ht="24" customHeight="1">
      <c r="A28" s="31"/>
      <c r="B28" s="31"/>
      <c r="C28" s="31"/>
      <c r="D28" s="31"/>
      <c r="I28" s="284" t="e">
        <f>IF(#REF!&gt;пр.взв!AH$7," ",1)</f>
        <v>#REF!</v>
      </c>
      <c r="J28" s="283" t="e">
        <f>#REF!</f>
        <v>#REF!</v>
      </c>
    </row>
    <row r="29" spans="1:37" ht="24" customHeight="1">
      <c r="A29" s="29"/>
      <c r="C29" s="36"/>
      <c r="D29" s="36"/>
      <c r="E29" s="36"/>
      <c r="I29" s="284" t="e">
        <f>IF(#REF!&gt;пр.взв!AH$7," ",1)</f>
        <v>#REF!</v>
      </c>
      <c r="J29" s="283" t="e">
        <f>#REF!</f>
        <v>#REF!</v>
      </c>
    </row>
    <row r="30" spans="1:37" ht="24" customHeight="1">
      <c r="A30" s="29"/>
      <c r="B30" s="37"/>
      <c r="C30" s="37"/>
      <c r="D30" s="37"/>
      <c r="E30" s="37"/>
      <c r="I30" s="284" t="e">
        <f>IF(#REF!&gt;пр.взв!AH$7," ",1)</f>
        <v>#REF!</v>
      </c>
      <c r="J30" s="283" t="e">
        <f>#REF!</f>
        <v>#REF!</v>
      </c>
    </row>
    <row r="31" spans="1:37" ht="24" customHeight="1">
      <c r="A31" s="29"/>
      <c r="B31" s="37"/>
      <c r="C31" s="37"/>
      <c r="D31" s="37"/>
      <c r="E31" s="37"/>
      <c r="F31" s="37"/>
      <c r="I31" s="284" t="e">
        <f>IF(#REF!&gt;пр.взв!AH$7," ",1)</f>
        <v>#REF!</v>
      </c>
      <c r="J31" s="283" t="e">
        <f>#REF!</f>
        <v>#REF!</v>
      </c>
    </row>
    <row r="32" spans="1:37" ht="24" customHeight="1">
      <c r="A32" s="29"/>
      <c r="B32" s="37"/>
      <c r="C32" s="37"/>
      <c r="D32" s="37"/>
      <c r="E32" s="37"/>
      <c r="F32" s="37"/>
      <c r="I32" s="284" t="e">
        <f>IF(#REF!&gt;пр.взв!AH$7," ",1)</f>
        <v>#REF!</v>
      </c>
      <c r="J32" s="283" t="e">
        <f>#REF!</f>
        <v>#REF!</v>
      </c>
    </row>
    <row r="33" spans="1:10" ht="24" customHeight="1">
      <c r="A33" s="29"/>
      <c r="I33" s="284" t="e">
        <f>IF(#REF!&gt;пр.взв!AH$7," ",1)</f>
        <v>#REF!</v>
      </c>
      <c r="J33" s="283" t="e">
        <f>#REF!</f>
        <v>#REF!</v>
      </c>
    </row>
    <row r="34" spans="1:10" ht="24" customHeight="1">
      <c r="A34" s="29"/>
      <c r="I34" s="284" t="e">
        <f>IF(#REF!&gt;пр.взв!AH$7," ",1)</f>
        <v>#REF!</v>
      </c>
      <c r="J34" s="283" t="e">
        <f>#REF!</f>
        <v>#REF!</v>
      </c>
    </row>
    <row r="35" spans="1:10" ht="24" customHeight="1">
      <c r="I35" s="284" t="e">
        <f>IF(#REF!&gt;пр.взв!AH$7," ",1)</f>
        <v>#REF!</v>
      </c>
      <c r="J35" s="283" t="e">
        <f>#REF!</f>
        <v>#REF!</v>
      </c>
    </row>
    <row r="36" spans="1:10" ht="24" customHeight="1">
      <c r="I36" s="284" t="e">
        <f>IF(#REF!&gt;пр.взв!AH$7," ",1)</f>
        <v>#REF!</v>
      </c>
      <c r="J36" s="283" t="e">
        <f>#REF!</f>
        <v>#REF!</v>
      </c>
    </row>
    <row r="37" spans="1:10" ht="24" customHeight="1">
      <c r="I37" s="284" t="e">
        <f>IF(#REF!&gt;пр.взв!AH$7," ",1)</f>
        <v>#REF!</v>
      </c>
      <c r="J37" s="283" t="e">
        <f>#REF!</f>
        <v>#REF!</v>
      </c>
    </row>
    <row r="38" spans="1:10" ht="36" customHeight="1"/>
    <row r="39" spans="1:10" ht="33" customHeight="1"/>
    <row r="40" spans="1:10" ht="12.95" customHeight="1"/>
    <row r="41" spans="1:10" ht="12.95" customHeight="1"/>
    <row r="42" spans="1:10" ht="12.95" customHeight="1"/>
    <row r="43" spans="1:10" ht="12.95" customHeight="1"/>
    <row r="44" spans="1:10" ht="12.95" customHeight="1"/>
    <row r="45" spans="1:10" ht="12.95" customHeight="1"/>
    <row r="46" spans="1:10" ht="12.95" customHeight="1"/>
    <row r="47" spans="1:10" ht="12.95" customHeight="1"/>
    <row r="48" spans="1:10" ht="12.95" customHeight="1"/>
    <row r="49" ht="12.95" customHeight="1"/>
    <row r="50" ht="12.95" customHeight="1"/>
    <row r="51" ht="12.95" customHeight="1"/>
    <row r="52" ht="12.95" customHeight="1"/>
    <row r="53" ht="12.95" customHeight="1"/>
    <row r="54" ht="12.95" customHeight="1"/>
    <row r="55" ht="12.95" customHeight="1"/>
    <row r="56" ht="12.95" customHeight="1"/>
    <row r="57" ht="12.95" customHeight="1"/>
    <row r="58" ht="12.95" customHeight="1"/>
    <row r="59" ht="12.95" customHeight="1"/>
    <row r="60" ht="11.45" customHeight="1"/>
    <row r="61" ht="11.45" customHeight="1"/>
    <row r="62" ht="11.45" customHeight="1"/>
    <row r="63" ht="11.45" customHeight="1"/>
    <row r="64" ht="11.45" customHeight="1"/>
    <row r="65" ht="11.45" customHeight="1"/>
    <row r="66" ht="11.45" customHeight="1"/>
    <row r="67" ht="11.45" customHeight="1"/>
    <row r="68" ht="11.45" customHeight="1"/>
    <row r="69" ht="11.45" customHeight="1"/>
    <row r="70" ht="30" customHeight="1"/>
    <row r="71" ht="24" customHeight="1"/>
    <row r="75" ht="27.75" customHeight="1"/>
  </sheetData>
  <sortState ref="B46:H69">
    <sortCondition ref="B46:B69"/>
  </sortState>
  <mergeCells count="38">
    <mergeCell ref="K12:K13"/>
    <mergeCell ref="L12:L13"/>
    <mergeCell ref="K14:K15"/>
    <mergeCell ref="L14:L15"/>
    <mergeCell ref="K16:K17"/>
    <mergeCell ref="L16:L17"/>
    <mergeCell ref="K6:K7"/>
    <mergeCell ref="L6:L7"/>
    <mergeCell ref="K8:K9"/>
    <mergeCell ref="L8:L9"/>
    <mergeCell ref="K10:K11"/>
    <mergeCell ref="L10:L11"/>
    <mergeCell ref="D2:H2"/>
    <mergeCell ref="H4:H5"/>
    <mergeCell ref="T4:T5"/>
    <mergeCell ref="U4:U5"/>
    <mergeCell ref="V4:Y4"/>
    <mergeCell ref="K4:K5"/>
    <mergeCell ref="L4:L5"/>
    <mergeCell ref="M4:M5"/>
    <mergeCell ref="N4:N5"/>
    <mergeCell ref="O4:R4"/>
    <mergeCell ref="A1:H1"/>
    <mergeCell ref="AM4:AP4"/>
    <mergeCell ref="U2:Y2"/>
    <mergeCell ref="AD4:AD5"/>
    <mergeCell ref="AE4:AE5"/>
    <mergeCell ref="AF4:AI4"/>
    <mergeCell ref="AK4:AK5"/>
    <mergeCell ref="AL4:AL5"/>
    <mergeCell ref="B3:G3"/>
    <mergeCell ref="B2:C2"/>
    <mergeCell ref="G4:G5"/>
    <mergeCell ref="A4:A5"/>
    <mergeCell ref="B4:B5"/>
    <mergeCell ref="C4:C5"/>
    <mergeCell ref="D4:D5"/>
    <mergeCell ref="E4:F5"/>
  </mergeCells>
  <phoneticPr fontId="0" type="noConversion"/>
  <conditionalFormatting sqref="G6:G23">
    <cfRule type="cellIs" dxfId="1" priority="2" operator="equal">
      <formula>0</formula>
    </cfRule>
  </conditionalFormatting>
  <conditionalFormatting sqref="F6:F23">
    <cfRule type="duplicateValues" dxfId="0" priority="3"/>
  </conditionalFormatting>
  <printOptions horizontalCentered="1"/>
  <pageMargins left="0" right="0" top="0" bottom="0" header="0.51181102362204722" footer="0.51181102362204722"/>
  <pageSetup paperSize="9" scale="59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сортмест">
                <anchor moveWithCells="1">
                  <from>
                    <xdr:col>36</xdr:col>
                    <xdr:colOff>47625</xdr:colOff>
                    <xdr:row>1</xdr:row>
                    <xdr:rowOff>219075</xdr:rowOff>
                  </from>
                  <to>
                    <xdr:col>43</xdr:col>
                    <xdr:colOff>19050</xdr:colOff>
                    <xdr:row>1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  <pageSetUpPr fitToPage="1"/>
  </sheetPr>
  <dimension ref="A1:J44"/>
  <sheetViews>
    <sheetView topLeftCell="A17" workbookViewId="0">
      <selection sqref="A1:H34"/>
    </sheetView>
  </sheetViews>
  <sheetFormatPr defaultRowHeight="12.75"/>
  <cols>
    <col min="7" max="7" width="12.28515625" customWidth="1"/>
    <col min="8" max="8" width="19" customWidth="1"/>
  </cols>
  <sheetData>
    <row r="1" spans="1:10" ht="38.25" customHeight="1" thickBot="1">
      <c r="A1" s="536" t="str">
        <f>[1]реквизиты!$A$2</f>
        <v>Всероссийские соревнования по спортивному и боевому самбо среди мужчин на призы УФСИН России</v>
      </c>
      <c r="B1" s="537"/>
      <c r="C1" s="537"/>
      <c r="D1" s="537"/>
      <c r="E1" s="537"/>
      <c r="F1" s="537"/>
      <c r="G1" s="537"/>
      <c r="H1" s="538"/>
    </row>
    <row r="2" spans="1:10" ht="12.75" customHeight="1">
      <c r="A2" s="545" t="str">
        <f>[1]реквизиты!$A$3</f>
        <v>20-22 апреля 2019 г           г.Тверь</v>
      </c>
      <c r="B2" s="545"/>
      <c r="C2" s="545"/>
      <c r="D2" s="545"/>
      <c r="E2" s="545"/>
      <c r="F2" s="545"/>
      <c r="G2" s="545"/>
      <c r="H2" s="545"/>
    </row>
    <row r="3" spans="1:10" ht="18.75" thickBot="1">
      <c r="A3" s="546" t="s">
        <v>26</v>
      </c>
      <c r="B3" s="546"/>
      <c r="C3" s="546"/>
      <c r="D3" s="546"/>
      <c r="E3" s="546"/>
      <c r="F3" s="546"/>
      <c r="G3" s="546"/>
      <c r="H3" s="546"/>
    </row>
    <row r="4" spans="1:10" ht="18.75" thickBot="1">
      <c r="B4" s="66"/>
      <c r="C4" s="67"/>
      <c r="D4" s="547" t="str">
        <f>пр.взв!D4</f>
        <v>В.к. 68 кг.</v>
      </c>
      <c r="E4" s="548"/>
      <c r="F4" s="549"/>
      <c r="G4" s="67"/>
      <c r="H4" s="67"/>
    </row>
    <row r="5" spans="1:10" ht="18.75" thickBot="1">
      <c r="A5" s="67"/>
      <c r="B5" s="67"/>
      <c r="C5" s="67"/>
      <c r="D5" s="67"/>
      <c r="E5" s="67"/>
      <c r="F5" s="67"/>
      <c r="G5" s="67"/>
      <c r="H5" s="67"/>
    </row>
    <row r="6" spans="1:10" ht="12.75" customHeight="1">
      <c r="A6" s="561" t="s">
        <v>27</v>
      </c>
      <c r="B6" s="553" t="str">
        <f>IFERROR(VLOOKUP(J6,пр.взв!$B$7:$H$38,2,0),"")</f>
        <v>Ломиворотов Илья Романович</v>
      </c>
      <c r="C6" s="553"/>
      <c r="D6" s="553"/>
      <c r="E6" s="553"/>
      <c r="F6" s="553"/>
      <c r="G6" s="553"/>
      <c r="H6" s="555" t="str">
        <f>IFERROR(VLOOKUP(J6,пр.взв!$B$7:$H$38,3,0),"")</f>
        <v>19.03.01, кмс</v>
      </c>
      <c r="I6" s="67"/>
      <c r="J6" s="71">
        <f>пр.хода!K17</f>
        <v>3</v>
      </c>
    </row>
    <row r="7" spans="1:10" ht="12.75" customHeight="1">
      <c r="A7" s="562"/>
      <c r="B7" s="554"/>
      <c r="C7" s="554"/>
      <c r="D7" s="554"/>
      <c r="E7" s="554"/>
      <c r="F7" s="554"/>
      <c r="G7" s="554"/>
      <c r="H7" s="556"/>
      <c r="I7" s="67"/>
      <c r="J7" s="71"/>
    </row>
    <row r="8" spans="1:10" ht="12.75" customHeight="1">
      <c r="A8" s="562"/>
      <c r="B8" s="557" t="str">
        <f>IFERROR(VLOOKUP(J6,пр.взв!$B$7:$H$38,4,0),"")</f>
        <v>ЦФО</v>
      </c>
      <c r="C8" s="557"/>
      <c r="D8" s="557"/>
      <c r="E8" s="557" t="str">
        <f>IFERROR(VLOOKUP(J6,пр.взв!$B$7:$H$38,5,0),"")</f>
        <v>Тульская, Тула</v>
      </c>
      <c r="F8" s="557"/>
      <c r="G8" s="557"/>
      <c r="H8" s="559"/>
      <c r="I8" s="67"/>
      <c r="J8" s="71"/>
    </row>
    <row r="9" spans="1:10" ht="13.5" customHeight="1" thickBot="1">
      <c r="A9" s="563"/>
      <c r="B9" s="558"/>
      <c r="C9" s="558"/>
      <c r="D9" s="558"/>
      <c r="E9" s="558"/>
      <c r="F9" s="558"/>
      <c r="G9" s="558"/>
      <c r="H9" s="560"/>
      <c r="I9" s="67"/>
      <c r="J9" s="71"/>
    </row>
    <row r="10" spans="1:10" ht="18.75" thickBot="1">
      <c r="A10" s="67"/>
      <c r="B10" s="67"/>
      <c r="C10" s="67"/>
      <c r="D10" s="67"/>
      <c r="E10" s="67"/>
      <c r="F10" s="67"/>
      <c r="G10" s="67"/>
      <c r="H10" s="67"/>
      <c r="I10" s="67"/>
      <c r="J10" s="71"/>
    </row>
    <row r="11" spans="1:10" ht="12.75" customHeight="1">
      <c r="A11" s="550" t="s">
        <v>28</v>
      </c>
      <c r="B11" s="553" t="str">
        <f>IFERROR(VLOOKUP(J11,пр.взв!$B$7:$H$38,2,0),"")</f>
        <v>Щербаков Денис Алексеевич</v>
      </c>
      <c r="C11" s="553"/>
      <c r="D11" s="553"/>
      <c r="E11" s="553"/>
      <c r="F11" s="553"/>
      <c r="G11" s="553"/>
      <c r="H11" s="555" t="str">
        <f>IFERROR(VLOOKUP(J11,пр.взв!$B$7:$H$38,3,0),"")</f>
        <v>21.07.00, кмс</v>
      </c>
      <c r="I11" s="67"/>
      <c r="J11" s="71">
        <f>пр.хода!K25</f>
        <v>4</v>
      </c>
    </row>
    <row r="12" spans="1:10" ht="12.75" customHeight="1">
      <c r="A12" s="551"/>
      <c r="B12" s="554"/>
      <c r="C12" s="554"/>
      <c r="D12" s="554"/>
      <c r="E12" s="554"/>
      <c r="F12" s="554"/>
      <c r="G12" s="554"/>
      <c r="H12" s="556"/>
      <c r="I12" s="67"/>
      <c r="J12" s="71"/>
    </row>
    <row r="13" spans="1:10" ht="12.75" customHeight="1">
      <c r="A13" s="551"/>
      <c r="B13" s="557" t="str">
        <f>IFERROR(VLOOKUP(J11,пр.взв!$B$7:$H$38,4,0),"")</f>
        <v>М</v>
      </c>
      <c r="C13" s="557"/>
      <c r="D13" s="557"/>
      <c r="E13" s="557" t="str">
        <f>IFERROR(VLOOKUP(J11,пр.взв!$B$7:$H$38,5,0),"")</f>
        <v>Москва, ГБОУ ЦО "Самбо-70"</v>
      </c>
      <c r="F13" s="557"/>
      <c r="G13" s="557"/>
      <c r="H13" s="559"/>
      <c r="I13" s="67"/>
      <c r="J13" s="71"/>
    </row>
    <row r="14" spans="1:10" ht="13.5" customHeight="1" thickBot="1">
      <c r="A14" s="552"/>
      <c r="B14" s="558"/>
      <c r="C14" s="558"/>
      <c r="D14" s="558"/>
      <c r="E14" s="558"/>
      <c r="F14" s="558"/>
      <c r="G14" s="558"/>
      <c r="H14" s="560"/>
      <c r="I14" s="67"/>
      <c r="J14" s="71"/>
    </row>
    <row r="15" spans="1:10" ht="18.75" thickBot="1">
      <c r="A15" s="67"/>
      <c r="B15" s="67"/>
      <c r="C15" s="67"/>
      <c r="D15" s="67"/>
      <c r="E15" s="67"/>
      <c r="F15" s="67"/>
      <c r="G15" s="67"/>
      <c r="H15" s="67"/>
      <c r="I15" s="67"/>
      <c r="J15" s="71"/>
    </row>
    <row r="16" spans="1:10" ht="12.75" customHeight="1">
      <c r="A16" s="564" t="s">
        <v>29</v>
      </c>
      <c r="B16" s="553" t="str">
        <f>IFERROR(VLOOKUP(J16,пр.взв!$B$7:$H$38,2,0),"")</f>
        <v>Матвеев Александр Петрович</v>
      </c>
      <c r="C16" s="553"/>
      <c r="D16" s="553"/>
      <c r="E16" s="553"/>
      <c r="F16" s="553"/>
      <c r="G16" s="553"/>
      <c r="H16" s="555" t="str">
        <f>IFERROR(VLOOKUP(J16,пр.взв!$B$7:$H$38,3,0),"")</f>
        <v>27.04.98, кмс</v>
      </c>
      <c r="I16" s="67"/>
      <c r="J16" s="71">
        <f>пр.хода!O11</f>
        <v>15</v>
      </c>
    </row>
    <row r="17" spans="1:10" ht="12.75" customHeight="1">
      <c r="A17" s="565"/>
      <c r="B17" s="554"/>
      <c r="C17" s="554"/>
      <c r="D17" s="554"/>
      <c r="E17" s="554"/>
      <c r="F17" s="554"/>
      <c r="G17" s="554"/>
      <c r="H17" s="556"/>
      <c r="I17" s="67"/>
      <c r="J17" s="71"/>
    </row>
    <row r="18" spans="1:10" ht="12.75" customHeight="1">
      <c r="A18" s="565"/>
      <c r="B18" s="557" t="str">
        <f>IFERROR(VLOOKUP(J16,пр.взв!$B$7:$H$38,4,0),"")</f>
        <v>СЗФО</v>
      </c>
      <c r="C18" s="557"/>
      <c r="D18" s="557"/>
      <c r="E18" s="557" t="str">
        <f>IFERROR(VLOOKUP(J16,пр.взв!$B$7:$H$38,5,0),"")</f>
        <v>Вологодская, Вологда</v>
      </c>
      <c r="F18" s="557"/>
      <c r="G18" s="557"/>
      <c r="H18" s="559"/>
      <c r="I18" s="67"/>
      <c r="J18" s="71"/>
    </row>
    <row r="19" spans="1:10" ht="13.5" customHeight="1" thickBot="1">
      <c r="A19" s="566"/>
      <c r="B19" s="558"/>
      <c r="C19" s="558"/>
      <c r="D19" s="558"/>
      <c r="E19" s="558"/>
      <c r="F19" s="558"/>
      <c r="G19" s="558"/>
      <c r="H19" s="560"/>
      <c r="I19" s="67"/>
      <c r="J19" s="71"/>
    </row>
    <row r="20" spans="1:10" ht="18.75" thickBot="1">
      <c r="A20" s="67"/>
      <c r="B20" s="67"/>
      <c r="C20" s="67"/>
      <c r="D20" s="67"/>
      <c r="E20" s="67"/>
      <c r="F20" s="67"/>
      <c r="G20" s="67"/>
      <c r="H20" s="67"/>
      <c r="I20" s="67"/>
      <c r="J20" s="71"/>
    </row>
    <row r="21" spans="1:10" ht="12.75" customHeight="1">
      <c r="A21" s="564" t="s">
        <v>29</v>
      </c>
      <c r="B21" s="553" t="str">
        <f>IFERROR(VLOOKUP(J21,пр.взв!$B$7:$H$38,2,0),"")</f>
        <v>Корочанский Данила Дмитриевич</v>
      </c>
      <c r="C21" s="553"/>
      <c r="D21" s="553"/>
      <c r="E21" s="553"/>
      <c r="F21" s="553"/>
      <c r="G21" s="553"/>
      <c r="H21" s="555" t="str">
        <f>IFERROR(VLOOKUP(J21,пр.взв!$B$7:$H$38,3,0),"")</f>
        <v>23.07.00, кмс</v>
      </c>
      <c r="I21" s="67"/>
      <c r="J21" s="71">
        <f>пр.хода!O39</f>
        <v>6</v>
      </c>
    </row>
    <row r="22" spans="1:10" ht="12.75" customHeight="1">
      <c r="A22" s="565"/>
      <c r="B22" s="554"/>
      <c r="C22" s="554"/>
      <c r="D22" s="554"/>
      <c r="E22" s="554"/>
      <c r="F22" s="554"/>
      <c r="G22" s="554"/>
      <c r="H22" s="556"/>
      <c r="I22" s="67"/>
      <c r="J22" s="71"/>
    </row>
    <row r="23" spans="1:10" ht="12.75" customHeight="1">
      <c r="A23" s="565"/>
      <c r="B23" s="557" t="str">
        <f>IFERROR(VLOOKUP(J21,пр.взв!$B$7:$H$38,4,0),"")</f>
        <v>М</v>
      </c>
      <c r="C23" s="557"/>
      <c r="D23" s="557"/>
      <c r="E23" s="557" t="str">
        <f>IFERROR(VLOOKUP(J21,пр.взв!$B$7:$H$38,5,0),"")</f>
        <v>Москва, ГБОУ ЦО "Самбо-70"</v>
      </c>
      <c r="F23" s="557"/>
      <c r="G23" s="557"/>
      <c r="H23" s="559"/>
      <c r="I23" s="67"/>
    </row>
    <row r="24" spans="1:10" ht="13.5" customHeight="1" thickBot="1">
      <c r="A24" s="566"/>
      <c r="B24" s="558"/>
      <c r="C24" s="558"/>
      <c r="D24" s="558"/>
      <c r="E24" s="558"/>
      <c r="F24" s="558"/>
      <c r="G24" s="558"/>
      <c r="H24" s="560"/>
      <c r="I24" s="67"/>
    </row>
    <row r="25" spans="1:10" ht="18">
      <c r="A25" s="67"/>
      <c r="B25" s="67"/>
      <c r="C25" s="67"/>
      <c r="D25" s="67"/>
      <c r="E25" s="67"/>
      <c r="F25" s="67"/>
      <c r="G25" s="67"/>
      <c r="H25" s="67"/>
    </row>
    <row r="26" spans="1:10" ht="18">
      <c r="A26" s="67" t="s">
        <v>46</v>
      </c>
      <c r="B26" s="67"/>
      <c r="C26" s="67"/>
      <c r="D26" s="67"/>
      <c r="E26" s="67"/>
      <c r="F26" s="67"/>
      <c r="G26" s="67"/>
      <c r="H26" s="67"/>
    </row>
    <row r="27" spans="1:10" ht="13.5" thickBot="1"/>
    <row r="28" spans="1:10" ht="12.75" customHeight="1">
      <c r="A28" s="567" t="str">
        <f>IFERROR(VLOOKUP(J28,пр.взв!$B$7:$H$38,7,0),"")</f>
        <v>Ломиворотов РН</v>
      </c>
      <c r="B28" s="568"/>
      <c r="C28" s="568"/>
      <c r="D28" s="568"/>
      <c r="E28" s="568"/>
      <c r="F28" s="568"/>
      <c r="G28" s="568"/>
      <c r="H28" s="569"/>
      <c r="J28">
        <f>пр.хода!K17</f>
        <v>3</v>
      </c>
    </row>
    <row r="29" spans="1:10" ht="13.5" customHeight="1" thickBot="1">
      <c r="A29" s="570"/>
      <c r="B29" s="558"/>
      <c r="C29" s="558"/>
      <c r="D29" s="558"/>
      <c r="E29" s="558"/>
      <c r="F29" s="558"/>
      <c r="G29" s="558"/>
      <c r="H29" s="560"/>
    </row>
    <row r="32" spans="1:10" ht="18">
      <c r="A32" s="67" t="s">
        <v>30</v>
      </c>
      <c r="B32" s="67"/>
      <c r="C32" s="67"/>
      <c r="D32" s="67"/>
      <c r="E32" s="67"/>
      <c r="F32" s="67"/>
      <c r="G32" s="67"/>
      <c r="H32" s="67"/>
    </row>
    <row r="33" spans="1:8" ht="18">
      <c r="A33" s="67"/>
      <c r="B33" s="67"/>
      <c r="C33" s="67"/>
      <c r="D33" s="67"/>
      <c r="E33" s="67"/>
      <c r="F33" s="67"/>
      <c r="G33" s="67"/>
      <c r="H33" s="67"/>
    </row>
    <row r="34" spans="1:8" ht="18">
      <c r="A34" s="67"/>
      <c r="B34" s="67"/>
      <c r="C34" s="67"/>
      <c r="D34" s="67"/>
      <c r="E34" s="67"/>
      <c r="F34" s="67"/>
      <c r="G34" s="67"/>
      <c r="H34" s="67"/>
    </row>
    <row r="35" spans="1:8" ht="18">
      <c r="A35" s="68"/>
      <c r="B35" s="68"/>
      <c r="C35" s="68"/>
      <c r="D35" s="68"/>
      <c r="E35" s="68"/>
      <c r="F35" s="68"/>
      <c r="G35" s="68"/>
      <c r="H35" s="68"/>
    </row>
    <row r="36" spans="1:8" ht="18">
      <c r="A36" s="69"/>
      <c r="B36" s="69"/>
      <c r="C36" s="69"/>
      <c r="D36" s="69"/>
      <c r="E36" s="69"/>
      <c r="F36" s="69"/>
      <c r="G36" s="69"/>
      <c r="H36" s="69"/>
    </row>
    <row r="37" spans="1:8" ht="18">
      <c r="A37" s="68"/>
      <c r="B37" s="68"/>
      <c r="C37" s="68"/>
      <c r="D37" s="68"/>
      <c r="E37" s="68"/>
      <c r="F37" s="68"/>
      <c r="G37" s="68"/>
      <c r="H37" s="68"/>
    </row>
    <row r="38" spans="1:8" ht="18">
      <c r="A38" s="70"/>
      <c r="B38" s="70"/>
      <c r="C38" s="70"/>
      <c r="D38" s="70"/>
      <c r="E38" s="70"/>
      <c r="F38" s="70"/>
      <c r="G38" s="70"/>
      <c r="H38" s="70"/>
    </row>
    <row r="39" spans="1:8" ht="18">
      <c r="A39" s="68"/>
      <c r="B39" s="68"/>
      <c r="C39" s="68"/>
      <c r="D39" s="68"/>
      <c r="E39" s="68"/>
      <c r="F39" s="68"/>
      <c r="G39" s="68"/>
      <c r="H39" s="68"/>
    </row>
    <row r="40" spans="1:8" ht="18">
      <c r="A40" s="70"/>
      <c r="B40" s="70"/>
      <c r="C40" s="70"/>
      <c r="D40" s="70"/>
      <c r="E40" s="70"/>
      <c r="F40" s="70"/>
      <c r="G40" s="70"/>
      <c r="H40" s="70"/>
    </row>
    <row r="41" spans="1:8" ht="18">
      <c r="A41" s="68"/>
      <c r="B41" s="68"/>
      <c r="C41" s="68"/>
      <c r="D41" s="68"/>
      <c r="E41" s="68"/>
      <c r="F41" s="68"/>
      <c r="G41" s="68"/>
      <c r="H41" s="68"/>
    </row>
    <row r="42" spans="1:8" ht="18">
      <c r="A42" s="70"/>
      <c r="B42" s="70"/>
      <c r="C42" s="70"/>
      <c r="D42" s="70"/>
      <c r="E42" s="70"/>
      <c r="F42" s="70"/>
      <c r="G42" s="70"/>
      <c r="H42" s="70"/>
    </row>
    <row r="43" spans="1:8" ht="18">
      <c r="A43" s="68"/>
      <c r="B43" s="68"/>
      <c r="C43" s="68"/>
      <c r="D43" s="68"/>
      <c r="E43" s="68"/>
      <c r="F43" s="68"/>
      <c r="G43" s="68"/>
      <c r="H43" s="68"/>
    </row>
    <row r="44" spans="1:8" ht="18">
      <c r="A44" s="70"/>
      <c r="B44" s="70"/>
      <c r="C44" s="70"/>
      <c r="D44" s="70"/>
      <c r="E44" s="70"/>
      <c r="F44" s="70"/>
      <c r="G44" s="70"/>
      <c r="H44" s="70"/>
    </row>
  </sheetData>
  <mergeCells count="25">
    <mergeCell ref="A16:A19"/>
    <mergeCell ref="A28:H29"/>
    <mergeCell ref="A21:A24"/>
    <mergeCell ref="B21:G22"/>
    <mergeCell ref="H21:H22"/>
    <mergeCell ref="B16:G17"/>
    <mergeCell ref="H16:H17"/>
    <mergeCell ref="B18:D19"/>
    <mergeCell ref="E18:H19"/>
    <mergeCell ref="B23:D24"/>
    <mergeCell ref="E23:H24"/>
    <mergeCell ref="A1:H1"/>
    <mergeCell ref="A2:H2"/>
    <mergeCell ref="A3:H3"/>
    <mergeCell ref="D4:F4"/>
    <mergeCell ref="A11:A14"/>
    <mergeCell ref="B6:G7"/>
    <mergeCell ref="B11:G12"/>
    <mergeCell ref="H6:H7"/>
    <mergeCell ref="B8:D9"/>
    <mergeCell ref="E8:H9"/>
    <mergeCell ref="B13:D14"/>
    <mergeCell ref="E13:H14"/>
    <mergeCell ref="H11:H12"/>
    <mergeCell ref="A6:A9"/>
  </mergeCells>
  <phoneticPr fontId="13" type="noConversion"/>
  <pageMargins left="0.75" right="0.75" top="1" bottom="1" header="0.5" footer="0.5"/>
  <pageSetup paperSize="9" scale="84" orientation="portrait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34"/>
  </sheetPr>
  <dimension ref="A1:AG59"/>
  <sheetViews>
    <sheetView workbookViewId="0">
      <selection activeCell="H1" sqref="H1:N1"/>
    </sheetView>
  </sheetViews>
  <sheetFormatPr defaultRowHeight="12.75"/>
  <cols>
    <col min="1" max="1" width="4.7109375" customWidth="1"/>
    <col min="2" max="2" width="16" customWidth="1"/>
    <col min="3" max="3" width="7.28515625" customWidth="1"/>
    <col min="4" max="4" width="14.5703125" customWidth="1"/>
    <col min="5" max="5" width="17.42578125" customWidth="1"/>
    <col min="6" max="6" width="17.140625" customWidth="1"/>
    <col min="7" max="7" width="19.28515625" customWidth="1"/>
    <col min="8" max="8" width="4.7109375" customWidth="1"/>
    <col min="9" max="9" width="16" customWidth="1"/>
    <col min="10" max="10" width="7.28515625" customWidth="1"/>
    <col min="11" max="11" width="14.5703125" customWidth="1"/>
    <col min="12" max="17" width="17.5703125" customWidth="1"/>
  </cols>
  <sheetData>
    <row r="1" spans="1:33" ht="36" customHeight="1">
      <c r="A1" s="586" t="s">
        <v>106</v>
      </c>
      <c r="B1" s="586"/>
      <c r="C1" s="586"/>
      <c r="D1" s="586"/>
      <c r="E1" s="586"/>
      <c r="F1" s="586"/>
      <c r="G1" s="586"/>
      <c r="H1" s="586" t="s">
        <v>106</v>
      </c>
      <c r="I1" s="586"/>
      <c r="J1" s="586"/>
      <c r="K1" s="586"/>
      <c r="L1" s="586"/>
      <c r="M1" s="586"/>
      <c r="N1" s="586"/>
      <c r="O1" s="63"/>
      <c r="P1" s="63"/>
      <c r="Q1" s="63"/>
      <c r="R1" s="63"/>
      <c r="S1" s="63"/>
      <c r="T1" s="63"/>
      <c r="U1" s="63"/>
      <c r="V1" s="63"/>
      <c r="W1" s="63"/>
      <c r="X1" s="15"/>
      <c r="Y1" s="15"/>
      <c r="Z1" s="15"/>
      <c r="AA1" s="15"/>
      <c r="AB1" s="15"/>
      <c r="AC1" s="15"/>
      <c r="AD1" s="15"/>
      <c r="AE1" s="15"/>
      <c r="AF1" s="15"/>
      <c r="AG1" s="15"/>
    </row>
    <row r="2" spans="1:33" ht="15">
      <c r="A2" s="587" t="s">
        <v>105</v>
      </c>
      <c r="B2" s="588"/>
      <c r="C2" s="588"/>
      <c r="D2" s="588"/>
      <c r="E2" s="588"/>
      <c r="F2" s="588"/>
      <c r="G2" s="588"/>
      <c r="H2" s="587" t="s">
        <v>105</v>
      </c>
      <c r="I2" s="588"/>
      <c r="J2" s="588"/>
      <c r="K2" s="588"/>
      <c r="L2" s="588"/>
      <c r="M2" s="588"/>
      <c r="N2" s="588"/>
      <c r="O2" s="38"/>
      <c r="P2" s="38"/>
      <c r="Q2" s="38"/>
      <c r="R2" s="30"/>
      <c r="S2" s="30"/>
    </row>
    <row r="3" spans="1:33" ht="15.75">
      <c r="B3" s="37" t="s">
        <v>10</v>
      </c>
      <c r="C3" s="512" t="str">
        <f>HYPERLINK(пр.взв!D4)</f>
        <v>В.к. 68 кг.</v>
      </c>
      <c r="D3" s="512"/>
      <c r="E3" s="41"/>
      <c r="F3" s="41"/>
      <c r="G3" s="41"/>
      <c r="I3" s="37" t="s">
        <v>11</v>
      </c>
      <c r="J3" s="512" t="str">
        <f>HYPERLINK(пр.взв!D4)</f>
        <v>В.к. 68 кг.</v>
      </c>
      <c r="K3" s="512"/>
      <c r="L3" s="41"/>
      <c r="M3" s="41"/>
      <c r="N3" s="41"/>
    </row>
    <row r="4" spans="1:33" ht="16.5" thickBot="1">
      <c r="A4" s="585"/>
      <c r="B4" s="585"/>
    </row>
    <row r="5" spans="1:33" ht="12.75" customHeight="1">
      <c r="A5" s="573">
        <v>1</v>
      </c>
      <c r="B5" s="575" t="str">
        <f>VLOOKUP(A5,пр.взв!B5:C38,2,FALSE)</f>
        <v>Шайхов Абдулло Пулодович</v>
      </c>
      <c r="C5" s="575" t="str">
        <f>VLOOKUP(A5,пр.взв!B5:G38,3,FALSE)</f>
        <v>28.12.90, мс</v>
      </c>
      <c r="D5" s="575" t="str">
        <f>VLOOKUP(A5,пр.взв!B5:G38,4,FALSE)</f>
        <v>ЦФО</v>
      </c>
      <c r="G5" s="19"/>
      <c r="H5" s="577">
        <v>2</v>
      </c>
      <c r="I5" s="571" t="str">
        <f>VLOOKUP(H5,пр.взв!B7:C38,2,FALSE)</f>
        <v>Минажетдинов Ринат Рафаилевич</v>
      </c>
      <c r="J5" s="571" t="str">
        <f>VLOOKUP(H5,пр.взв!B7:E38,3,FALSE)</f>
        <v>22.05.98, кмс</v>
      </c>
      <c r="K5" s="571" t="str">
        <f>VLOOKUP(H5,пр.взв!B7:E38,4,FALSE)</f>
        <v>М</v>
      </c>
    </row>
    <row r="6" spans="1:33" ht="15.75">
      <c r="A6" s="574"/>
      <c r="B6" s="576"/>
      <c r="C6" s="576"/>
      <c r="D6" s="576"/>
      <c r="E6" s="2"/>
      <c r="F6" s="2"/>
      <c r="G6" s="12"/>
      <c r="H6" s="578"/>
      <c r="I6" s="572"/>
      <c r="J6" s="572"/>
      <c r="K6" s="572"/>
    </row>
    <row r="7" spans="1:33" ht="15.75">
      <c r="A7" s="574">
        <v>17</v>
      </c>
      <c r="B7" s="572" t="str">
        <f>VLOOKUP(A7,пр.взв!B7:C38,2,FALSE)</f>
        <v>Соловьев Михаил Алексеевич</v>
      </c>
      <c r="C7" s="572" t="str">
        <f>VLOOKUP(A7,пр.взв!B5:G38,3,FALSE)</f>
        <v>13.11.96, кмс</v>
      </c>
      <c r="D7" s="572" t="str">
        <f>VLOOKUP(A7,пр.взв!B5:G38,4,FALSE)</f>
        <v>ЦФО</v>
      </c>
      <c r="E7" s="4"/>
      <c r="F7" s="2"/>
      <c r="G7" s="2"/>
      <c r="H7" s="583">
        <v>18</v>
      </c>
      <c r="I7" s="579" t="str">
        <f>VLOOKUP(H7,пр.взв!B9:C38,2,FALSE)</f>
        <v>Наджмонов Авзунмехр Муминджонович</v>
      </c>
      <c r="J7" s="579" t="str">
        <f>VLOOKUP(H7,пр.взв!B9:E38,3,FALSE)</f>
        <v>03.07.95, кмс</v>
      </c>
      <c r="K7" s="579" t="str">
        <f>VLOOKUP(H7,пр.взв!B9:E38,4,FALSE)</f>
        <v>ЦФО</v>
      </c>
      <c r="L7" s="43"/>
      <c r="M7" s="45"/>
    </row>
    <row r="8" spans="1:33" ht="16.5" thickBot="1">
      <c r="A8" s="581"/>
      <c r="B8" s="576"/>
      <c r="C8" s="576"/>
      <c r="D8" s="576"/>
      <c r="E8" s="5"/>
      <c r="F8" s="9"/>
      <c r="G8" s="2"/>
      <c r="H8" s="578"/>
      <c r="I8" s="580"/>
      <c r="J8" s="580"/>
      <c r="K8" s="580"/>
      <c r="L8" s="44"/>
      <c r="M8" s="45"/>
    </row>
    <row r="9" spans="1:33" ht="15.75">
      <c r="A9" s="573">
        <v>9</v>
      </c>
      <c r="B9" s="575" t="str">
        <f>VLOOKUP(A9,пр.взв!B9:C38,2,FALSE)</f>
        <v>Солодянников Сергей Константинович</v>
      </c>
      <c r="C9" s="575" t="str">
        <f>VLOOKUP(A9,пр.взв!B5:G38,3,FALSE)</f>
        <v>08.10.94, кмс</v>
      </c>
      <c r="D9" s="575" t="str">
        <f>VLOOKUP(A9,пр.взв!B5:G38,4,FALSE)</f>
        <v>ЦФО</v>
      </c>
      <c r="E9" s="5"/>
      <c r="F9" s="6"/>
      <c r="G9" s="2"/>
      <c r="H9" s="577">
        <v>10</v>
      </c>
      <c r="I9" s="571" t="str">
        <f>VLOOKUP(H9,пр.взв!B11:C38,2,FALSE)</f>
        <v>Киселёв Сергей Николаевич</v>
      </c>
      <c r="J9" s="571" t="str">
        <f>VLOOKUP(H9,пр.взв!B11:E38,3,FALSE)</f>
        <v>01.01.85, кмс</v>
      </c>
      <c r="K9" s="571" t="str">
        <f>VLOOKUP(H9,пр.взв!B11:E38,4,FALSE)</f>
        <v>ЦФО</v>
      </c>
      <c r="L9" s="44"/>
      <c r="M9" s="46"/>
    </row>
    <row r="10" spans="1:33" ht="15.75">
      <c r="A10" s="574"/>
      <c r="B10" s="576"/>
      <c r="C10" s="576"/>
      <c r="D10" s="576"/>
      <c r="E10" s="10"/>
      <c r="F10" s="7"/>
      <c r="G10" s="2"/>
      <c r="H10" s="578"/>
      <c r="I10" s="572"/>
      <c r="J10" s="572"/>
      <c r="K10" s="572"/>
      <c r="L10" s="42"/>
      <c r="M10" s="47"/>
    </row>
    <row r="11" spans="1:33" ht="15.75">
      <c r="A11" s="574">
        <v>25</v>
      </c>
      <c r="B11" s="572" t="e">
        <f>VLOOKUP(A11,пр.взв!B11:C38,2,FALSE)</f>
        <v>#N/A</v>
      </c>
      <c r="C11" s="572" t="e">
        <f>VLOOKUP(A11,пр.взв!B5:G38,3,FALSE)</f>
        <v>#N/A</v>
      </c>
      <c r="D11" s="572" t="e">
        <f>VLOOKUP(A11,пр.взв!B5:G38,4,FALSE)</f>
        <v>#N/A</v>
      </c>
      <c r="E11" s="3"/>
      <c r="F11" s="7"/>
      <c r="G11" s="2"/>
      <c r="H11" s="583">
        <v>26</v>
      </c>
      <c r="I11" s="579" t="e">
        <f>VLOOKUP(H11,пр.взв!B13:C38,2,FALSE)</f>
        <v>#N/A</v>
      </c>
      <c r="J11" s="579" t="e">
        <f>VLOOKUP(H11,пр.взв!B13:E38,3,FALSE)</f>
        <v>#N/A</v>
      </c>
      <c r="K11" s="579" t="e">
        <f>VLOOKUP(H11,пр.взв!B13:E38,4,FALSE)</f>
        <v>#N/A</v>
      </c>
      <c r="M11" s="48"/>
    </row>
    <row r="12" spans="1:33" ht="16.5" thickBot="1">
      <c r="A12" s="581"/>
      <c r="B12" s="576"/>
      <c r="C12" s="576"/>
      <c r="D12" s="576"/>
      <c r="E12" s="2"/>
      <c r="F12" s="7"/>
      <c r="G12" s="9"/>
      <c r="H12" s="578"/>
      <c r="I12" s="580"/>
      <c r="J12" s="580"/>
      <c r="K12" s="580"/>
      <c r="M12" s="48"/>
    </row>
    <row r="13" spans="1:33" ht="15.75">
      <c r="A13" s="573">
        <v>5</v>
      </c>
      <c r="B13" s="575" t="e">
        <f>VLOOKUP(A13,пр.взв!B13:C38,2,FALSE)</f>
        <v>#N/A</v>
      </c>
      <c r="C13" s="575" t="str">
        <f>VLOOKUP(A13,пр.взв!B5:G38,3,FALSE)</f>
        <v>15.08.99, кмс</v>
      </c>
      <c r="D13" s="575" t="str">
        <f>VLOOKUP(A13,пр.взв!B5:G38,4,FALSE)</f>
        <v>М</v>
      </c>
      <c r="E13" s="2"/>
      <c r="F13" s="7"/>
      <c r="G13" s="13"/>
      <c r="H13" s="577">
        <v>6</v>
      </c>
      <c r="I13" s="571" t="e">
        <f>VLOOKUP(H13,пр.взв!B15:C40,2,FALSE)</f>
        <v>#N/A</v>
      </c>
      <c r="J13" s="571" t="e">
        <f>VLOOKUP(H13,пр.взв!B15:E40,3,FALSE)</f>
        <v>#N/A</v>
      </c>
      <c r="K13" s="571" t="e">
        <f>VLOOKUP(H13,пр.взв!B15:E40,4,FALSE)</f>
        <v>#N/A</v>
      </c>
      <c r="M13" s="48"/>
      <c r="N13" s="50"/>
    </row>
    <row r="14" spans="1:33" ht="15.75">
      <c r="A14" s="574"/>
      <c r="B14" s="576"/>
      <c r="C14" s="576"/>
      <c r="D14" s="576"/>
      <c r="E14" s="8"/>
      <c r="F14" s="7"/>
      <c r="G14" s="2"/>
      <c r="H14" s="578"/>
      <c r="I14" s="572"/>
      <c r="J14" s="572"/>
      <c r="K14" s="572"/>
      <c r="L14" s="43"/>
      <c r="M14" s="47"/>
      <c r="N14" s="48"/>
    </row>
    <row r="15" spans="1:33" ht="15.75">
      <c r="A15" s="574">
        <v>21</v>
      </c>
      <c r="B15" s="572" t="e">
        <f>VLOOKUP(A15,пр.взв!B15:C40,2,FALSE)</f>
        <v>#N/A</v>
      </c>
      <c r="C15" s="572" t="e">
        <f>VLOOKUP(A15,пр.взв!B5:G38,3,FALSE)</f>
        <v>#N/A</v>
      </c>
      <c r="D15" s="572" t="e">
        <f>VLOOKUP(A15,пр.взв!B5:G38,4,FALSE)</f>
        <v>#N/A</v>
      </c>
      <c r="E15" s="4"/>
      <c r="F15" s="7"/>
      <c r="G15" s="2"/>
      <c r="H15" s="583">
        <v>22</v>
      </c>
      <c r="I15" s="579" t="e">
        <f>VLOOKUP(H15,пр.взв!B17:C42,2,FALSE)</f>
        <v>#N/A</v>
      </c>
      <c r="J15" s="579" t="e">
        <f>VLOOKUP(H15,пр.взв!B17:E42,3,FALSE)</f>
        <v>#N/A</v>
      </c>
      <c r="K15" s="579" t="e">
        <f>VLOOKUP(H15,пр.взв!B17:E42,4,FALSE)</f>
        <v>#N/A</v>
      </c>
      <c r="L15" s="44"/>
      <c r="M15" s="47"/>
      <c r="N15" s="48"/>
    </row>
    <row r="16" spans="1:33" ht="16.5" thickBot="1">
      <c r="A16" s="581"/>
      <c r="B16" s="576"/>
      <c r="C16" s="576"/>
      <c r="D16" s="576"/>
      <c r="E16" s="5"/>
      <c r="F16" s="11"/>
      <c r="G16" s="2"/>
      <c r="H16" s="578"/>
      <c r="I16" s="580"/>
      <c r="J16" s="580"/>
      <c r="K16" s="580"/>
      <c r="L16" s="44"/>
      <c r="M16" s="49"/>
      <c r="N16" s="48"/>
    </row>
    <row r="17" spans="1:14" ht="15.75">
      <c r="A17" s="573">
        <v>13</v>
      </c>
      <c r="B17" s="575" t="str">
        <f>VLOOKUP(A17,пр.взв!B17:C42,2,FALSE)</f>
        <v>Прокофьев Иван Николаевич</v>
      </c>
      <c r="C17" s="575" t="str">
        <f>VLOOKUP(A17,пр.взв!B5:G38,3,FALSE)</f>
        <v>09.04.00, кмс</v>
      </c>
      <c r="D17" s="575" t="str">
        <f>VLOOKUP(A17,пр.взв!B5:G38,4,FALSE)</f>
        <v>ЦФО</v>
      </c>
      <c r="E17" s="5"/>
      <c r="F17" s="2"/>
      <c r="G17" s="2"/>
      <c r="H17" s="577">
        <v>14</v>
      </c>
      <c r="I17" s="571" t="str">
        <f>VLOOKUP(H17,пр.взв!B19:C44,2,FALSE)</f>
        <v>Нечаев Максим Михайлович</v>
      </c>
      <c r="J17" s="571" t="str">
        <f>VLOOKUP(H17,пр.взв!B19:E44,3,FALSE)</f>
        <v>26.01.94, кмс</v>
      </c>
      <c r="K17" s="571" t="str">
        <f>VLOOKUP(H17,пр.взв!B19:E44,4,FALSE)</f>
        <v>СЗФО</v>
      </c>
      <c r="L17" s="44"/>
      <c r="M17" s="45"/>
      <c r="N17" s="48"/>
    </row>
    <row r="18" spans="1:14" ht="15.75">
      <c r="A18" s="574"/>
      <c r="B18" s="576"/>
      <c r="C18" s="576"/>
      <c r="D18" s="576"/>
      <c r="E18" s="10"/>
      <c r="F18" s="2"/>
      <c r="G18" s="2"/>
      <c r="H18" s="578"/>
      <c r="I18" s="572"/>
      <c r="J18" s="572"/>
      <c r="K18" s="572"/>
      <c r="L18" s="42"/>
      <c r="M18" s="45"/>
      <c r="N18" s="48"/>
    </row>
    <row r="19" spans="1:14" ht="15.75">
      <c r="A19" s="574">
        <v>29</v>
      </c>
      <c r="B19" s="572" t="e">
        <f>VLOOKUP(A19,пр.взв!B19:C44,2,FALSE)</f>
        <v>#N/A</v>
      </c>
      <c r="C19" s="572" t="e">
        <f>VLOOKUP(A19,пр.взв!B5:G38,3,FALSE)</f>
        <v>#N/A</v>
      </c>
      <c r="D19" s="572" t="e">
        <f>VLOOKUP(A19,пр.взв!B5:G38,4,FALSE)</f>
        <v>#N/A</v>
      </c>
      <c r="E19" s="3"/>
      <c r="F19" s="2"/>
      <c r="G19" s="2"/>
      <c r="H19" s="583">
        <v>30</v>
      </c>
      <c r="I19" s="579" t="e">
        <f>VLOOKUP(H19,пр.взв!B21:C46,2,FALSE)</f>
        <v>#N/A</v>
      </c>
      <c r="J19" s="579" t="e">
        <f>VLOOKUP(H19,пр.взв!B21:E46,3,FALSE)</f>
        <v>#N/A</v>
      </c>
      <c r="K19" s="579" t="e">
        <f>VLOOKUP(H19,пр.взв!B21:E46,4,FALSE)</f>
        <v>#N/A</v>
      </c>
      <c r="N19" s="48"/>
    </row>
    <row r="20" spans="1:14" ht="16.5" thickBot="1">
      <c r="A20" s="581"/>
      <c r="B20" s="576"/>
      <c r="C20" s="576"/>
      <c r="D20" s="576"/>
      <c r="E20" s="2"/>
      <c r="F20" s="2"/>
      <c r="G20" s="40"/>
      <c r="H20" s="578"/>
      <c r="I20" s="580"/>
      <c r="J20" s="580"/>
      <c r="K20" s="580"/>
      <c r="N20" s="51"/>
    </row>
    <row r="21" spans="1:14" ht="15.75">
      <c r="A21" s="573">
        <v>3</v>
      </c>
      <c r="B21" s="575" t="str">
        <f>VLOOKUP(A21,пр.взв!B5:C38,2,FALSE)</f>
        <v>Ломиворотов Илья Романович</v>
      </c>
      <c r="C21" s="575" t="str">
        <f>VLOOKUP(A21,пр.взв!B5:G38,3,FALSE)</f>
        <v>19.03.01, кмс</v>
      </c>
      <c r="D21" s="575" t="str">
        <f>VLOOKUP(A21,пр.взв!B5:G38,4,FALSE)</f>
        <v>ЦФО</v>
      </c>
      <c r="E21" s="2"/>
      <c r="F21" s="2"/>
      <c r="G21" s="2"/>
      <c r="H21" s="577">
        <v>4</v>
      </c>
      <c r="I21" s="571" t="str">
        <f>VLOOKUP(H21,пр.взв!B7:C38,2,FALSE)</f>
        <v>Щербаков Денис Алексеевич</v>
      </c>
      <c r="J21" s="571" t="str">
        <f>VLOOKUP(H21,пр.взв!B7:E38,3,FALSE)</f>
        <v>21.07.00, кмс</v>
      </c>
      <c r="K21" s="571" t="str">
        <f>VLOOKUP(H21,пр.взв!B7:E38,4,FALSE)</f>
        <v>М</v>
      </c>
      <c r="N21" s="48"/>
    </row>
    <row r="22" spans="1:14" ht="15.75">
      <c r="A22" s="574"/>
      <c r="B22" s="576"/>
      <c r="C22" s="576"/>
      <c r="D22" s="576"/>
      <c r="E22" s="8"/>
      <c r="F22" s="2"/>
      <c r="G22" s="2"/>
      <c r="H22" s="578"/>
      <c r="I22" s="572"/>
      <c r="J22" s="572"/>
      <c r="K22" s="572"/>
      <c r="N22" s="48"/>
    </row>
    <row r="23" spans="1:14" ht="15.75">
      <c r="A23" s="574">
        <v>19</v>
      </c>
      <c r="B23" s="572" t="e">
        <f>VLOOKUP(A23,пр.взв!B23:C48,2,FALSE)</f>
        <v>#N/A</v>
      </c>
      <c r="C23" s="572" t="e">
        <f>VLOOKUP(A23,пр.взв!B5:G38,3,FALSE)</f>
        <v>#N/A</v>
      </c>
      <c r="D23" s="572" t="e">
        <f>VLOOKUP(A23,пр.взв!B5:G38,4,FALSE)</f>
        <v>#N/A</v>
      </c>
      <c r="E23" s="4"/>
      <c r="F23" s="2"/>
      <c r="G23" s="2"/>
      <c r="H23" s="583">
        <v>20</v>
      </c>
      <c r="I23" s="579" t="e">
        <f>VLOOKUP(H23,пр.взв!B25:C50,2,FALSE)</f>
        <v>#N/A</v>
      </c>
      <c r="J23" s="579" t="e">
        <f>VLOOKUP(H23,пр.взв!B25:E50,3,FALSE)</f>
        <v>#N/A</v>
      </c>
      <c r="K23" s="579" t="e">
        <f>VLOOKUP(H23,пр.взв!B25:E50,4,FALSE)</f>
        <v>#N/A</v>
      </c>
      <c r="L23" s="43"/>
      <c r="M23" s="45"/>
      <c r="N23" s="48"/>
    </row>
    <row r="24" spans="1:14" ht="16.5" thickBot="1">
      <c r="A24" s="581"/>
      <c r="B24" s="576"/>
      <c r="C24" s="576"/>
      <c r="D24" s="576"/>
      <c r="E24" s="5"/>
      <c r="F24" s="9"/>
      <c r="G24" s="2"/>
      <c r="H24" s="578"/>
      <c r="I24" s="580"/>
      <c r="J24" s="580"/>
      <c r="K24" s="580"/>
      <c r="L24" s="44"/>
      <c r="M24" s="45"/>
      <c r="N24" s="48"/>
    </row>
    <row r="25" spans="1:14" ht="15.75">
      <c r="A25" s="573">
        <v>11</v>
      </c>
      <c r="B25" s="575" t="e">
        <f>VLOOKUP(A25,пр.взв!B25:C50,2,FALSE)</f>
        <v>#N/A</v>
      </c>
      <c r="C25" s="575" t="str">
        <f>VLOOKUP(A25,пр.взв!B5:G38,3,FALSE)</f>
        <v>11.07.98, кмс</v>
      </c>
      <c r="D25" s="575" t="str">
        <f>VLOOKUP(A25,пр.взв!B5:G38,4,FALSE)</f>
        <v>ЦФО</v>
      </c>
      <c r="E25" s="5"/>
      <c r="F25" s="6"/>
      <c r="G25" s="2"/>
      <c r="H25" s="577">
        <v>12</v>
      </c>
      <c r="I25" s="571" t="e">
        <f>VLOOKUP(H25,пр.взв!B27:C52,2,FALSE)</f>
        <v>#N/A</v>
      </c>
      <c r="J25" s="571" t="e">
        <f>VLOOKUP(H25,пр.взв!B27:E52,3,FALSE)</f>
        <v>#N/A</v>
      </c>
      <c r="K25" s="571" t="e">
        <f>VLOOKUP(H25,пр.взв!B27:E52,4,FALSE)</f>
        <v>#N/A</v>
      </c>
      <c r="L25" s="44"/>
      <c r="M25" s="46"/>
      <c r="N25" s="48"/>
    </row>
    <row r="26" spans="1:14" ht="15.75">
      <c r="A26" s="574"/>
      <c r="B26" s="576"/>
      <c r="C26" s="576"/>
      <c r="D26" s="576"/>
      <c r="E26" s="10"/>
      <c r="F26" s="7"/>
      <c r="G26" s="2"/>
      <c r="H26" s="578"/>
      <c r="I26" s="572"/>
      <c r="J26" s="572"/>
      <c r="K26" s="572"/>
      <c r="L26" s="42"/>
      <c r="M26" s="47"/>
      <c r="N26" s="48"/>
    </row>
    <row r="27" spans="1:14" ht="15.75">
      <c r="A27" s="574">
        <v>27</v>
      </c>
      <c r="B27" s="572" t="e">
        <f>VLOOKUP(A27,пр.взв!B27:C52,2,FALSE)</f>
        <v>#N/A</v>
      </c>
      <c r="C27" s="572" t="e">
        <f>VLOOKUP(A27,пр.взв!B5:G38,3,FALSE)</f>
        <v>#N/A</v>
      </c>
      <c r="D27" s="572" t="e">
        <f>VLOOKUP(A27,пр.взв!B5:G38,4,FALSE)</f>
        <v>#N/A</v>
      </c>
      <c r="E27" s="3"/>
      <c r="F27" s="7"/>
      <c r="G27" s="2"/>
      <c r="H27" s="583">
        <v>28</v>
      </c>
      <c r="I27" s="579" t="e">
        <f>VLOOKUP(H27,пр.взв!B29:C54,2,FALSE)</f>
        <v>#N/A</v>
      </c>
      <c r="J27" s="579" t="e">
        <f>VLOOKUP(H27,пр.взв!B29:E54,3,FALSE)</f>
        <v>#N/A</v>
      </c>
      <c r="K27" s="579" t="e">
        <f>VLOOKUP(H27,пр.взв!B29:E54,4,FALSE)</f>
        <v>#N/A</v>
      </c>
      <c r="M27" s="48"/>
      <c r="N27" s="48"/>
    </row>
    <row r="28" spans="1:14" ht="16.5" thickBot="1">
      <c r="A28" s="581"/>
      <c r="B28" s="576"/>
      <c r="C28" s="576"/>
      <c r="D28" s="576"/>
      <c r="E28" s="2"/>
      <c r="F28" s="7"/>
      <c r="G28" s="2"/>
      <c r="H28" s="578"/>
      <c r="I28" s="580"/>
      <c r="J28" s="580"/>
      <c r="K28" s="580"/>
      <c r="M28" s="48"/>
      <c r="N28" s="48"/>
    </row>
    <row r="29" spans="1:14" ht="15.75">
      <c r="A29" s="573">
        <v>7</v>
      </c>
      <c r="B29" s="575" t="str">
        <f>VLOOKUP(A29,пр.взв!B5:C38,2,FALSE)</f>
        <v>Фролов Кирилл Михайлович</v>
      </c>
      <c r="C29" s="575" t="str">
        <f>VLOOKUP(A29,пр.взв!B5:G38,3,FALSE)</f>
        <v>06.11.98, кмс</v>
      </c>
      <c r="D29" s="575" t="str">
        <f>VLOOKUP(A29,пр.взв!B5:G38,4,FALSE)</f>
        <v>М</v>
      </c>
      <c r="E29" s="2"/>
      <c r="F29" s="7"/>
      <c r="G29" s="52"/>
      <c r="H29" s="577">
        <v>8</v>
      </c>
      <c r="I29" s="571" t="str">
        <f>VLOOKUP(H29,пр.взв!B7:C38,2,FALSE)</f>
        <v>Магомедкеримов Вагаб Гераклиевич</v>
      </c>
      <c r="J29" s="571" t="str">
        <f>VLOOKUP(H29,пр.взв!B7:E38,3,FALSE)</f>
        <v>21.10.99, кмс</v>
      </c>
      <c r="K29" s="571" t="str">
        <f>VLOOKUP(H29,пр.взв!B7:E38,4,FALSE)</f>
        <v>ЦФО</v>
      </c>
      <c r="M29" s="48"/>
      <c r="N29" s="51"/>
    </row>
    <row r="30" spans="1:14" ht="15.75">
      <c r="A30" s="574"/>
      <c r="B30" s="576"/>
      <c r="C30" s="576"/>
      <c r="D30" s="576"/>
      <c r="E30" s="8"/>
      <c r="F30" s="7"/>
      <c r="G30" s="2"/>
      <c r="H30" s="578"/>
      <c r="I30" s="572"/>
      <c r="J30" s="572"/>
      <c r="K30" s="572"/>
      <c r="M30" s="48"/>
    </row>
    <row r="31" spans="1:14" ht="15.75">
      <c r="A31" s="574">
        <v>23</v>
      </c>
      <c r="B31" s="572" t="e">
        <f>VLOOKUP(A31,пр.взв!B31:C56,2,FALSE)</f>
        <v>#N/A</v>
      </c>
      <c r="C31" s="572" t="e">
        <f>VLOOKUP(A31,пр.взв!B5:G38,3,FALSE)</f>
        <v>#N/A</v>
      </c>
      <c r="D31" s="572" t="e">
        <f>VLOOKUP(A31,пр.взв!B5:G38,4,FALSE)</f>
        <v>#N/A</v>
      </c>
      <c r="E31" s="4"/>
      <c r="F31" s="7"/>
      <c r="G31" s="2"/>
      <c r="H31" s="583">
        <v>24</v>
      </c>
      <c r="I31" s="579" t="e">
        <f>VLOOKUP(H31,пр.взв!B33:C58,2,FALSE)</f>
        <v>#N/A</v>
      </c>
      <c r="J31" s="579" t="e">
        <f>VLOOKUP(H31,пр.взв!B33:E58,3,FALSE)</f>
        <v>#N/A</v>
      </c>
      <c r="K31" s="579" t="e">
        <f>VLOOKUP(H31,пр.взв!B33:E58,4,FALSE)</f>
        <v>#N/A</v>
      </c>
      <c r="L31" s="43"/>
      <c r="M31" s="47"/>
    </row>
    <row r="32" spans="1:14" ht="16.5" thickBot="1">
      <c r="A32" s="581"/>
      <c r="B32" s="576"/>
      <c r="C32" s="576"/>
      <c r="D32" s="576"/>
      <c r="E32" s="5"/>
      <c r="F32" s="11"/>
      <c r="G32" s="2"/>
      <c r="H32" s="578"/>
      <c r="I32" s="580"/>
      <c r="J32" s="580"/>
      <c r="K32" s="580"/>
      <c r="L32" s="44"/>
      <c r="M32" s="49"/>
    </row>
    <row r="33" spans="1:16" ht="15.75">
      <c r="A33" s="573">
        <v>15</v>
      </c>
      <c r="B33" s="575" t="e">
        <f>VLOOKUP(A33,пр.взв!B33:C58,2,FALSE)</f>
        <v>#N/A</v>
      </c>
      <c r="C33" s="575" t="str">
        <f>VLOOKUP(A33,пр.взв!B5:G38,3,FALSE)</f>
        <v>27.04.98, кмс</v>
      </c>
      <c r="D33" s="575" t="str">
        <f>VLOOKUP(A33,пр.взв!B5:G38,4,FALSE)</f>
        <v>СЗФО</v>
      </c>
      <c r="E33" s="5"/>
      <c r="F33" s="2"/>
      <c r="G33" s="2"/>
      <c r="H33" s="577">
        <v>16</v>
      </c>
      <c r="I33" s="571" t="e">
        <f>VLOOKUP(H33,пр.взв!B35:C60,2,FALSE)</f>
        <v>#N/A</v>
      </c>
      <c r="J33" s="571" t="e">
        <f>VLOOKUP(H33,пр.взв!B35:E60,3,FALSE)</f>
        <v>#N/A</v>
      </c>
      <c r="K33" s="571" t="e">
        <f>VLOOKUP(H33,пр.взв!B35:E60,4,FALSE)</f>
        <v>#N/A</v>
      </c>
      <c r="L33" s="44"/>
      <c r="M33" s="45"/>
    </row>
    <row r="34" spans="1:16" ht="15.75">
      <c r="A34" s="574"/>
      <c r="B34" s="576"/>
      <c r="C34" s="576"/>
      <c r="D34" s="576"/>
      <c r="E34" s="10"/>
      <c r="F34" s="2"/>
      <c r="G34" s="2"/>
      <c r="H34" s="578"/>
      <c r="I34" s="572"/>
      <c r="J34" s="572"/>
      <c r="K34" s="572"/>
      <c r="L34" s="42"/>
      <c r="M34" s="45"/>
    </row>
    <row r="35" spans="1:16" ht="15.75">
      <c r="A35" s="574">
        <v>31</v>
      </c>
      <c r="B35" s="572" t="e">
        <f>VLOOKUP(A35,пр.взв!B35:C60,2,FALSE)</f>
        <v>#N/A</v>
      </c>
      <c r="C35" s="572" t="e">
        <f>VLOOKUP(A35,пр.взв!B5:G38,3,FALSE)</f>
        <v>#N/A</v>
      </c>
      <c r="D35" s="572" t="e">
        <f>VLOOKUP(A35,пр.взв!B5:G38,4,FALSE)</f>
        <v>#N/A</v>
      </c>
      <c r="E35" s="3"/>
      <c r="F35" s="2"/>
      <c r="G35" s="2"/>
      <c r="H35" s="583">
        <v>32</v>
      </c>
      <c r="I35" s="579" t="e">
        <f>VLOOKUP(H35,пр.взв!B37:C62,2,FALSE)</f>
        <v>#N/A</v>
      </c>
      <c r="J35" s="579" t="e">
        <f>VLOOKUP(H35,пр.взв!B37:E62,3,FALSE)</f>
        <v>#N/A</v>
      </c>
      <c r="K35" s="579" t="e">
        <f>VLOOKUP(H35,пр.взв!B37:E62,4,FALSE)</f>
        <v>#N/A</v>
      </c>
    </row>
    <row r="36" spans="1:16" ht="13.5" customHeight="1" thickBot="1">
      <c r="A36" s="581"/>
      <c r="B36" s="582"/>
      <c r="C36" s="582"/>
      <c r="D36" s="582"/>
      <c r="H36" s="584"/>
      <c r="I36" s="580"/>
      <c r="J36" s="580"/>
      <c r="K36" s="580"/>
    </row>
    <row r="37" spans="1:16" ht="15.75">
      <c r="A37" s="1"/>
      <c r="B37" s="1"/>
      <c r="C37" s="1"/>
      <c r="E37" s="2"/>
      <c r="F37" s="2"/>
      <c r="G37" s="2"/>
      <c r="P37" s="31"/>
    </row>
    <row r="38" spans="1:16">
      <c r="A38" s="37" t="s">
        <v>2</v>
      </c>
      <c r="B38" s="15"/>
      <c r="C38" s="28"/>
      <c r="D38" s="16"/>
      <c r="E38" s="21"/>
      <c r="F38" s="21"/>
      <c r="H38" s="37" t="s">
        <v>3</v>
      </c>
      <c r="I38" s="15"/>
      <c r="J38" s="28"/>
      <c r="K38" s="60"/>
      <c r="L38" s="25"/>
      <c r="M38" s="25"/>
      <c r="N38" s="15"/>
      <c r="O38" s="15"/>
      <c r="P38" s="15"/>
    </row>
    <row r="39" spans="1:16">
      <c r="A39" s="1"/>
      <c r="B39" s="15"/>
      <c r="C39" s="25"/>
      <c r="I39" s="15"/>
      <c r="J39" s="25"/>
      <c r="K39" s="15"/>
      <c r="L39" s="15"/>
      <c r="M39" s="15"/>
      <c r="N39" s="15"/>
      <c r="O39" s="15"/>
      <c r="P39" s="15"/>
    </row>
    <row r="40" spans="1:16">
      <c r="B40" s="20"/>
      <c r="C40" s="22"/>
      <c r="D40" s="21"/>
      <c r="E40" s="21"/>
      <c r="I40" s="20"/>
      <c r="J40" s="22"/>
      <c r="K40" s="21"/>
      <c r="L40" s="21"/>
      <c r="N40" s="15"/>
      <c r="O40" s="15"/>
      <c r="P40" s="15"/>
    </row>
    <row r="41" spans="1:16">
      <c r="B41" s="15"/>
      <c r="C41" s="24"/>
      <c r="D41" s="16"/>
      <c r="E41" s="21"/>
      <c r="I41" s="15"/>
      <c r="J41" s="24"/>
      <c r="K41" s="16"/>
      <c r="L41" s="21"/>
      <c r="N41" s="15"/>
      <c r="O41" s="15"/>
      <c r="P41" s="15"/>
    </row>
    <row r="42" spans="1:16">
      <c r="B42" s="15"/>
      <c r="C42" s="24"/>
      <c r="D42" s="26"/>
      <c r="E42" s="25"/>
      <c r="I42" s="15"/>
      <c r="J42" s="24"/>
      <c r="K42" s="26"/>
      <c r="L42" s="25"/>
      <c r="N42" s="15"/>
      <c r="O42" s="15"/>
      <c r="P42" s="15"/>
    </row>
    <row r="43" spans="1:16">
      <c r="B43" s="14"/>
      <c r="C43" s="18"/>
      <c r="D43" s="27"/>
      <c r="E43" s="57"/>
      <c r="I43" s="14"/>
      <c r="J43" s="18"/>
      <c r="K43" s="27"/>
      <c r="L43" s="57"/>
      <c r="N43" s="15"/>
      <c r="O43" s="15"/>
      <c r="P43" s="15"/>
    </row>
    <row r="44" spans="1:16">
      <c r="B44" s="15"/>
      <c r="C44" s="23"/>
      <c r="D44" s="24"/>
      <c r="E44" s="22"/>
      <c r="I44" s="15"/>
      <c r="J44" s="23"/>
      <c r="K44" s="24"/>
      <c r="L44" s="22"/>
      <c r="N44" s="15"/>
      <c r="O44" s="15"/>
      <c r="P44" s="15"/>
    </row>
    <row r="45" spans="1:16">
      <c r="B45" s="15"/>
      <c r="C45" s="21"/>
      <c r="D45" s="18"/>
      <c r="E45" s="24"/>
      <c r="I45" s="15"/>
      <c r="J45" s="21"/>
      <c r="K45" s="18"/>
      <c r="L45" s="24"/>
      <c r="N45" s="15"/>
      <c r="O45" s="15"/>
      <c r="P45" s="15"/>
    </row>
    <row r="46" spans="1:16">
      <c r="B46" s="15"/>
      <c r="E46" s="48"/>
      <c r="I46" s="15"/>
      <c r="L46" s="48"/>
      <c r="N46" s="15"/>
      <c r="O46" s="15"/>
      <c r="P46" s="15"/>
    </row>
    <row r="47" spans="1:16">
      <c r="B47" s="15"/>
      <c r="C47" s="16"/>
      <c r="D47" s="21"/>
      <c r="E47" s="24"/>
      <c r="F47" s="59"/>
      <c r="I47" s="15"/>
      <c r="J47" s="16"/>
      <c r="K47" s="21"/>
      <c r="L47" s="24"/>
      <c r="M47" s="59"/>
      <c r="N47" s="15"/>
      <c r="O47" s="15"/>
      <c r="P47" s="15"/>
    </row>
    <row r="48" spans="1:16">
      <c r="B48" s="20"/>
      <c r="C48" s="22"/>
      <c r="D48" s="21"/>
      <c r="E48" s="24"/>
      <c r="F48" s="50"/>
      <c r="I48" s="20"/>
      <c r="J48" s="22"/>
      <c r="K48" s="21"/>
      <c r="L48" s="24"/>
      <c r="M48" s="50"/>
      <c r="N48" s="15"/>
      <c r="O48" s="15"/>
      <c r="P48" s="15"/>
    </row>
    <row r="49" spans="1:16">
      <c r="B49" s="15"/>
      <c r="C49" s="24"/>
      <c r="D49" s="16"/>
      <c r="E49" s="24"/>
      <c r="F49" s="48"/>
      <c r="I49" s="15"/>
      <c r="J49" s="24"/>
      <c r="K49" s="16"/>
      <c r="L49" s="24"/>
      <c r="M49" s="48"/>
      <c r="N49" s="15"/>
      <c r="O49" s="15"/>
      <c r="P49" s="15"/>
    </row>
    <row r="50" spans="1:16">
      <c r="B50" s="15"/>
      <c r="C50" s="25"/>
      <c r="D50" s="26"/>
      <c r="E50" s="24"/>
      <c r="F50" s="48"/>
      <c r="I50" s="15"/>
      <c r="J50" s="25"/>
      <c r="K50" s="26"/>
      <c r="L50" s="24"/>
      <c r="M50" s="48"/>
      <c r="N50" s="15"/>
      <c r="O50" s="15"/>
      <c r="P50" s="15"/>
    </row>
    <row r="51" spans="1:16">
      <c r="B51" s="14"/>
      <c r="C51" s="17"/>
      <c r="D51" s="27"/>
      <c r="E51" s="58"/>
      <c r="F51" s="48"/>
      <c r="I51" s="14"/>
      <c r="J51" s="17"/>
      <c r="K51" s="27"/>
      <c r="L51" s="58"/>
      <c r="M51" s="48"/>
      <c r="N51" s="15"/>
      <c r="O51" s="15"/>
      <c r="P51" s="15"/>
    </row>
    <row r="52" spans="1:16">
      <c r="C52" s="23"/>
      <c r="D52" s="24"/>
      <c r="E52" s="28"/>
      <c r="F52" s="48"/>
      <c r="J52" s="23"/>
      <c r="K52" s="24"/>
      <c r="L52" s="28"/>
      <c r="M52" s="48"/>
      <c r="N52" s="15"/>
      <c r="O52" s="15"/>
      <c r="P52" s="15"/>
    </row>
    <row r="53" spans="1:16">
      <c r="C53" s="21"/>
      <c r="D53" s="18"/>
      <c r="E53" s="25"/>
      <c r="F53" s="51"/>
      <c r="J53" s="21"/>
      <c r="K53" s="18"/>
      <c r="L53" s="25"/>
      <c r="M53" s="51"/>
      <c r="N53" s="15"/>
      <c r="O53" s="15"/>
      <c r="P53" s="15"/>
    </row>
    <row r="54" spans="1:16">
      <c r="I54" s="15"/>
      <c r="J54" s="15"/>
      <c r="K54" s="15"/>
      <c r="L54" s="15"/>
      <c r="M54" s="15"/>
      <c r="N54" s="15"/>
      <c r="O54" s="15"/>
      <c r="P54" s="15"/>
    </row>
    <row r="55" spans="1:16">
      <c r="I55" s="15"/>
      <c r="J55" s="15"/>
      <c r="K55" s="15"/>
      <c r="L55" s="15"/>
      <c r="M55" s="15"/>
      <c r="N55" s="15"/>
      <c r="O55" s="15"/>
      <c r="P55" s="15"/>
    </row>
    <row r="56" spans="1:16">
      <c r="I56" s="15"/>
      <c r="J56" s="15"/>
      <c r="K56" s="15"/>
      <c r="L56" s="15"/>
      <c r="M56" s="15"/>
      <c r="N56" s="15"/>
      <c r="O56" s="15"/>
      <c r="P56" s="15"/>
    </row>
    <row r="57" spans="1:16">
      <c r="I57" s="15"/>
      <c r="J57" s="15"/>
      <c r="K57" s="15"/>
      <c r="L57" s="15"/>
      <c r="M57" s="15"/>
      <c r="N57" s="15"/>
      <c r="O57" s="15"/>
      <c r="P57" s="15"/>
    </row>
    <row r="58" spans="1:16">
      <c r="I58" s="15"/>
      <c r="J58" s="15"/>
      <c r="K58" s="15"/>
      <c r="L58" s="15"/>
      <c r="M58" s="15"/>
      <c r="N58" s="15"/>
      <c r="O58" s="15"/>
      <c r="P58" s="15"/>
    </row>
    <row r="59" spans="1:16">
      <c r="A59" s="32"/>
    </row>
  </sheetData>
  <mergeCells count="135">
    <mergeCell ref="K5:K6"/>
    <mergeCell ref="H5:H6"/>
    <mergeCell ref="J3:K3"/>
    <mergeCell ref="C3:D3"/>
    <mergeCell ref="A4:B4"/>
    <mergeCell ref="A1:G1"/>
    <mergeCell ref="A2:G2"/>
    <mergeCell ref="H1:N1"/>
    <mergeCell ref="H2:N2"/>
    <mergeCell ref="A5:A6"/>
    <mergeCell ref="B5:B6"/>
    <mergeCell ref="C5:C6"/>
    <mergeCell ref="D5:D6"/>
    <mergeCell ref="I5:I6"/>
    <mergeCell ref="J5:J6"/>
    <mergeCell ref="I7:I8"/>
    <mergeCell ref="J7:J8"/>
    <mergeCell ref="K7:K8"/>
    <mergeCell ref="A7:A8"/>
    <mergeCell ref="B7:B8"/>
    <mergeCell ref="C7:C8"/>
    <mergeCell ref="D7:D8"/>
    <mergeCell ref="H7:H8"/>
    <mergeCell ref="I9:I10"/>
    <mergeCell ref="J9:J10"/>
    <mergeCell ref="K9:K10"/>
    <mergeCell ref="A9:A10"/>
    <mergeCell ref="B9:B10"/>
    <mergeCell ref="C9:C10"/>
    <mergeCell ref="D9:D10"/>
    <mergeCell ref="H9:H10"/>
    <mergeCell ref="I11:I12"/>
    <mergeCell ref="J11:J12"/>
    <mergeCell ref="K11:K12"/>
    <mergeCell ref="A11:A12"/>
    <mergeCell ref="B11:B12"/>
    <mergeCell ref="C11:C12"/>
    <mergeCell ref="D11:D12"/>
    <mergeCell ref="H11:H12"/>
    <mergeCell ref="I13:I14"/>
    <mergeCell ref="J13:J14"/>
    <mergeCell ref="K13:K14"/>
    <mergeCell ref="A13:A14"/>
    <mergeCell ref="B13:B14"/>
    <mergeCell ref="C13:C14"/>
    <mergeCell ref="D13:D14"/>
    <mergeCell ref="H13:H14"/>
    <mergeCell ref="I15:I16"/>
    <mergeCell ref="J15:J16"/>
    <mergeCell ref="K15:K16"/>
    <mergeCell ref="A15:A16"/>
    <mergeCell ref="B15:B16"/>
    <mergeCell ref="C15:C16"/>
    <mergeCell ref="D15:D16"/>
    <mergeCell ref="H15:H16"/>
    <mergeCell ref="I17:I18"/>
    <mergeCell ref="J17:J18"/>
    <mergeCell ref="K17:K18"/>
    <mergeCell ref="A17:A18"/>
    <mergeCell ref="B17:B18"/>
    <mergeCell ref="C17:C18"/>
    <mergeCell ref="D17:D18"/>
    <mergeCell ref="H17:H18"/>
    <mergeCell ref="I19:I20"/>
    <mergeCell ref="J19:J20"/>
    <mergeCell ref="K19:K20"/>
    <mergeCell ref="A19:A20"/>
    <mergeCell ref="B19:B20"/>
    <mergeCell ref="C19:C20"/>
    <mergeCell ref="D19:D20"/>
    <mergeCell ref="H19:H20"/>
    <mergeCell ref="I21:I22"/>
    <mergeCell ref="J21:J22"/>
    <mergeCell ref="K21:K22"/>
    <mergeCell ref="A21:A22"/>
    <mergeCell ref="B21:B22"/>
    <mergeCell ref="C21:C22"/>
    <mergeCell ref="D21:D22"/>
    <mergeCell ref="H21:H22"/>
    <mergeCell ref="K23:K24"/>
    <mergeCell ref="A23:A24"/>
    <mergeCell ref="B23:B24"/>
    <mergeCell ref="C23:C24"/>
    <mergeCell ref="D23:D24"/>
    <mergeCell ref="H23:H24"/>
    <mergeCell ref="A25:A26"/>
    <mergeCell ref="B25:B26"/>
    <mergeCell ref="C25:C26"/>
    <mergeCell ref="D25:D26"/>
    <mergeCell ref="I23:I24"/>
    <mergeCell ref="J23:J24"/>
    <mergeCell ref="K27:K28"/>
    <mergeCell ref="H25:H26"/>
    <mergeCell ref="H27:H28"/>
    <mergeCell ref="I25:I26"/>
    <mergeCell ref="J25:J26"/>
    <mergeCell ref="K25:K26"/>
    <mergeCell ref="A27:A28"/>
    <mergeCell ref="B27:B28"/>
    <mergeCell ref="C27:C28"/>
    <mergeCell ref="D27:D28"/>
    <mergeCell ref="I27:I28"/>
    <mergeCell ref="J27:J28"/>
    <mergeCell ref="K29:K30"/>
    <mergeCell ref="A29:A30"/>
    <mergeCell ref="B29:B30"/>
    <mergeCell ref="C29:C30"/>
    <mergeCell ref="D29:D30"/>
    <mergeCell ref="H29:H30"/>
    <mergeCell ref="I29:I30"/>
    <mergeCell ref="J29:J30"/>
    <mergeCell ref="I31:I32"/>
    <mergeCell ref="J31:J32"/>
    <mergeCell ref="K31:K32"/>
    <mergeCell ref="A31:A32"/>
    <mergeCell ref="B31:B32"/>
    <mergeCell ref="C31:C32"/>
    <mergeCell ref="D31:D32"/>
    <mergeCell ref="H31:H32"/>
    <mergeCell ref="I33:I34"/>
    <mergeCell ref="J33:J34"/>
    <mergeCell ref="K33:K34"/>
    <mergeCell ref="A33:A34"/>
    <mergeCell ref="B33:B34"/>
    <mergeCell ref="C33:C34"/>
    <mergeCell ref="D33:D34"/>
    <mergeCell ref="H33:H34"/>
    <mergeCell ref="I35:I36"/>
    <mergeCell ref="J35:J36"/>
    <mergeCell ref="K35:K36"/>
    <mergeCell ref="A35:A36"/>
    <mergeCell ref="B35:B36"/>
    <mergeCell ref="C35:C36"/>
    <mergeCell ref="D35:D36"/>
    <mergeCell ref="H35:H36"/>
  </mergeCells>
  <phoneticPr fontId="13" type="noConversion"/>
  <printOptions horizontalCentered="1"/>
  <pageMargins left="0" right="0.39370078740157483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медали</vt:lpstr>
      <vt:lpstr>Ит.пр</vt:lpstr>
      <vt:lpstr>наградной лист</vt:lpstr>
      <vt:lpstr>Стартовый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2019-04-21T15:32:55Z</cp:lastPrinted>
  <dcterms:created xsi:type="dcterms:W3CDTF">1996-10-08T23:32:33Z</dcterms:created>
  <dcterms:modified xsi:type="dcterms:W3CDTF">2019-04-22T09:58:55Z</dcterms:modified>
</cp:coreProperties>
</file>