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С на призы УФСИН Тверь 2019\Боевое\"/>
    </mc:Choice>
  </mc:AlternateContent>
  <bookViews>
    <workbookView xWindow="0" yWindow="0" windowWidth="20490" windowHeight="7065" activeTab="3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62913"/>
</workbook>
</file>

<file path=xl/calcChain.xml><?xml version="1.0" encoding="utf-8"?>
<calcChain xmlns="http://schemas.openxmlformats.org/spreadsheetml/2006/main">
  <c r="H20" i="1" l="1"/>
  <c r="F20" i="1"/>
  <c r="H17" i="1"/>
  <c r="F17" i="1"/>
  <c r="G21" i="1" l="1"/>
  <c r="G20" i="1"/>
  <c r="G18" i="1"/>
  <c r="G17" i="1"/>
  <c r="A17" i="1"/>
  <c r="B33" i="3"/>
  <c r="R33" i="3"/>
  <c r="R31" i="3"/>
  <c r="N33" i="3"/>
  <c r="N31" i="3"/>
  <c r="A3" i="2"/>
  <c r="B2" i="2"/>
  <c r="J7" i="1" l="1"/>
  <c r="J8" i="1"/>
  <c r="J9" i="1"/>
  <c r="J6" i="1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0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Z22" i="3"/>
  <c r="J6" i="9"/>
  <c r="C6" i="1"/>
  <c r="B23" i="3"/>
  <c r="Z23" i="3"/>
  <c r="S23" i="3"/>
  <c r="Z24" i="3"/>
  <c r="C20" i="7"/>
  <c r="E20" i="7"/>
  <c r="D20" i="7"/>
  <c r="F20" i="7"/>
  <c r="C34" i="5"/>
  <c r="F34" i="5"/>
  <c r="E34" i="5"/>
  <c r="D34" i="5"/>
  <c r="G6" i="1"/>
  <c r="F6" i="1"/>
  <c r="K4" i="1" s="1"/>
  <c r="E6" i="1"/>
  <c r="H6" i="1"/>
  <c r="D6" i="1"/>
  <c r="B6" i="9"/>
  <c r="E8" i="9"/>
  <c r="H6" i="9"/>
  <c r="B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G8" i="1"/>
  <c r="C8" i="1"/>
  <c r="D8" i="1"/>
  <c r="E8" i="1"/>
  <c r="H8" i="1"/>
  <c r="K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W1" i="1" s="1"/>
  <c r="G9" i="1"/>
  <c r="C9" i="1"/>
  <c r="H9" i="1"/>
  <c r="D9" i="1"/>
  <c r="B3" i="4"/>
  <c r="B27" i="7"/>
  <c r="B9" i="5"/>
  <c r="J16" i="9"/>
  <c r="L27" i="7"/>
  <c r="B21" i="5"/>
  <c r="B29" i="7"/>
  <c r="B7" i="1"/>
  <c r="K12" i="1" l="1"/>
  <c r="C21" i="5"/>
  <c r="F21" i="5"/>
  <c r="E21" i="5"/>
  <c r="D21" i="5"/>
  <c r="G7" i="1"/>
  <c r="C7" i="1"/>
  <c r="D7" i="1"/>
  <c r="E7" i="1"/>
  <c r="F7" i="1"/>
  <c r="K8" i="1" s="1"/>
  <c r="H7" i="1"/>
  <c r="C9" i="5"/>
  <c r="E9" i="5"/>
  <c r="F9" i="5"/>
  <c r="D9" i="5"/>
  <c r="C29" i="7"/>
  <c r="F29" i="7"/>
  <c r="E29" i="7"/>
  <c r="D29" i="7"/>
  <c r="U2" i="1"/>
  <c r="M27" i="7"/>
  <c r="N27" i="7"/>
  <c r="P27" i="7"/>
  <c r="O27" i="7"/>
  <c r="B16" i="9"/>
  <c r="E18" i="9"/>
  <c r="B18" i="9"/>
  <c r="H16" i="9"/>
  <c r="C27" i="7"/>
  <c r="F27" i="7"/>
  <c r="D27" i="7"/>
  <c r="E27" i="7"/>
  <c r="M29" i="7"/>
  <c r="P29" i="7"/>
  <c r="O29" i="7"/>
  <c r="N29" i="7"/>
  <c r="Q13" i="1"/>
  <c r="Q9" i="1"/>
  <c r="Q7" i="1"/>
  <c r="Q8" i="1"/>
  <c r="Q11" i="1"/>
  <c r="Q6" i="1"/>
  <c r="Q10" i="1"/>
  <c r="Q12" i="1"/>
  <c r="J11" i="9"/>
  <c r="O8" i="1"/>
  <c r="O11" i="1"/>
  <c r="O9" i="1"/>
  <c r="O6" i="1"/>
  <c r="O10" i="1"/>
  <c r="O12" i="1"/>
  <c r="O7" i="1"/>
  <c r="O13" i="1"/>
  <c r="U6" i="1"/>
  <c r="R11" i="1"/>
  <c r="R6" i="1"/>
  <c r="R7" i="1"/>
  <c r="R12" i="1"/>
  <c r="R8" i="1"/>
  <c r="R9" i="1"/>
  <c r="R10" i="1"/>
  <c r="R13" i="1"/>
  <c r="U9" i="1" l="1"/>
  <c r="X9" i="1" s="1"/>
  <c r="B11" i="9"/>
  <c r="E13" i="9"/>
  <c r="B13" i="9"/>
  <c r="H11" i="9"/>
  <c r="X6" i="1"/>
  <c r="V6" i="1"/>
  <c r="W6" i="1"/>
  <c r="Y6" i="1"/>
  <c r="AA6" i="1"/>
  <c r="AC6" i="1" s="1"/>
  <c r="AE6" i="1" s="1"/>
  <c r="Q14" i="1"/>
  <c r="R14" i="1"/>
  <c r="O14" i="1"/>
  <c r="P9" i="1"/>
  <c r="P10" i="1"/>
  <c r="P6" i="1"/>
  <c r="P8" i="1"/>
  <c r="P12" i="1"/>
  <c r="P11" i="1"/>
  <c r="P13" i="1"/>
  <c r="U7" i="1"/>
  <c r="P7" i="1"/>
  <c r="U8" i="1"/>
  <c r="V9" i="1" l="1"/>
  <c r="Y9" i="1"/>
  <c r="W9" i="1"/>
  <c r="AL6" i="1"/>
  <c r="AF6" i="1"/>
  <c r="AI6" i="1"/>
  <c r="AH6" i="1"/>
  <c r="AG6" i="1"/>
  <c r="V8" i="1"/>
  <c r="AA8" i="1"/>
  <c r="W8" i="1"/>
  <c r="Y8" i="1"/>
  <c r="X8" i="1"/>
  <c r="Y7" i="1"/>
  <c r="V7" i="1"/>
  <c r="AB7" i="1" s="1"/>
  <c r="W7" i="1"/>
  <c r="AA7" i="1"/>
  <c r="X7" i="1"/>
  <c r="AA9" i="1"/>
  <c r="U1" i="1"/>
  <c r="P14" i="1"/>
  <c r="AC8" i="1" l="1"/>
  <c r="AM6" i="1"/>
  <c r="AC7" i="1"/>
  <c r="AC9" i="1"/>
  <c r="AN6" i="1"/>
  <c r="AO6" i="1"/>
  <c r="AP6" i="1"/>
  <c r="AE9" i="1" l="1"/>
  <c r="AE7" i="1"/>
  <c r="AE8" i="1"/>
  <c r="AG9" i="1" l="1"/>
  <c r="AN9" i="1" s="1"/>
  <c r="AI9" i="1"/>
  <c r="AP9" i="1" s="1"/>
  <c r="AL9" i="1"/>
  <c r="AH9" i="1"/>
  <c r="AO9" i="1" s="1"/>
  <c r="AF9" i="1"/>
  <c r="AM9" i="1" s="1"/>
  <c r="AL8" i="1"/>
  <c r="AF8" i="1"/>
  <c r="AM8" i="1" s="1"/>
  <c r="AI8" i="1"/>
  <c r="AP8" i="1" s="1"/>
  <c r="AH8" i="1"/>
  <c r="AO8" i="1" s="1"/>
  <c r="AG8" i="1"/>
  <c r="AN8" i="1" s="1"/>
  <c r="AG7" i="1"/>
  <c r="AI7" i="1"/>
  <c r="AF7" i="1"/>
  <c r="AH7" i="1"/>
  <c r="AL7" i="1"/>
  <c r="AN7" i="1" l="1"/>
  <c r="AM7" i="1"/>
  <c r="AO7" i="1"/>
  <c r="AP7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s="1"/>
  <c r="W5" i="3" s="1"/>
  <c r="O5" i="3" s="1"/>
</calcChain>
</file>

<file path=xl/sharedStrings.xml><?xml version="1.0" encoding="utf-8"?>
<sst xmlns="http://schemas.openxmlformats.org/spreadsheetml/2006/main" count="226" uniqueCount="98">
  <si>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</si>
  <si>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</si>
  <si>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</si>
  <si>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</si>
  <si>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</si>
  <si>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</si>
  <si>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</si>
  <si>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</si>
  <si>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</si>
  <si>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</si>
  <si>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</si>
  <si>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</si>
  <si>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</si>
  <si>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</si>
  <si>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</si>
  <si>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</si>
  <si>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</si>
  <si>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</si>
  <si>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</si>
  <si>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</si>
  <si>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</si>
  <si>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</si>
  <si>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</si>
  <si>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</si>
  <si>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</si>
  <si>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</si>
  <si>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</si>
  <si>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</si>
  <si>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</si>
  <si>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</si>
  <si>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</si>
  <si>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</si>
  <si>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</si>
  <si>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</si>
  <si>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</si>
  <si>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</si>
  <si>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</si>
  <si>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</si>
  <si>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</si>
  <si>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</si>
  <si>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</si>
  <si>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</si>
  <si>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</si>
  <si>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</si>
  <si>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</si>
  <si>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</si>
  <si>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</si>
  <si>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</si>
  <si>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</si>
  <si>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</si>
  <si>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</si>
  <si>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</si>
  <si>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</si>
  <si>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</si>
  <si>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</si>
  <si>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</si>
  <si>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</si>
  <si>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</si>
  <si>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</si>
  <si>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</si>
  <si>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</si>
  <si>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</si>
  <si>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</si>
  <si>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</si>
  <si>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</si>
  <si>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</si>
  <si>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</si>
  <si>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</si>
  <si>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</si>
  <si>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</si>
  <si>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</si>
  <si>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</si>
  <si>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</si>
  <si>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</si>
  <si>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</si>
  <si>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</si>
  <si>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</si>
  <si>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</si>
  <si>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</si>
  <si>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</si>
  <si>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Айболатов Умар Самаилович</t>
  </si>
  <si>
    <t>28.02.00, кмс</t>
  </si>
  <si>
    <t>ЦФО</t>
  </si>
  <si>
    <t>Тверская, Тверь</t>
  </si>
  <si>
    <t>Остапенко АА</t>
  </si>
  <si>
    <t>Чилаев Хушбахт Улфатчоевич</t>
  </si>
  <si>
    <t>06.05.95, кмс</t>
  </si>
  <si>
    <t>Перваков Кирилл Андреевич</t>
  </si>
  <si>
    <t>26.06.98, кмс</t>
  </si>
  <si>
    <t>ПФО</t>
  </si>
  <si>
    <t>Кировская, Киров</t>
  </si>
  <si>
    <t>Губин ВВ</t>
  </si>
  <si>
    <t>Джумбулов Давлатиер Худоерович</t>
  </si>
  <si>
    <t>08.11.98, кмс</t>
  </si>
  <si>
    <t>Морозов ВА</t>
  </si>
  <si>
    <t>В.к. 62б  кг.</t>
  </si>
  <si>
    <t>3/1</t>
  </si>
  <si>
    <t>4/0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</si>
</sst>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47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0"/>
      <color theme="0"/>
      <name val="Arial"/>
      <family val="2"/>
      <charset val="204"/>
    </font>
    <font>
      <b/>
      <sz val="10"/>
      <color theme="0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/>
      <top/>
      <bottom style="thin">
        <color indexed="64"/>
      </bottom>
      <diagonal/>
    </border>
    <border>
      <left style="medium">
        <color indexed="17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54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/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NumberFormat="1" applyFont="1" applyFill="1" applyBorder="1" applyAlignment="1" applyProtection="1">
      <alignment horizontal="center"/>
      <protection locked="0" hidden="1"/>
    </xf>
    <xf numFmtId="0" fontId="36" fillId="7" borderId="21" xfId="0" applyNumberFormat="1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2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8" fillId="0" borderId="1" xfId="0" applyFont="1" applyBorder="1"/>
    <xf numFmtId="49" fontId="5" fillId="0" borderId="0" xfId="0" applyNumberFormat="1" applyFont="1" applyAlignment="1">
      <alignment horizontal="center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1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4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4" xfId="0" applyFont="1" applyBorder="1" applyAlignment="1">
      <alignment vertical="center" wrapText="1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14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Alignment="1" applyProtection="1">
      <alignment vertical="center" wrapText="1"/>
      <protection locked="0"/>
    </xf>
    <xf numFmtId="0" fontId="40" fillId="7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Protection="1">
      <protection locked="0"/>
    </xf>
    <xf numFmtId="0" fontId="4" fillId="0" borderId="86" xfId="0" applyFont="1" applyBorder="1" applyAlignment="1">
      <alignment horizontal="center"/>
    </xf>
    <xf numFmtId="0" fontId="44" fillId="0" borderId="0" xfId="0" applyFont="1" applyBorder="1"/>
    <xf numFmtId="0" fontId="45" fillId="0" borderId="0" xfId="0" applyFont="1" applyBorder="1" applyAlignment="1"/>
    <xf numFmtId="0" fontId="45" fillId="0" borderId="0" xfId="0" applyFont="1" applyBorder="1" applyAlignment="1">
      <alignment horizontal="center"/>
    </xf>
    <xf numFmtId="49" fontId="43" fillId="0" borderId="0" xfId="0" applyNumberFormat="1" applyFont="1" applyBorder="1" applyAlignment="1">
      <alignment horizontal="center"/>
    </xf>
    <xf numFmtId="0" fontId="44" fillId="0" borderId="0" xfId="0" applyFont="1" applyBorder="1" applyAlignment="1"/>
    <xf numFmtId="49" fontId="44" fillId="0" borderId="0" xfId="0" applyNumberFormat="1" applyFont="1" applyBorder="1" applyAlignment="1">
      <alignment horizontal="center" vertical="center"/>
    </xf>
    <xf numFmtId="0" fontId="46" fillId="0" borderId="0" xfId="0" applyFont="1" applyBorder="1" applyAlignment="1">
      <alignment vertical="center" wrapText="1"/>
    </xf>
    <xf numFmtId="0" fontId="45" fillId="0" borderId="0" xfId="0" applyFont="1" applyBorder="1"/>
    <xf numFmtId="0" fontId="45" fillId="0" borderId="0" xfId="0" applyFont="1" applyBorder="1" applyAlignment="1">
      <alignment horizontal="left"/>
    </xf>
    <xf numFmtId="0" fontId="4" fillId="0" borderId="87" xfId="0" applyFont="1" applyBorder="1" applyAlignment="1">
      <alignment horizontal="center"/>
    </xf>
    <xf numFmtId="49" fontId="5" fillId="0" borderId="88" xfId="0" applyNumberFormat="1" applyFont="1" applyBorder="1" applyAlignment="1">
      <alignment horizontal="center"/>
    </xf>
    <xf numFmtId="0" fontId="45" fillId="0" borderId="0" xfId="0" applyNumberFormat="1" applyFont="1" applyBorder="1" applyAlignment="1">
      <alignment horizontal="center"/>
    </xf>
    <xf numFmtId="0" fontId="11" fillId="0" borderId="50" xfId="0" applyFont="1" applyBorder="1" applyAlignment="1" applyProtection="1">
      <alignment horizontal="center" vertical="center" wrapText="1"/>
      <protection locked="0"/>
    </xf>
    <xf numFmtId="0" fontId="16" fillId="0" borderId="85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horizontal="center" vertical="center" wrapText="1"/>
      <protection locked="0"/>
    </xf>
    <xf numFmtId="0" fontId="37" fillId="0" borderId="89" xfId="0" applyFont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vertical="center" wrapText="1"/>
      <protection locked="0"/>
    </xf>
    <xf numFmtId="0" fontId="6" fillId="0" borderId="73" xfId="0" applyNumberFormat="1" applyFont="1" applyBorder="1" applyAlignment="1" applyProtection="1">
      <alignment vertical="center" wrapText="1"/>
      <protection locked="0"/>
    </xf>
    <xf numFmtId="0" fontId="6" fillId="0" borderId="30" xfId="0" applyNumberFormat="1" applyFont="1" applyBorder="1" applyAlignment="1" applyProtection="1">
      <alignment vertical="center" wrapText="1"/>
      <protection locked="0"/>
    </xf>
    <xf numFmtId="0" fontId="6" fillId="0" borderId="69" xfId="0" applyNumberFormat="1" applyFont="1" applyBorder="1" applyAlignment="1" applyProtection="1">
      <alignment vertical="center" wrapText="1"/>
      <protection locked="0"/>
    </xf>
    <xf numFmtId="0" fontId="6" fillId="0" borderId="12" xfId="0" applyNumberFormat="1" applyFont="1" applyBorder="1" applyAlignment="1" applyProtection="1">
      <alignment vertical="center" wrapText="1"/>
      <protection locked="0"/>
    </xf>
    <xf numFmtId="0" fontId="6" fillId="0" borderId="82" xfId="0" applyNumberFormat="1" applyFont="1" applyBorder="1" applyAlignment="1" applyProtection="1">
      <alignment vertical="center" wrapText="1"/>
      <protection locked="0"/>
    </xf>
    <xf numFmtId="0" fontId="6" fillId="0" borderId="43" xfId="0" applyNumberFormat="1" applyFont="1" applyBorder="1" applyAlignment="1" applyProtection="1">
      <alignment vertical="center" wrapText="1"/>
      <protection locked="0"/>
    </xf>
    <xf numFmtId="0" fontId="6" fillId="0" borderId="41" xfId="0" applyNumberFormat="1" applyFont="1" applyBorder="1" applyAlignment="1" applyProtection="1">
      <alignment vertical="center" wrapText="1"/>
      <protection locked="0"/>
    </xf>
    <xf numFmtId="0" fontId="6" fillId="0" borderId="83" xfId="0" applyNumberFormat="1" applyFont="1" applyBorder="1" applyAlignment="1" applyProtection="1">
      <alignment vertical="center" wrapText="1"/>
      <protection locked="0"/>
    </xf>
    <xf numFmtId="0" fontId="6" fillId="0" borderId="50" xfId="0" applyNumberFormat="1" applyFont="1" applyBorder="1" applyAlignment="1" applyProtection="1">
      <alignment vertical="center" wrapText="1"/>
      <protection locked="0"/>
    </xf>
    <xf numFmtId="0" fontId="6" fillId="0" borderId="36" xfId="0" applyNumberFormat="1" applyFont="1" applyBorder="1" applyAlignment="1" applyProtection="1">
      <alignment vertical="center" wrapText="1"/>
      <protection locked="0"/>
    </xf>
    <xf numFmtId="0" fontId="6" fillId="0" borderId="37" xfId="0" applyNumberFormat="1" applyFont="1" applyBorder="1" applyAlignment="1" applyProtection="1">
      <alignment vertical="center" wrapText="1"/>
      <protection locked="0"/>
    </xf>
    <xf numFmtId="0" fontId="6" fillId="0" borderId="38" xfId="0" applyNumberFormat="1" applyFont="1" applyBorder="1" applyAlignment="1" applyProtection="1">
      <alignment vertical="center" wrapText="1"/>
      <protection locked="0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4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2" xfId="0" applyFont="1" applyBorder="1" applyAlignment="1">
      <alignment horizontal="center" vertical="center"/>
    </xf>
    <xf numFmtId="0" fontId="38" fillId="0" borderId="46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79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43" fillId="0" borderId="0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47" xfId="1" applyFont="1" applyBorder="1" applyAlignment="1" applyProtection="1">
      <alignment horizontal="center" vertical="center"/>
    </xf>
    <xf numFmtId="0" fontId="2" fillId="0" borderId="48" xfId="1" applyFont="1" applyBorder="1" applyAlignment="1" applyProtection="1">
      <alignment horizontal="center" vertical="center"/>
    </xf>
    <xf numFmtId="0" fontId="2" fillId="0" borderId="49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43" fillId="0" borderId="82" xfId="1" applyFont="1" applyBorder="1" applyAlignment="1" applyProtection="1">
      <alignment horizontal="center" vertical="center" wrapText="1"/>
    </xf>
    <xf numFmtId="0" fontId="43" fillId="0" borderId="3" xfId="1" applyFont="1" applyBorder="1" applyAlignment="1" applyProtection="1">
      <alignment horizontal="center" vertical="center" wrapText="1"/>
    </xf>
    <xf numFmtId="0" fontId="40" fillId="2" borderId="47" xfId="1" applyFont="1" applyFill="1" applyBorder="1" applyAlignment="1" applyProtection="1">
      <alignment horizontal="center" vertical="center" wrapText="1"/>
    </xf>
    <xf numFmtId="0" fontId="40" fillId="2" borderId="48" xfId="1" applyFont="1" applyFill="1" applyBorder="1" applyAlignment="1" applyProtection="1">
      <alignment horizontal="center" vertical="center" wrapText="1"/>
    </xf>
    <xf numFmtId="0" fontId="40" fillId="2" borderId="49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43" fillId="0" borderId="82" xfId="1" applyFont="1" applyBorder="1" applyAlignment="1" applyProtection="1">
      <alignment horizontal="left" vertical="center" wrapText="1"/>
    </xf>
    <xf numFmtId="0" fontId="43" fillId="0" borderId="3" xfId="1" applyFont="1" applyBorder="1" applyAlignment="1" applyProtection="1">
      <alignment horizontal="left" vertical="center" wrapText="1"/>
    </xf>
    <xf numFmtId="0" fontId="4" fillId="0" borderId="51" xfId="0" applyNumberFormat="1" applyFont="1" applyBorder="1" applyAlignment="1">
      <alignment horizontal="center" vertical="center" wrapText="1"/>
    </xf>
    <xf numFmtId="0" fontId="4" fillId="0" borderId="52" xfId="0" applyNumberFormat="1" applyFont="1" applyBorder="1" applyAlignment="1">
      <alignment horizontal="center" vertical="center" wrapText="1"/>
    </xf>
    <xf numFmtId="0" fontId="4" fillId="0" borderId="53" xfId="0" applyNumberFormat="1" applyFont="1" applyBorder="1" applyAlignment="1">
      <alignment horizontal="center" vertical="center" wrapText="1"/>
    </xf>
    <xf numFmtId="0" fontId="4" fillId="0" borderId="54" xfId="0" applyNumberFormat="1" applyFont="1" applyBorder="1" applyAlignment="1">
      <alignment horizontal="center" vertical="center" wrapText="1"/>
    </xf>
    <xf numFmtId="0" fontId="4" fillId="0" borderId="55" xfId="0" applyNumberFormat="1" applyFont="1" applyBorder="1" applyAlignment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5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0" fontId="6" fillId="0" borderId="63" xfId="1" applyFont="1" applyBorder="1" applyAlignment="1" applyProtection="1">
      <alignment horizontal="center" vertical="center" wrapText="1"/>
    </xf>
    <xf numFmtId="0" fontId="6" fillId="0" borderId="64" xfId="1" applyFont="1" applyBorder="1" applyAlignment="1" applyProtection="1">
      <alignment horizontal="center" vertical="center" wrapText="1"/>
    </xf>
    <xf numFmtId="0" fontId="6" fillId="0" borderId="65" xfId="1" applyFont="1" applyBorder="1" applyAlignment="1" applyProtection="1">
      <alignment horizontal="center" vertical="center" wrapText="1"/>
    </xf>
    <xf numFmtId="0" fontId="6" fillId="0" borderId="66" xfId="1" applyFont="1" applyBorder="1" applyAlignment="1" applyProtection="1">
      <alignment horizontal="center" vertical="center" wrapText="1"/>
    </xf>
    <xf numFmtId="0" fontId="6" fillId="0" borderId="67" xfId="1" applyFont="1" applyBorder="1" applyAlignment="1" applyProtection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0" xfId="0" applyFont="1" applyBorder="1" applyAlignment="1">
      <alignment horizontal="center" vertical="center" wrapText="1"/>
    </xf>
    <xf numFmtId="0" fontId="23" fillId="0" borderId="71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2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75" xfId="0" applyFont="1" applyBorder="1" applyAlignment="1">
      <alignment horizontal="center" vertical="center" wrapText="1"/>
    </xf>
    <xf numFmtId="49" fontId="22" fillId="0" borderId="69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7" fillId="0" borderId="69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41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1" fillId="0" borderId="41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" fillId="0" borderId="69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" fillId="0" borderId="69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12" fillId="0" borderId="69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49" fontId="19" fillId="0" borderId="41" xfId="0" applyNumberFormat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1" fillId="0" borderId="3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11" fillId="3" borderId="47" xfId="0" applyFont="1" applyFill="1" applyBorder="1" applyAlignment="1" applyProtection="1">
      <alignment horizontal="center" vertical="center"/>
      <protection locked="0" hidden="1"/>
    </xf>
    <xf numFmtId="0" fontId="11" fillId="3" borderId="48" xfId="0" applyFont="1" applyFill="1" applyBorder="1" applyAlignment="1" applyProtection="1">
      <alignment horizontal="center" vertical="center"/>
      <protection locked="0" hidden="1"/>
    </xf>
    <xf numFmtId="0" fontId="11" fillId="3" borderId="49" xfId="0" applyFont="1" applyFill="1" applyBorder="1" applyAlignment="1" applyProtection="1">
      <alignment horizontal="center" vertical="center"/>
      <protection locked="0" hidden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76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77" xfId="0" applyFont="1" applyFill="1" applyBorder="1" applyAlignment="1" applyProtection="1">
      <alignment horizontal="center" vertical="center"/>
      <protection locked="0" hidden="1"/>
    </xf>
    <xf numFmtId="0" fontId="11" fillId="3" borderId="78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47" xfId="1" applyFont="1" applyFill="1" applyBorder="1" applyAlignment="1" applyProtection="1">
      <alignment horizontal="center" vertical="center" wrapText="1"/>
      <protection locked="0"/>
    </xf>
    <xf numFmtId="0" fontId="40" fillId="2" borderId="48" xfId="1" applyFont="1" applyFill="1" applyBorder="1" applyAlignment="1" applyProtection="1">
      <alignment horizontal="center" vertical="center" wrapText="1"/>
      <protection locked="0"/>
    </xf>
    <xf numFmtId="0" fontId="40" fillId="2" borderId="49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3" xfId="0" applyFont="1" applyBorder="1" applyAlignment="1" applyProtection="1">
      <alignment horizontal="center" vertical="center" wrapText="1"/>
      <protection locked="0"/>
    </xf>
    <xf numFmtId="0" fontId="5" fillId="0" borderId="75" xfId="0" applyFont="1" applyBorder="1" applyAlignment="1" applyProtection="1">
      <alignment horizontal="center" vertical="center" wrapText="1"/>
      <protection locked="0"/>
    </xf>
    <xf numFmtId="0" fontId="5" fillId="0" borderId="72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69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8" fillId="0" borderId="0" xfId="0" applyFont="1" applyBorder="1" applyAlignment="1">
      <alignment horizontal="center"/>
    </xf>
    <xf numFmtId="0" fontId="5" fillId="0" borderId="7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1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9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13" fillId="0" borderId="42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76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8" fillId="5" borderId="44" xfId="0" applyFont="1" applyFill="1" applyBorder="1" applyAlignment="1">
      <alignment horizontal="center" vertical="center"/>
    </xf>
    <xf numFmtId="0" fontId="28" fillId="5" borderId="80" xfId="0" applyFont="1" applyFill="1" applyBorder="1" applyAlignment="1">
      <alignment horizontal="center" vertical="center"/>
    </xf>
    <xf numFmtId="0" fontId="28" fillId="5" borderId="42" xfId="0" applyFont="1" applyFill="1" applyBorder="1" applyAlignment="1">
      <alignment horizontal="center" vertical="center"/>
    </xf>
    <xf numFmtId="0" fontId="29" fillId="0" borderId="76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81" xfId="0" applyFont="1" applyBorder="1" applyAlignment="1">
      <alignment horizontal="center" vertical="center" wrapText="1"/>
    </xf>
    <xf numFmtId="0" fontId="28" fillId="6" borderId="44" xfId="0" applyFont="1" applyFill="1" applyBorder="1" applyAlignment="1">
      <alignment horizontal="center" vertical="center"/>
    </xf>
    <xf numFmtId="0" fontId="28" fillId="6" borderId="80" xfId="0" applyFont="1" applyFill="1" applyBorder="1" applyAlignment="1">
      <alignment horizontal="center" vertical="center"/>
    </xf>
    <xf numFmtId="0" fontId="28" fillId="6" borderId="4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4" fillId="0" borderId="76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47" xfId="1" applyFont="1" applyFill="1" applyBorder="1" applyAlignment="1" applyProtection="1">
      <alignment horizontal="center" vertical="center"/>
    </xf>
    <xf numFmtId="0" fontId="27" fillId="5" borderId="48" xfId="1" applyFont="1" applyFill="1" applyBorder="1" applyAlignment="1" applyProtection="1">
      <alignment horizontal="center" vertical="center"/>
    </xf>
    <xf numFmtId="0" fontId="27" fillId="5" borderId="49" xfId="1" applyFont="1" applyFill="1" applyBorder="1" applyAlignment="1" applyProtection="1">
      <alignment horizontal="center" vertical="center"/>
    </xf>
    <xf numFmtId="0" fontId="28" fillId="4" borderId="44" xfId="0" applyFont="1" applyFill="1" applyBorder="1" applyAlignment="1">
      <alignment horizontal="center" vertical="center"/>
    </xf>
    <xf numFmtId="0" fontId="28" fillId="4" borderId="80" xfId="0" applyFont="1" applyFill="1" applyBorder="1" applyAlignment="1">
      <alignment horizontal="center" vertical="center"/>
    </xf>
    <xf numFmtId="0" fontId="28" fillId="4" borderId="42" xfId="0" applyFont="1" applyFill="1" applyBorder="1" applyAlignment="1">
      <alignment horizontal="center" vertical="center"/>
    </xf>
    <xf numFmtId="0" fontId="5" fillId="0" borderId="50" xfId="0" applyFont="1" applyBorder="1" applyAlignment="1">
      <alignment horizontal="left" vertical="center" wrapText="1"/>
    </xf>
    <xf numFmtId="0" fontId="5" fillId="0" borderId="50" xfId="0" applyFont="1" applyBorder="1" applyAlignment="1">
      <alignment horizontal="center" vertical="center" wrapText="1"/>
    </xf>
    <xf numFmtId="0" fontId="4" fillId="0" borderId="44" xfId="1" applyFont="1" applyBorder="1" applyAlignment="1" applyProtection="1">
      <alignment horizontal="center" vertical="center" wrapText="1"/>
    </xf>
    <xf numFmtId="0" fontId="4" fillId="0" borderId="76" xfId="1" applyFont="1" applyBorder="1" applyAlignment="1" applyProtection="1">
      <alignment horizontal="center" vertical="center" wrapText="1"/>
    </xf>
    <xf numFmtId="0" fontId="4" fillId="0" borderId="45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13" fillId="0" borderId="42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6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2"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885825</xdr:colOff>
          <xdr:row>5</xdr:row>
          <xdr:rowOff>0</xdr:rowOff>
        </xdr:from>
        <xdr:to>
          <xdr:col>5</xdr:col>
          <xdr:colOff>1057275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3</xdr:row>
          <xdr:rowOff>28575</xdr:rowOff>
        </xdr:from>
        <xdr:to>
          <xdr:col>1</xdr:col>
          <xdr:colOff>361950</xdr:colOff>
          <xdr:row>3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95250</xdr:rowOff>
    </xdr:from>
    <xdr:to>
      <xdr:col>29</xdr:col>
      <xdr:colOff>371549</xdr:colOff>
      <xdr:row>1</xdr:row>
      <xdr:rowOff>301718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88900" y="95250"/>
          <a:ext cx="12474649" cy="520793"/>
          <a:chOff x="9" y="4"/>
          <a:chExt cx="988" cy="39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4" y="13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18</xdr:col>
      <xdr:colOff>438150</xdr:colOff>
      <xdr:row>0</xdr:row>
      <xdr:rowOff>82550</xdr:rowOff>
    </xdr:from>
    <xdr:to>
      <xdr:col>29</xdr:col>
      <xdr:colOff>459083</xdr:colOff>
      <xdr:row>3</xdr:row>
      <xdr:rowOff>86005</xdr:rowOff>
    </xdr:to>
    <xdr:grpSp>
      <xdr:nvGrpSpPr>
        <xdr:cNvPr id="11" name="Group 322"/>
        <xdr:cNvGrpSpPr>
          <a:grpSpLocks/>
        </xdr:cNvGrpSpPr>
      </xdr:nvGrpSpPr>
      <xdr:grpSpPr bwMode="auto">
        <a:xfrm>
          <a:off x="8534400" y="82550"/>
          <a:ext cx="4116683" cy="1108355"/>
          <a:chOff x="9" y="4"/>
          <a:chExt cx="341" cy="83"/>
        </a:xfrm>
      </xdr:grpSpPr>
      <xdr:pic>
        <xdr:nvPicPr>
          <xdr:cNvPr id="12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7" y="57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69850</xdr:rowOff>
    </xdr:from>
    <xdr:to>
      <xdr:col>38</xdr:col>
      <xdr:colOff>45705</xdr:colOff>
      <xdr:row>1</xdr:row>
      <xdr:rowOff>385109</xdr:rowOff>
    </xdr:to>
    <xdr:grpSp>
      <xdr:nvGrpSpPr>
        <xdr:cNvPr id="5" name="Group 322"/>
        <xdr:cNvGrpSpPr>
          <a:grpSpLocks/>
        </xdr:cNvGrpSpPr>
      </xdr:nvGrpSpPr>
      <xdr:grpSpPr bwMode="auto">
        <a:xfrm>
          <a:off x="69850" y="69850"/>
          <a:ext cx="9891380" cy="667684"/>
          <a:chOff x="9" y="4"/>
          <a:chExt cx="807" cy="50"/>
        </a:xfrm>
      </xdr:grpSpPr>
      <xdr:pic>
        <xdr:nvPicPr>
          <xdr:cNvPr id="6" name="Picture 323" descr="фед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" y="4"/>
            <a:ext cx="34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24" descr="1237670575_mvd-cdr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63" y="24"/>
            <a:ext cx="53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мандатка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>
        <row r="2">
          <cell r="A2" t="str">
            <v>Всероссийские соревнования по спортивному и боевому самбо среди мужчин на призы УФСИН России</v>
          </cell>
        </row>
        <row r="3">
          <cell r="A3" t="str">
            <v>20-22 апреля 2019 г           г.Тверь</v>
          </cell>
        </row>
        <row r="6">
          <cell r="A6" t="str">
            <v>Гл. судья, судья ВК</v>
          </cell>
          <cell r="G6" t="str">
            <v xml:space="preserve">Н.Н.Малышев </v>
          </cell>
        </row>
        <row r="7">
          <cell r="G7" t="str">
            <v>/Дубна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45"/>
  <sheetViews>
    <sheetView workbookViewId="0">
      <selection activeCell="D4" sqref="D4"/>
    </sheetView>
  </sheetViews>
  <sheetFormatPr defaultRowHeight="12.75"/>
  <cols>
    <col min="1" max="1" width="4.28515625" customWidth="1"/>
    <col min="2" max="2" width="5.42578125" customWidth="1"/>
    <col min="3" max="3" width="27.140625" customWidth="1"/>
    <col min="4" max="4" width="15.28515625" customWidth="1"/>
    <col min="5" max="5" width="7" customWidth="1"/>
    <col min="6" max="6" width="15.140625" customWidth="1"/>
    <col min="7" max="7" width="7.28515625" customWidth="1"/>
    <col min="8" max="8" width="18.7109375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0.85546875" customWidth="1"/>
    <col min="26" max="26" width="4.28515625" customWidth="1"/>
    <col min="27" max="27" width="5.140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4" customHeight="1">
      <c r="A1" s="238" t="s">
        <v>75</v>
      </c>
      <c r="B1" s="238"/>
      <c r="C1" s="238"/>
      <c r="D1" s="238"/>
      <c r="E1" s="238"/>
      <c r="F1" s="238"/>
      <c r="G1" s="238"/>
      <c r="H1" s="238"/>
    </row>
    <row r="2" spans="1:35" ht="55.5" customHeight="1">
      <c r="A2" s="167"/>
      <c r="B2" s="237" t="str">
        <f>[1]реквизиты!$A$2</f>
        <v>Всероссийские соревнования по спортивному и боевому самбо среди мужчин на призы УФСИН России</v>
      </c>
      <c r="C2" s="237"/>
      <c r="D2" s="237"/>
      <c r="E2" s="237"/>
      <c r="F2" s="237"/>
      <c r="G2" s="237"/>
      <c r="H2" s="168"/>
      <c r="I2" s="141"/>
      <c r="J2" s="141"/>
      <c r="K2" s="141"/>
    </row>
    <row r="3" spans="1:35" ht="17.25" customHeight="1">
      <c r="A3" s="241" t="str">
        <f>[1]реквизиты!$A$3</f>
        <v>20-22 апреля 2019 г           г.Тверь</v>
      </c>
      <c r="B3" s="241"/>
      <c r="C3" s="241"/>
      <c r="D3" s="241"/>
      <c r="E3" s="241"/>
      <c r="F3" s="241"/>
      <c r="G3" s="241"/>
      <c r="H3" s="241"/>
    </row>
    <row r="4" spans="1:35" ht="19.5" customHeight="1">
      <c r="D4" s="8" t="s">
        <v>95</v>
      </c>
      <c r="E4" s="8"/>
      <c r="Y4" s="231" t="s">
        <v>71</v>
      </c>
      <c r="Z4" s="231"/>
      <c r="AA4" s="231"/>
      <c r="AB4" s="231"/>
      <c r="AC4" s="231"/>
      <c r="AD4" s="231"/>
      <c r="AE4" s="231"/>
    </row>
    <row r="5" spans="1:35" ht="12.75" customHeight="1" thickBot="1">
      <c r="A5" s="239" t="s">
        <v>76</v>
      </c>
      <c r="B5" s="246" t="s">
        <v>4</v>
      </c>
      <c r="C5" s="239" t="s">
        <v>5</v>
      </c>
      <c r="D5" s="239" t="s">
        <v>6</v>
      </c>
      <c r="E5" s="242" t="s">
        <v>7</v>
      </c>
      <c r="F5" s="243"/>
      <c r="G5" s="239" t="s">
        <v>9</v>
      </c>
      <c r="H5" s="239" t="s">
        <v>8</v>
      </c>
      <c r="Q5" s="232"/>
      <c r="R5" s="232"/>
      <c r="S5" s="232"/>
      <c r="T5" s="112"/>
      <c r="U5" s="112"/>
      <c r="V5" s="112"/>
      <c r="W5" s="112"/>
      <c r="X5" s="112"/>
      <c r="Y5" s="142"/>
      <c r="Z5" s="117"/>
      <c r="AA5" s="117"/>
      <c r="AB5" s="117"/>
      <c r="AC5" s="117"/>
      <c r="AD5" s="117"/>
      <c r="AE5" s="117"/>
    </row>
    <row r="6" spans="1:35" ht="13.5" thickBot="1">
      <c r="A6" s="240"/>
      <c r="B6" s="240"/>
      <c r="C6" s="240"/>
      <c r="D6" s="240"/>
      <c r="E6" s="244"/>
      <c r="F6" s="245"/>
      <c r="G6" s="240"/>
      <c r="H6" s="240"/>
      <c r="J6" s="106"/>
      <c r="K6" s="106"/>
      <c r="L6" s="106"/>
      <c r="M6" s="106"/>
      <c r="N6" s="106"/>
      <c r="O6" s="106"/>
      <c r="P6" s="169"/>
      <c r="Q6" s="169" t="str">
        <f>N7</f>
        <v>кмс</v>
      </c>
      <c r="R6" s="169" t="str">
        <f>N8</f>
        <v/>
      </c>
      <c r="S6" s="170" t="str">
        <f>N9</f>
        <v/>
      </c>
      <c r="T6" s="170" t="str">
        <f>N10</f>
        <v/>
      </c>
      <c r="U6" s="170" t="str">
        <f>N11</f>
        <v/>
      </c>
      <c r="V6" s="170" t="str">
        <f>N12</f>
        <v/>
      </c>
      <c r="W6" s="170" t="str">
        <f>N13</f>
        <v/>
      </c>
      <c r="X6" s="110"/>
      <c r="Y6" s="143" t="s">
        <v>72</v>
      </c>
      <c r="Z6" s="114" t="str">
        <f t="shared" ref="Z6:AF6" si="0">Q6</f>
        <v>кмс</v>
      </c>
      <c r="AA6" s="114" t="str">
        <f t="shared" si="0"/>
        <v/>
      </c>
      <c r="AB6" s="171" t="str">
        <f t="shared" si="0"/>
        <v/>
      </c>
      <c r="AC6" s="171" t="str">
        <f t="shared" si="0"/>
        <v/>
      </c>
      <c r="AD6" s="114" t="str">
        <f t="shared" si="0"/>
        <v/>
      </c>
      <c r="AE6" s="144" t="str">
        <f t="shared" si="0"/>
        <v/>
      </c>
      <c r="AF6" s="145" t="str">
        <f t="shared" si="0"/>
        <v/>
      </c>
    </row>
    <row r="7" spans="1:35" ht="24" customHeight="1">
      <c r="A7" s="172" t="s">
        <v>50</v>
      </c>
      <c r="B7" s="173">
        <v>1</v>
      </c>
      <c r="C7" s="174" t="s">
        <v>80</v>
      </c>
      <c r="D7" s="175" t="s">
        <v>81</v>
      </c>
      <c r="E7" s="176" t="s">
        <v>82</v>
      </c>
      <c r="F7" s="175" t="s">
        <v>83</v>
      </c>
      <c r="G7" s="177"/>
      <c r="H7" s="178" t="s">
        <v>84</v>
      </c>
      <c r="I7" s="31"/>
      <c r="J7" s="179">
        <v>1</v>
      </c>
      <c r="K7" s="164" t="str">
        <f>IFERROR(RIGHT(D7,LEN(D7)-FIND("*",SUBSTITUTE(D7," ","*",LEN(D7)-LEN(SUBSTITUTE(D7," ",""))))),D7)</f>
        <v>кмс</v>
      </c>
      <c r="L7" s="164" t="str">
        <f>IFERROR(LEFT(F7,FIND(",",F7)-1),F7)</f>
        <v>Тверская</v>
      </c>
      <c r="M7" s="180" t="str">
        <f t="array" ref="M7">IFERROR(INDEX(субъект,MATCH(SUM(COUNTIF(M$6:M6,субъект)),COUNTIF(субъект,"&lt;"&amp;субъект),0)),"")</f>
        <v>Кировская</v>
      </c>
      <c r="N7" s="180" t="str">
        <f t="array" ref="N7">IFERROR(INDEX(разряд,MATCH(SUM(COUNTIF(N$6:N6,разряд)),COUNTIF(разряд,"&lt;"&amp;разряд),0)),"")</f>
        <v>кмс</v>
      </c>
      <c r="O7" s="181">
        <v>1</v>
      </c>
      <c r="P7" s="115" t="str">
        <f t="shared" ref="P7:P14" si="1">M7</f>
        <v>Кировская</v>
      </c>
      <c r="Q7" s="182">
        <f t="shared" ref="Q7:Q14" si="2">SUMIFS($J$7:$J$30,$L$7:$L$30,P7,$K$7:$K$30,Q$6)</f>
        <v>1</v>
      </c>
      <c r="R7" s="182">
        <f t="shared" ref="R7:R14" si="3">SUMIFS($J$7:$J$30,$L$7:$L$30,P7,$K$7:$K$30,R$6)</f>
        <v>0</v>
      </c>
      <c r="S7" s="183">
        <f t="shared" ref="S7:S14" si="4">SUMIFS($J$7:$J$30,$L$7:$L$30,P7,$K$7:$K$30,S$6)</f>
        <v>0</v>
      </c>
      <c r="T7" s="184">
        <f t="shared" ref="T7:T14" si="5">SUMIFS($J$7:$J$30,$L$7:$L$30,P7,$K$7:$K$30,T$6)</f>
        <v>0</v>
      </c>
      <c r="U7" s="184">
        <f t="shared" ref="U7:U14" si="6">SUMIFS($J$7:$J$30,$L$7:$L$30,P7,$K$7:$K$30,U$6)</f>
        <v>0</v>
      </c>
      <c r="V7" s="184">
        <f t="shared" ref="V7:V14" si="7">SUMIFS($J$7:$J$30,$L$7:$L$30,P7,$K$7:$K$30,V$6)</f>
        <v>0</v>
      </c>
      <c r="W7" s="184">
        <f t="shared" ref="W7:W14" si="8">SUMIFS($J$7:$J$30,$L$7:$L$30,P7,$K$7:$K$30,W$6)</f>
        <v>0</v>
      </c>
      <c r="X7" s="185"/>
      <c r="Y7" s="186" t="str">
        <f>P7</f>
        <v>Кировская</v>
      </c>
      <c r="Z7" s="140">
        <f>IF(Q7=0," ",Q7)</f>
        <v>1</v>
      </c>
      <c r="AA7" s="140" t="str">
        <f>IF(R7=0," ",R7)</f>
        <v xml:space="preserve"> </v>
      </c>
      <c r="AB7" s="140" t="str">
        <f>IF(S7=0," ",S7)</f>
        <v xml:space="preserve"> </v>
      </c>
      <c r="AC7" s="140" t="str">
        <f>IF(T7=0," ",T7)</f>
        <v xml:space="preserve"> </v>
      </c>
      <c r="AD7" s="140" t="str">
        <f t="shared" ref="AD7:AF14" si="9">IF(U7=0," ",U7)</f>
        <v xml:space="preserve"> </v>
      </c>
      <c r="AE7" s="113" t="str">
        <f t="shared" si="9"/>
        <v xml:space="preserve"> </v>
      </c>
      <c r="AF7" s="113" t="str">
        <f t="shared" si="9"/>
        <v xml:space="preserve"> </v>
      </c>
      <c r="AH7" s="233">
        <f>SUM(Z7:AF14)</f>
        <v>4</v>
      </c>
      <c r="AI7" s="234"/>
    </row>
    <row r="8" spans="1:35" ht="24" customHeight="1" thickBot="1">
      <c r="A8" s="172" t="s">
        <v>51</v>
      </c>
      <c r="B8" s="173">
        <v>2</v>
      </c>
      <c r="C8" s="174" t="s">
        <v>85</v>
      </c>
      <c r="D8" s="175" t="s">
        <v>86</v>
      </c>
      <c r="E8" s="176" t="s">
        <v>82</v>
      </c>
      <c r="F8" s="175" t="s">
        <v>83</v>
      </c>
      <c r="G8" s="177"/>
      <c r="H8" s="178" t="s">
        <v>84</v>
      </c>
      <c r="I8" s="31"/>
      <c r="J8" s="179">
        <v>1</v>
      </c>
      <c r="K8" s="164" t="str">
        <f t="shared" ref="K8:K14" si="10">IFERROR(RIGHT(D8,LEN(D8)-FIND("*",SUBSTITUTE(D8," ","*",LEN(D8)-LEN(SUBSTITUTE(D8," ",""))))),D8)</f>
        <v>кмс</v>
      </c>
      <c r="L8" s="164" t="str">
        <f t="shared" ref="L8:L14" si="11">IFERROR(LEFT(F8,FIND(",",F8)-1),F8)</f>
        <v>Тверская</v>
      </c>
      <c r="M8" s="180" t="str">
        <f t="array" ref="M8">IFERROR(INDEX(субъект,MATCH(SUM(COUNTIF(M$6:M7,субъект)),COUNTIF(субъект,"&lt;"&amp;субъект),0)),"")</f>
        <v>Тверская</v>
      </c>
      <c r="N8" s="180" t="str">
        <f t="array" ref="N8">IFERROR(INDEX(разряд,MATCH(SUM(COUNTIF(N$6:N7,разряд)),COUNTIF(разряд,"&lt;"&amp;разряд),0)),"")</f>
        <v/>
      </c>
      <c r="O8" s="181">
        <v>2</v>
      </c>
      <c r="P8" s="115" t="str">
        <f t="shared" si="1"/>
        <v>Тверская</v>
      </c>
      <c r="Q8" s="182">
        <f t="shared" si="2"/>
        <v>3</v>
      </c>
      <c r="R8" s="182">
        <f t="shared" si="3"/>
        <v>0</v>
      </c>
      <c r="S8" s="183">
        <f t="shared" si="4"/>
        <v>0</v>
      </c>
      <c r="T8" s="184">
        <f t="shared" si="5"/>
        <v>0</v>
      </c>
      <c r="U8" s="184">
        <f t="shared" si="6"/>
        <v>0</v>
      </c>
      <c r="V8" s="184">
        <f t="shared" si="7"/>
        <v>0</v>
      </c>
      <c r="W8" s="184">
        <f t="shared" si="8"/>
        <v>0</v>
      </c>
      <c r="X8" s="116"/>
      <c r="Y8" s="113" t="str">
        <f t="shared" ref="Y8:Y14" si="12">P8</f>
        <v>Тверская</v>
      </c>
      <c r="Z8" s="113">
        <f>IF($Y$8=$Y$7," ",IF(Q8=0," ",Q8))</f>
        <v>3</v>
      </c>
      <c r="AA8" s="113" t="str">
        <f>IF($Y$8=$Y$7," ",IF(R8=0," ",R8))</f>
        <v xml:space="preserve"> </v>
      </c>
      <c r="AB8" s="113" t="str">
        <f>IF($Y$8=$Y$7," ",IF(S8=0," ",S8))</f>
        <v xml:space="preserve"> </v>
      </c>
      <c r="AC8" s="113" t="str">
        <f>IF($Y$8=$Y$7," ",IF(T8=0," ",T8))</f>
        <v xml:space="preserve"> </v>
      </c>
      <c r="AD8" s="113" t="str">
        <f t="shared" si="9"/>
        <v xml:space="preserve"> </v>
      </c>
      <c r="AE8" s="113" t="str">
        <f t="shared" si="9"/>
        <v xml:space="preserve"> </v>
      </c>
      <c r="AF8" s="113" t="str">
        <f t="shared" si="9"/>
        <v xml:space="preserve"> </v>
      </c>
      <c r="AH8" s="235"/>
      <c r="AI8" s="236"/>
    </row>
    <row r="9" spans="1:35" ht="24" customHeight="1">
      <c r="A9" s="172" t="s">
        <v>52</v>
      </c>
      <c r="B9" s="173">
        <v>3</v>
      </c>
      <c r="C9" s="174" t="s">
        <v>87</v>
      </c>
      <c r="D9" s="175" t="s">
        <v>88</v>
      </c>
      <c r="E9" s="176" t="s">
        <v>89</v>
      </c>
      <c r="F9" s="175" t="s">
        <v>90</v>
      </c>
      <c r="G9" s="177"/>
      <c r="H9" s="178" t="s">
        <v>91</v>
      </c>
      <c r="I9" s="31"/>
      <c r="J9" s="179">
        <v>1</v>
      </c>
      <c r="K9" s="164" t="str">
        <f t="shared" si="10"/>
        <v>кмс</v>
      </c>
      <c r="L9" s="164" t="str">
        <f t="shared" si="11"/>
        <v>Кировская</v>
      </c>
      <c r="M9" s="180" t="str">
        <f t="array" ref="M9">IFERROR(INDEX(субъект,MATCH(SUM(COUNTIF(M$6:M8,субъект)),COUNTIF(субъект,"&lt;"&amp;субъект),0)),"")</f>
        <v/>
      </c>
      <c r="N9" s="180" t="str">
        <f t="array" ref="N9">IFERROR(INDEX(разряд,MATCH(SUM(COUNTIF(N$6:N8,разряд)),COUNTIF(разряд,"&lt;"&amp;разряд),0)),"")</f>
        <v/>
      </c>
      <c r="O9" s="181">
        <v>3</v>
      </c>
      <c r="P9" s="115" t="str">
        <f t="shared" si="1"/>
        <v/>
      </c>
      <c r="Q9" s="182">
        <f t="shared" si="2"/>
        <v>0</v>
      </c>
      <c r="R9" s="182">
        <f t="shared" si="3"/>
        <v>0</v>
      </c>
      <c r="S9" s="183">
        <f t="shared" si="4"/>
        <v>0</v>
      </c>
      <c r="T9" s="184">
        <f t="shared" si="5"/>
        <v>0</v>
      </c>
      <c r="U9" s="184">
        <f t="shared" si="6"/>
        <v>0</v>
      </c>
      <c r="V9" s="184">
        <f t="shared" si="7"/>
        <v>0</v>
      </c>
      <c r="W9" s="184">
        <f t="shared" si="8"/>
        <v>0</v>
      </c>
      <c r="X9" s="116"/>
      <c r="Y9" s="113" t="str">
        <f t="shared" si="12"/>
        <v/>
      </c>
      <c r="Z9" s="113" t="str">
        <f>IF(OR($Y9=$Y7,$Y9=$Y8)," ",IF(Q9=0," ",Q9))</f>
        <v xml:space="preserve"> </v>
      </c>
      <c r="AA9" s="113" t="str">
        <f>IF(OR($Y9=$Y7,$Y9=$Y8)," ",IF(R9=0," ",R9))</f>
        <v xml:space="preserve"> </v>
      </c>
      <c r="AB9" s="113" t="str">
        <f>IF(OR($Y9=$Y7,$Y9=$Y8)," ",IF(S9=0," ",S9))</f>
        <v xml:space="preserve"> </v>
      </c>
      <c r="AC9" s="113" t="str">
        <f>IF(OR($Y9=$Y7,$Y9=$Y8)," ",IF(T9=0," ",T9))</f>
        <v xml:space="preserve"> </v>
      </c>
      <c r="AD9" s="113" t="str">
        <f t="shared" si="9"/>
        <v xml:space="preserve"> </v>
      </c>
      <c r="AE9" s="113" t="str">
        <f t="shared" si="9"/>
        <v xml:space="preserve"> </v>
      </c>
      <c r="AF9" s="113" t="str">
        <f t="shared" si="9"/>
        <v xml:space="preserve"> </v>
      </c>
    </row>
    <row r="10" spans="1:35" ht="24" customHeight="1">
      <c r="A10" s="172" t="s">
        <v>53</v>
      </c>
      <c r="B10" s="173">
        <v>4</v>
      </c>
      <c r="C10" s="174" t="s">
        <v>92</v>
      </c>
      <c r="D10" s="175" t="s">
        <v>93</v>
      </c>
      <c r="E10" s="176" t="s">
        <v>82</v>
      </c>
      <c r="F10" s="175" t="s">
        <v>83</v>
      </c>
      <c r="G10" s="177"/>
      <c r="H10" s="178" t="s">
        <v>94</v>
      </c>
      <c r="I10" s="31"/>
      <c r="J10" s="179">
        <v>1</v>
      </c>
      <c r="K10" s="164" t="str">
        <f t="shared" si="10"/>
        <v>кмс</v>
      </c>
      <c r="L10" s="164" t="str">
        <f t="shared" si="11"/>
        <v>Тверская</v>
      </c>
      <c r="M10" s="180" t="str">
        <f t="array" ref="M10">IFERROR(INDEX(субъект,MATCH(SUM(COUNTIF(M$6:M9,субъект)),COUNTIF(субъект,"&lt;"&amp;субъект),0)),"")</f>
        <v/>
      </c>
      <c r="N10" s="180" t="str">
        <f t="array" ref="N10">IFERROR(INDEX(разряд,MATCH(SUM(COUNTIF(N$6:N9,разряд)),COUNTIF(разряд,"&lt;"&amp;разряд),0)),"")</f>
        <v/>
      </c>
      <c r="O10" s="181">
        <v>4</v>
      </c>
      <c r="P10" s="115" t="str">
        <f t="shared" si="1"/>
        <v/>
      </c>
      <c r="Q10" s="182">
        <f t="shared" si="2"/>
        <v>0</v>
      </c>
      <c r="R10" s="182">
        <f t="shared" si="3"/>
        <v>0</v>
      </c>
      <c r="S10" s="183">
        <f t="shared" si="4"/>
        <v>0</v>
      </c>
      <c r="T10" s="184">
        <f t="shared" si="5"/>
        <v>0</v>
      </c>
      <c r="U10" s="184">
        <f t="shared" si="6"/>
        <v>0</v>
      </c>
      <c r="V10" s="184">
        <f t="shared" si="7"/>
        <v>0</v>
      </c>
      <c r="W10" s="184">
        <f t="shared" si="8"/>
        <v>0</v>
      </c>
      <c r="X10" s="110"/>
      <c r="Y10" s="113" t="str">
        <f t="shared" si="12"/>
        <v/>
      </c>
      <c r="Z10" s="113" t="str">
        <f>IF(OR($Y10=$Y8,$Y10=$Y9,$Y10=$Y7)," ",IF(Q10=0," ",Q10))</f>
        <v xml:space="preserve"> </v>
      </c>
      <c r="AA10" s="113" t="str">
        <f>IF(OR($Y10=$Y8,$Y10=$Y9,$Y10=$Y7)," ",IF(R10=0," ",R10))</f>
        <v xml:space="preserve"> </v>
      </c>
      <c r="AB10" s="113" t="str">
        <f>IF(OR($Y10=$Y8,$Y10=$Y9,$Y10=$Y7)," ",IF(S10=0," ",S10))</f>
        <v xml:space="preserve"> </v>
      </c>
      <c r="AC10" s="113" t="str">
        <f>IF(OR($Y10=$Y8,$Y10=$Y9,$Y10=$Y7)," ",IF(T10=0," ",T10))</f>
        <v xml:space="preserve"> </v>
      </c>
      <c r="AD10" s="113" t="str">
        <f t="shared" si="9"/>
        <v xml:space="preserve"> </v>
      </c>
      <c r="AE10" s="113" t="str">
        <f t="shared" si="9"/>
        <v xml:space="preserve"> </v>
      </c>
      <c r="AF10" s="113" t="str">
        <f t="shared" si="9"/>
        <v xml:space="preserve"> </v>
      </c>
    </row>
    <row r="11" spans="1:35" ht="24" customHeight="1">
      <c r="A11" s="172" t="s">
        <v>54</v>
      </c>
      <c r="B11" s="173">
        <v>5</v>
      </c>
      <c r="C11" s="174"/>
      <c r="D11" s="175"/>
      <c r="E11" s="176"/>
      <c r="F11" s="175"/>
      <c r="G11" s="177"/>
      <c r="H11" s="178"/>
      <c r="I11" s="31"/>
      <c r="J11" s="179">
        <v>1</v>
      </c>
      <c r="K11" s="164">
        <f t="shared" si="10"/>
        <v>0</v>
      </c>
      <c r="L11" s="164">
        <f t="shared" si="11"/>
        <v>0</v>
      </c>
      <c r="M11" s="180" t="str">
        <f t="array" ref="M11">IFERROR(INDEX(субъект,MATCH(SUM(COUNTIF(M$6:M10,субъект)),COUNTIF(субъект,"&lt;"&amp;субъект),0)),"")</f>
        <v/>
      </c>
      <c r="N11" s="180" t="str">
        <f t="array" ref="N11">IFERROR(INDEX(разряд,MATCH(SUM(COUNTIF(N$6:N10,разряд)),COUNTIF(разряд,"&lt;"&amp;разряд),0)),"")</f>
        <v/>
      </c>
      <c r="O11" s="181">
        <v>5</v>
      </c>
      <c r="P11" s="115" t="str">
        <f t="shared" si="1"/>
        <v/>
      </c>
      <c r="Q11" s="182">
        <f t="shared" si="2"/>
        <v>0</v>
      </c>
      <c r="R11" s="182">
        <f t="shared" si="3"/>
        <v>0</v>
      </c>
      <c r="S11" s="183">
        <f t="shared" si="4"/>
        <v>0</v>
      </c>
      <c r="T11" s="184">
        <f t="shared" si="5"/>
        <v>0</v>
      </c>
      <c r="U11" s="184">
        <f t="shared" si="6"/>
        <v>0</v>
      </c>
      <c r="V11" s="184">
        <f t="shared" si="7"/>
        <v>0</v>
      </c>
      <c r="W11" s="184">
        <f t="shared" si="8"/>
        <v>0</v>
      </c>
      <c r="X11" s="116"/>
      <c r="Y11" s="113" t="str">
        <f t="shared" si="12"/>
        <v/>
      </c>
      <c r="Z11" s="113" t="str">
        <f>IF(OR($Y11=$Y9,$Y11=$Y10,$Y11=$Y8,$Y11=$Y7)," ",IF(Q11=0," ",Q11))</f>
        <v xml:space="preserve"> </v>
      </c>
      <c r="AA11" s="113" t="str">
        <f>IF(OR($Y11=$Y9,$Y11=$Y10,$Y11=$Y8,$Y11=$Y7)," ",IF(R11=0," ",R11))</f>
        <v xml:space="preserve"> </v>
      </c>
      <c r="AB11" s="113" t="str">
        <f>IF(OR($Y11=$Y9,$Y11=$Y10,$Y11=$Y8,$Y11=$Y7)," ",IF(S11=0," ",S11))</f>
        <v xml:space="preserve"> </v>
      </c>
      <c r="AC11" s="113" t="str">
        <f>IF(OR($Y11=$Y9,$Y11=$Y10,$Y11=$Y8,$Y11=$Y7)," ",IF(T11=0," ",T11))</f>
        <v xml:space="preserve"> </v>
      </c>
      <c r="AD11" s="113" t="str">
        <f t="shared" si="9"/>
        <v xml:space="preserve"> </v>
      </c>
      <c r="AE11" s="113" t="str">
        <f t="shared" si="9"/>
        <v xml:space="preserve"> </v>
      </c>
      <c r="AF11" s="113" t="str">
        <f t="shared" si="9"/>
        <v xml:space="preserve"> </v>
      </c>
    </row>
    <row r="12" spans="1:35" ht="24" customHeight="1">
      <c r="A12" s="172" t="s">
        <v>55</v>
      </c>
      <c r="B12" s="173">
        <v>6</v>
      </c>
      <c r="C12" s="174"/>
      <c r="D12" s="175"/>
      <c r="E12" s="174"/>
      <c r="F12" s="175"/>
      <c r="G12" s="174"/>
      <c r="H12" s="178"/>
      <c r="I12" s="31"/>
      <c r="J12" s="179">
        <v>1</v>
      </c>
      <c r="K12" s="164">
        <f t="shared" si="10"/>
        <v>0</v>
      </c>
      <c r="L12" s="164">
        <f t="shared" si="11"/>
        <v>0</v>
      </c>
      <c r="M12" s="180" t="str">
        <f t="array" ref="M12">IFERROR(INDEX(субъект,MATCH(SUM(COUNTIF(M$6:M11,субъект)),COUNTIF(субъект,"&lt;"&amp;субъект),0)),"")</f>
        <v/>
      </c>
      <c r="N12" s="180" t="str">
        <f t="array" ref="N12">IFERROR(INDEX(разряд,MATCH(SUM(COUNTIF(N$6:N11,разряд)),COUNTIF(разряд,"&lt;"&amp;разряд),0)),"")</f>
        <v/>
      </c>
      <c r="O12" s="181">
        <v>6</v>
      </c>
      <c r="P12" s="115" t="str">
        <f t="shared" si="1"/>
        <v/>
      </c>
      <c r="Q12" s="182">
        <f t="shared" si="2"/>
        <v>0</v>
      </c>
      <c r="R12" s="182">
        <f t="shared" si="3"/>
        <v>0</v>
      </c>
      <c r="S12" s="183">
        <f t="shared" si="4"/>
        <v>0</v>
      </c>
      <c r="T12" s="184">
        <f t="shared" si="5"/>
        <v>0</v>
      </c>
      <c r="U12" s="184">
        <f t="shared" si="6"/>
        <v>0</v>
      </c>
      <c r="V12" s="184">
        <f t="shared" si="7"/>
        <v>0</v>
      </c>
      <c r="W12" s="184">
        <f t="shared" si="8"/>
        <v>0</v>
      </c>
      <c r="X12" s="110"/>
      <c r="Y12" s="113" t="str">
        <f t="shared" si="12"/>
        <v/>
      </c>
      <c r="Z12" s="113" t="str">
        <f>IF(OR($Y12=$Y10,$Y12=$Y11,$Y12=$Y9,$Y12=$Y8,$Y12=$Y7)," ",IF(Q12=0," ",Q12))</f>
        <v xml:space="preserve"> </v>
      </c>
      <c r="AA12" s="113" t="str">
        <f>IF(OR($Y12=$Y10,$Y12=$Y11,$Y12=$Y9,$Y12=$Y8,$Y12=$Y7)," ",IF(R12=0," ",R12))</f>
        <v xml:space="preserve"> </v>
      </c>
      <c r="AB12" s="113" t="str">
        <f>IF(OR($Y12=$Y10,$Y12=$Y11,$Y12=$Y9,$Y12=$Y8,$Y12=$Y7)," ",IF(S12=0," ",S12))</f>
        <v xml:space="preserve"> </v>
      </c>
      <c r="AC12" s="113" t="str">
        <f>IF(OR($Y12=$Y10,$Y12=$Y11,$Y12=$Y9,$Y12=$Y8,$Y12=$Y7)," ",IF(T12=0," ",T12))</f>
        <v xml:space="preserve"> </v>
      </c>
      <c r="AD12" s="113" t="str">
        <f t="shared" si="9"/>
        <v xml:space="preserve"> </v>
      </c>
      <c r="AE12" s="113" t="str">
        <f t="shared" si="9"/>
        <v xml:space="preserve"> </v>
      </c>
      <c r="AF12" s="113" t="str">
        <f t="shared" si="9"/>
        <v xml:space="preserve"> </v>
      </c>
    </row>
    <row r="13" spans="1:35" ht="24" customHeight="1">
      <c r="A13" s="172" t="s">
        <v>56</v>
      </c>
      <c r="B13" s="187">
        <v>7</v>
      </c>
      <c r="C13" s="163"/>
      <c r="D13" s="163"/>
      <c r="E13" s="163"/>
      <c r="F13" s="175"/>
      <c r="G13" s="188"/>
      <c r="H13" s="189"/>
      <c r="I13" s="31"/>
      <c r="J13" s="179">
        <v>1</v>
      </c>
      <c r="K13" s="164">
        <f t="shared" si="10"/>
        <v>0</v>
      </c>
      <c r="L13" s="164">
        <f t="shared" si="11"/>
        <v>0</v>
      </c>
      <c r="M13" s="180" t="str">
        <f t="array" ref="M13">IFERROR(INDEX(субъект,MATCH(SUM(COUNTIF(M$6:M12,субъект)),COUNTIF(субъект,"&lt;"&amp;субъект),0)),"")</f>
        <v/>
      </c>
      <c r="N13" s="180" t="str">
        <f t="array" ref="N13">IFERROR(INDEX(разряд,MATCH(SUM(COUNTIF(N$6:N12,разряд)),COUNTIF(разряд,"&lt;"&amp;разряд),0)),"")</f>
        <v/>
      </c>
      <c r="O13" s="181">
        <v>7</v>
      </c>
      <c r="P13" s="115" t="str">
        <f t="shared" si="1"/>
        <v/>
      </c>
      <c r="Q13" s="182">
        <f t="shared" si="2"/>
        <v>0</v>
      </c>
      <c r="R13" s="182">
        <f t="shared" si="3"/>
        <v>0</v>
      </c>
      <c r="S13" s="183">
        <f t="shared" si="4"/>
        <v>0</v>
      </c>
      <c r="T13" s="184">
        <f t="shared" si="5"/>
        <v>0</v>
      </c>
      <c r="U13" s="184">
        <f t="shared" si="6"/>
        <v>0</v>
      </c>
      <c r="V13" s="184">
        <f t="shared" si="7"/>
        <v>0</v>
      </c>
      <c r="W13" s="184">
        <f t="shared" si="8"/>
        <v>0</v>
      </c>
      <c r="X13" s="116"/>
      <c r="Y13" s="113" t="str">
        <f t="shared" si="12"/>
        <v/>
      </c>
      <c r="Z13" s="113" t="str">
        <f>IF(OR($Y13=$Y11,$Y13=$Y12,$Y13=$Y10,$Y13=$Y9,$Y13=$Y8,$Y13=$Y7)," ",IF(Q13=0," ",Q13))</f>
        <v xml:space="preserve"> </v>
      </c>
      <c r="AA13" s="113" t="str">
        <f>IF(OR($Y13=$Y11,$Y13=$Y12,$Y13=$Y10,$Y13=$Y9,$Y13=$Y8,$Y13=$Y7)," ",IF(R13=0," ",R13))</f>
        <v xml:space="preserve"> </v>
      </c>
      <c r="AB13" s="113" t="str">
        <f>IF(OR($Y13=$Y11,$Y13=$Y12,$Y13=$Y10,$Y13=$Y9,$Y13=$Y8,$Y13=$Y7)," ",IF(S13=0," ",S13))</f>
        <v xml:space="preserve"> </v>
      </c>
      <c r="AC13" s="113" t="str">
        <f>IF(OR($Y13=$Y11,$Y13=$Y12,$Y13=$Y10,$Y13=$Y9,$Y13=$Y8,$Y13=$Y7)," ",IF(T13=0," ",T13))</f>
        <v xml:space="preserve"> </v>
      </c>
      <c r="AD13" s="113" t="str">
        <f t="shared" si="9"/>
        <v xml:space="preserve"> </v>
      </c>
      <c r="AE13" s="113" t="str">
        <f t="shared" si="9"/>
        <v xml:space="preserve"> </v>
      </c>
      <c r="AF13" s="113" t="str">
        <f t="shared" si="9"/>
        <v xml:space="preserve"> </v>
      </c>
    </row>
    <row r="14" spans="1:35" ht="24" customHeight="1">
      <c r="A14" s="172" t="s">
        <v>57</v>
      </c>
      <c r="B14" s="187">
        <v>8</v>
      </c>
      <c r="C14" s="163"/>
      <c r="D14" s="163"/>
      <c r="E14" s="163"/>
      <c r="F14" s="163"/>
      <c r="G14" s="188"/>
      <c r="H14" s="189"/>
      <c r="I14" s="31"/>
      <c r="J14" s="179">
        <v>1</v>
      </c>
      <c r="K14" s="164">
        <f t="shared" si="10"/>
        <v>0</v>
      </c>
      <c r="L14" s="164">
        <f t="shared" si="11"/>
        <v>0</v>
      </c>
      <c r="M14" s="180" t="str">
        <f t="array" ref="M14">IFERROR(INDEX(субъект,MATCH(SUM(COUNTIF(M$6:M13,субъект)),COUNTIF(субъект,"&lt;"&amp;субъект),0)),"")</f>
        <v/>
      </c>
      <c r="N14" s="180" t="str">
        <f t="array" ref="N14">IFERROR(INDEX(разряд,MATCH(SUM(COUNTIF(N$6:N13,разряд)),COUNTIF(разряд,"&lt;"&amp;разряд),0)),"")</f>
        <v/>
      </c>
      <c r="O14" s="181">
        <v>8</v>
      </c>
      <c r="P14" s="115" t="str">
        <f t="shared" si="1"/>
        <v/>
      </c>
      <c r="Q14" s="182">
        <f t="shared" si="2"/>
        <v>0</v>
      </c>
      <c r="R14" s="182">
        <f t="shared" si="3"/>
        <v>0</v>
      </c>
      <c r="S14" s="183">
        <f t="shared" si="4"/>
        <v>0</v>
      </c>
      <c r="T14" s="184">
        <f t="shared" si="5"/>
        <v>0</v>
      </c>
      <c r="U14" s="184">
        <f t="shared" si="6"/>
        <v>0</v>
      </c>
      <c r="V14" s="184">
        <f t="shared" si="7"/>
        <v>0</v>
      </c>
      <c r="W14" s="184">
        <f t="shared" si="8"/>
        <v>0</v>
      </c>
      <c r="X14" s="116"/>
      <c r="Y14" s="113" t="str">
        <f t="shared" si="12"/>
        <v/>
      </c>
      <c r="Z14" s="113" t="str">
        <f>IF(OR($Y14=$Y12,$Y14=$Y13,$Y14=$Y11,$Y14=$Y10,$Y14=$Y9,$Y14=$Y7)," ",IF(Q14=0," ",Q14))</f>
        <v xml:space="preserve"> </v>
      </c>
      <c r="AA14" s="113" t="str">
        <f>IF(OR($Y14=$Y12,$Y14=$Y13,$Y14=$Y11,$Y14=$Y10,$Y14=$Y9,$Y14=$Y7)," ",IF(R14=0," ",R14))</f>
        <v xml:space="preserve"> </v>
      </c>
      <c r="AB14" s="113" t="str">
        <f>IF(OR($Y14=$Y12,$Y14=$Y13,$Y14=$Y11,$Y14=$Y10,$Y14=$Y9,$Y14=$Y7)," ",IF(S14=0," ",S14))</f>
        <v xml:space="preserve"> </v>
      </c>
      <c r="AC14" s="113" t="str">
        <f>IF(OR($Y14=$Y12,$Y14=$Y13,$Y14=$Y11,$Y14=$Y10,$Y14=$Y9,$Y14=$Y7)," ",IF(T14=0," ",T14))</f>
        <v xml:space="preserve"> </v>
      </c>
      <c r="AD14" s="113" t="str">
        <f t="shared" si="9"/>
        <v xml:space="preserve"> </v>
      </c>
      <c r="AE14" s="113" t="str">
        <f t="shared" si="9"/>
        <v xml:space="preserve"> </v>
      </c>
      <c r="AF14" s="113" t="str">
        <f t="shared" si="9"/>
        <v xml:space="preserve"> </v>
      </c>
    </row>
    <row r="15" spans="1:35">
      <c r="A15" s="5" t="s">
        <v>40</v>
      </c>
      <c r="D15" s="147"/>
      <c r="E15" s="147"/>
      <c r="F15" s="147"/>
      <c r="G15" s="147"/>
      <c r="H15" s="147"/>
      <c r="I15" s="3"/>
      <c r="J15" s="247"/>
      <c r="K15" s="248"/>
      <c r="L15" s="249"/>
      <c r="M15" s="146"/>
      <c r="N15" s="146"/>
      <c r="O15" s="3"/>
    </row>
    <row r="16" spans="1:35">
      <c r="D16" s="147"/>
      <c r="E16" s="147"/>
      <c r="F16" s="147"/>
      <c r="G16" s="147"/>
      <c r="H16" s="147"/>
      <c r="J16" s="247"/>
      <c r="K16" s="248"/>
      <c r="L16" s="249"/>
      <c r="M16" s="146"/>
      <c r="N16" s="146"/>
      <c r="O16" s="3"/>
    </row>
    <row r="17" spans="1:15">
      <c r="A17" s="5" t="s">
        <v>41</v>
      </c>
      <c r="D17" s="147"/>
      <c r="E17" s="147"/>
      <c r="F17" s="147"/>
      <c r="G17" s="147"/>
      <c r="H17" s="147"/>
      <c r="J17" s="247"/>
      <c r="K17" s="248"/>
      <c r="L17" s="249"/>
      <c r="M17" s="146"/>
      <c r="N17" s="146"/>
      <c r="O17" s="3"/>
    </row>
    <row r="18" spans="1:15">
      <c r="D18" s="147"/>
      <c r="E18" s="147"/>
      <c r="F18" s="147"/>
      <c r="G18" s="147"/>
      <c r="H18" s="147"/>
      <c r="J18" s="247"/>
      <c r="K18" s="248"/>
      <c r="L18" s="249"/>
      <c r="M18" s="146"/>
      <c r="N18" s="146"/>
      <c r="O18" s="3"/>
    </row>
    <row r="19" spans="1:15">
      <c r="A19" s="5" t="s">
        <v>42</v>
      </c>
      <c r="D19" s="147"/>
      <c r="E19" s="147"/>
      <c r="F19" s="147"/>
      <c r="G19" s="147"/>
      <c r="H19" s="147"/>
      <c r="J19" s="247"/>
      <c r="K19" s="248"/>
      <c r="L19" s="249"/>
      <c r="M19" s="146"/>
      <c r="N19" s="146"/>
      <c r="O19" s="3"/>
    </row>
    <row r="20" spans="1:15">
      <c r="D20" s="147"/>
      <c r="E20" s="147"/>
      <c r="F20" s="147"/>
      <c r="G20" s="147"/>
      <c r="H20" s="147"/>
      <c r="J20" s="247"/>
      <c r="K20" s="248"/>
      <c r="L20" s="249"/>
      <c r="M20" s="146"/>
      <c r="N20" s="146"/>
      <c r="O20" s="3"/>
    </row>
    <row r="21" spans="1:15">
      <c r="A21" s="5" t="s">
        <v>43</v>
      </c>
      <c r="D21" s="147"/>
      <c r="E21" s="147"/>
      <c r="F21" s="147"/>
      <c r="G21" s="147"/>
      <c r="H21" s="147"/>
      <c r="J21" s="247"/>
      <c r="K21" s="248"/>
      <c r="L21" s="249"/>
      <c r="M21" s="146"/>
      <c r="N21" s="146"/>
      <c r="O21" s="3"/>
    </row>
    <row r="22" spans="1:15">
      <c r="A22" s="147"/>
      <c r="B22" s="147"/>
      <c r="C22" s="147"/>
      <c r="D22" s="147"/>
      <c r="E22" s="147"/>
      <c r="F22" s="147"/>
      <c r="G22" s="147"/>
      <c r="H22" s="147"/>
      <c r="J22" s="247"/>
      <c r="K22" s="248"/>
      <c r="L22" s="249"/>
      <c r="M22" s="146"/>
      <c r="N22" s="146"/>
      <c r="O22" s="3"/>
    </row>
    <row r="73" spans="9:9">
      <c r="I73" s="147"/>
    </row>
    <row r="74" spans="9:9">
      <c r="I74" s="147"/>
    </row>
    <row r="75" spans="9:9">
      <c r="I75" s="147"/>
    </row>
    <row r="76" spans="9:9">
      <c r="I76" s="147"/>
    </row>
    <row r="77" spans="9:9">
      <c r="I77" s="147"/>
    </row>
    <row r="78" spans="9:9">
      <c r="I78" s="147"/>
    </row>
    <row r="79" spans="9:9">
      <c r="I79" s="147"/>
    </row>
    <row r="80" spans="9:9">
      <c r="I80" s="147"/>
    </row>
    <row r="81" spans="9:9">
      <c r="I81" s="147"/>
    </row>
    <row r="82" spans="9:9">
      <c r="I82" s="147"/>
    </row>
    <row r="83" spans="9:9">
      <c r="I83" s="147"/>
    </row>
    <row r="84" spans="9:9">
      <c r="I84" s="147"/>
    </row>
    <row r="85" spans="9:9">
      <c r="I85" s="147"/>
    </row>
    <row r="86" spans="9:9">
      <c r="I86" s="147"/>
    </row>
    <row r="87" spans="9:9">
      <c r="I87" s="147"/>
    </row>
    <row r="88" spans="9:9">
      <c r="I88" s="147"/>
    </row>
    <row r="89" spans="9:9">
      <c r="I89" s="147"/>
    </row>
    <row r="90" spans="9:9">
      <c r="I90" s="147"/>
    </row>
    <row r="91" spans="9:9">
      <c r="I91" s="147"/>
    </row>
    <row r="92" spans="9:9">
      <c r="I92" s="147"/>
    </row>
    <row r="93" spans="9:9">
      <c r="I93" s="147"/>
    </row>
    <row r="94" spans="9:9">
      <c r="I94" s="147"/>
    </row>
    <row r="95" spans="9:9">
      <c r="I95" s="147"/>
    </row>
    <row r="96" spans="9:9">
      <c r="I96" s="147"/>
    </row>
    <row r="97" spans="9:9">
      <c r="I97" s="147"/>
    </row>
    <row r="98" spans="9:9">
      <c r="I98" s="147"/>
    </row>
    <row r="99" spans="9:9">
      <c r="I99" s="147"/>
    </row>
    <row r="100" spans="9:9">
      <c r="I100" s="147"/>
    </row>
    <row r="101" spans="9:9">
      <c r="I101" s="147"/>
    </row>
    <row r="102" spans="9:9">
      <c r="I102" s="147"/>
    </row>
    <row r="103" spans="9:9">
      <c r="I103" s="147"/>
    </row>
    <row r="104" spans="9:9">
      <c r="I104" s="147"/>
    </row>
    <row r="105" spans="9:9">
      <c r="I105" s="147"/>
    </row>
    <row r="106" spans="9:9">
      <c r="I106" s="147"/>
    </row>
    <row r="107" spans="9:9">
      <c r="I107" s="147"/>
    </row>
    <row r="108" spans="9:9">
      <c r="I108" s="147"/>
    </row>
    <row r="109" spans="9:9">
      <c r="I109" s="147"/>
    </row>
    <row r="110" spans="9:9">
      <c r="I110" s="147"/>
    </row>
    <row r="111" spans="9:9">
      <c r="I111" s="147"/>
    </row>
    <row r="112" spans="9:9">
      <c r="I112" s="147"/>
    </row>
    <row r="113" spans="9:9">
      <c r="I113" s="147"/>
    </row>
    <row r="114" spans="9:9">
      <c r="I114" s="147"/>
    </row>
    <row r="115" spans="9:9">
      <c r="I115" s="147"/>
    </row>
    <row r="116" spans="9:9">
      <c r="I116" s="147"/>
    </row>
    <row r="117" spans="9:9">
      <c r="I117" s="147"/>
    </row>
    <row r="118" spans="9:9">
      <c r="I118" s="147"/>
    </row>
    <row r="119" spans="9:9">
      <c r="I119" s="147"/>
    </row>
    <row r="120" spans="9:9">
      <c r="I120" s="147"/>
    </row>
    <row r="121" spans="9:9">
      <c r="I121" s="147"/>
    </row>
    <row r="122" spans="9:9">
      <c r="I122" s="147"/>
    </row>
    <row r="123" spans="9:9">
      <c r="I123" s="147"/>
    </row>
    <row r="124" spans="9:9">
      <c r="I124" s="147"/>
    </row>
    <row r="125" spans="9:9">
      <c r="I125" s="147"/>
    </row>
    <row r="126" spans="9:9">
      <c r="I126" s="147"/>
    </row>
    <row r="127" spans="9:9">
      <c r="I127" s="147"/>
    </row>
    <row r="128" spans="9:9">
      <c r="I128" s="147"/>
    </row>
    <row r="129" spans="9:9">
      <c r="I129" s="147"/>
    </row>
    <row r="130" spans="9:9">
      <c r="I130" s="147"/>
    </row>
    <row r="131" spans="9:9">
      <c r="I131" s="147"/>
    </row>
    <row r="132" spans="9:9">
      <c r="I132" s="147"/>
    </row>
    <row r="133" spans="9:9">
      <c r="I133" s="147"/>
    </row>
    <row r="134" spans="9:9">
      <c r="I134" s="14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885825</xdr:colOff>
                    <xdr:row>5</xdr:row>
                    <xdr:rowOff>0</xdr:rowOff>
                  </from>
                  <to>
                    <xdr:col>5</xdr:col>
                    <xdr:colOff>1057275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200025</xdr:colOff>
                    <xdr:row>3</xdr:row>
                    <xdr:rowOff>28575</xdr:rowOff>
                  </from>
                  <to>
                    <xdr:col>1</xdr:col>
                    <xdr:colOff>361950</xdr:colOff>
                    <xdr:row>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  <pageSetUpPr fitToPage="1"/>
  </sheetPr>
  <dimension ref="A1:AB37"/>
  <sheetViews>
    <sheetView topLeftCell="A11" workbookViewId="0">
      <selection sqref="A1:U33"/>
    </sheetView>
  </sheetViews>
  <sheetFormatPr defaultRowHeight="12.75"/>
  <cols>
    <col min="1" max="1" width="4.85546875" customWidth="1"/>
    <col min="2" max="2" width="17.5703125" customWidth="1"/>
    <col min="3" max="3" width="10.5703125" customWidth="1"/>
    <col min="4" max="4" width="9.5703125" customWidth="1"/>
    <col min="5" max="17" width="4.7109375" customWidth="1"/>
    <col min="18" max="18" width="17.5703125" customWidth="1"/>
    <col min="19" max="19" width="10.5703125" customWidth="1"/>
    <col min="20" max="20" width="9.5703125" customWidth="1"/>
    <col min="21" max="21" width="4.7109375" customWidth="1"/>
    <col min="23" max="23" width="9.140625" customWidth="1"/>
    <col min="24" max="24" width="0" hidden="1" customWidth="1"/>
    <col min="25" max="25" width="5.7109375" hidden="1" customWidth="1"/>
    <col min="26" max="26" width="2.7109375" hidden="1" customWidth="1"/>
    <col min="27" max="27" width="0" hidden="1" customWidth="1"/>
  </cols>
  <sheetData>
    <row r="1" spans="1:28" ht="24.75" customHeight="1">
      <c r="A1" s="277" t="s">
        <v>24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X1" s="111"/>
      <c r="Y1" s="111"/>
      <c r="Z1" s="111"/>
      <c r="AA1" s="111"/>
    </row>
    <row r="2" spans="1:28" ht="26.25" customHeight="1" thickBot="1">
      <c r="A2" s="85"/>
      <c r="B2" s="85"/>
      <c r="C2" s="278" t="s">
        <v>23</v>
      </c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85"/>
      <c r="T2" s="85"/>
      <c r="U2" s="85"/>
      <c r="X2" s="111"/>
      <c r="Y2" s="111"/>
      <c r="Z2" s="111"/>
      <c r="AA2" s="111"/>
    </row>
    <row r="3" spans="1:28" ht="36" customHeight="1" thickBot="1">
      <c r="A3" s="85"/>
      <c r="B3" s="85"/>
      <c r="C3" s="258" t="str">
        <f>пр.взв!B2</f>
        <v>Всероссийские соревнования по спортивному и боевому самбо среди мужчин на призы УФСИН России</v>
      </c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  <c r="R3" s="260"/>
      <c r="S3" s="85"/>
      <c r="T3" s="85"/>
      <c r="U3" s="85"/>
      <c r="X3" s="111"/>
      <c r="Y3" s="111"/>
      <c r="Z3" s="111"/>
      <c r="AA3" s="111"/>
    </row>
    <row r="4" spans="1:28" ht="26.25" customHeight="1" thickBot="1">
      <c r="A4" s="34"/>
      <c r="B4" s="34"/>
      <c r="C4" s="261" t="str">
        <f>пр.взв!A3</f>
        <v>20-22 апреля 2019 г           г.Тверь</v>
      </c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85"/>
      <c r="T4" s="85"/>
      <c r="U4" s="85"/>
      <c r="X4" s="111"/>
      <c r="Y4" s="111"/>
      <c r="Z4" s="111"/>
      <c r="AA4" s="111"/>
    </row>
    <row r="5" spans="1:28" ht="21" customHeight="1" thickBot="1">
      <c r="A5" s="85"/>
      <c r="B5" s="85"/>
      <c r="C5" s="85"/>
      <c r="D5" s="85"/>
      <c r="E5" s="85"/>
      <c r="F5" s="85"/>
      <c r="G5" s="85"/>
      <c r="H5" s="252" t="str">
        <f>HYPERLINK(пр.взв!D4)</f>
        <v>В.к. 62б  кг.</v>
      </c>
      <c r="I5" s="253"/>
      <c r="J5" s="253"/>
      <c r="K5" s="253"/>
      <c r="L5" s="253"/>
      <c r="M5" s="253"/>
      <c r="N5" s="254"/>
      <c r="O5" s="274" t="str">
        <f>W5&amp;" "&amp;AB5</f>
        <v>4 участников</v>
      </c>
      <c r="P5" s="275"/>
      <c r="Q5" s="276"/>
      <c r="R5" s="149"/>
      <c r="S5" s="85"/>
      <c r="T5" s="85"/>
      <c r="U5" s="85"/>
      <c r="W5">
        <f>пр.взв!AH7</f>
        <v>4</v>
      </c>
      <c r="X5" s="111"/>
      <c r="Y5" s="111"/>
      <c r="Z5" s="111"/>
      <c r="AA5" s="111"/>
      <c r="AB5" s="5" t="s">
        <v>77</v>
      </c>
    </row>
    <row r="6" spans="1:28" ht="15" customHeight="1">
      <c r="A6" s="85"/>
      <c r="B6" s="85"/>
      <c r="C6" s="85"/>
      <c r="D6" s="85"/>
      <c r="E6" s="150"/>
      <c r="F6" s="150"/>
      <c r="G6" s="150"/>
      <c r="H6" s="62"/>
      <c r="I6" s="63"/>
      <c r="J6" s="63"/>
      <c r="K6" s="63"/>
      <c r="L6" s="63"/>
      <c r="M6" s="63"/>
      <c r="N6" s="150"/>
      <c r="O6" s="150"/>
      <c r="P6" s="150"/>
      <c r="Q6" s="150"/>
      <c r="R6" s="85"/>
      <c r="S6" s="85"/>
      <c r="T6" s="85"/>
      <c r="U6" s="85"/>
      <c r="X6" s="111"/>
      <c r="Y6" s="111"/>
      <c r="Z6" s="111"/>
      <c r="AA6" s="111"/>
    </row>
    <row r="7" spans="1:28" ht="18" customHeight="1" thickBot="1">
      <c r="A7" s="287" t="s">
        <v>0</v>
      </c>
      <c r="B7" s="287"/>
      <c r="C7" s="85"/>
      <c r="D7" s="85"/>
      <c r="E7" s="77"/>
      <c r="F7" s="77"/>
      <c r="G7" s="77"/>
      <c r="H7" s="77"/>
      <c r="I7" s="255" t="s">
        <v>18</v>
      </c>
      <c r="J7" s="255"/>
      <c r="K7" s="255"/>
      <c r="L7" s="255"/>
      <c r="M7" s="255"/>
      <c r="N7" s="77"/>
      <c r="O7" s="77"/>
      <c r="P7" s="77"/>
      <c r="Q7" s="64"/>
      <c r="R7" s="26"/>
      <c r="S7" s="86"/>
      <c r="T7" s="282" t="s">
        <v>1</v>
      </c>
      <c r="U7" s="282"/>
      <c r="X7" s="111"/>
      <c r="Y7" s="111"/>
      <c r="Z7" s="111"/>
      <c r="AA7" s="111"/>
    </row>
    <row r="8" spans="1:28" ht="12.75" customHeight="1" thickBot="1">
      <c r="A8" s="288">
        <v>1</v>
      </c>
      <c r="B8" s="285" t="str">
        <f>IFERROR(VLOOKUP(пр.хода!A8,пр.взв!$B$7:$H$14,2,0),"")</f>
        <v>Айболатов Умар Самаилович</v>
      </c>
      <c r="C8" s="283" t="str">
        <f>IFERROR(VLOOKUP(A8,пр.взв!$B$7:$H$14,3,0),"")</f>
        <v>28.02.00, кмс</v>
      </c>
      <c r="D8" s="283" t="str">
        <f>IFERROR(VLOOKUP(A8,пр.взв!$B$7:$H$14,5,0),"")</f>
        <v>Тверская, Тверь</v>
      </c>
      <c r="E8" s="77"/>
      <c r="F8" s="77"/>
      <c r="G8" s="77"/>
      <c r="H8" s="77"/>
      <c r="I8" s="77" t="s">
        <v>26</v>
      </c>
      <c r="J8" s="77"/>
      <c r="K8" s="77"/>
      <c r="L8" s="77"/>
      <c r="M8" s="77"/>
      <c r="N8" s="77"/>
      <c r="O8" s="77"/>
      <c r="P8" s="77"/>
      <c r="Q8" s="77"/>
      <c r="R8" s="285" t="str">
        <f>IFERROR(VLOOKUP(U8,пр.взв!$B$7:$H$14,2,0),"")</f>
        <v>Чилаев Хушбахт Улфатчоевич</v>
      </c>
      <c r="S8" s="283" t="str">
        <f>IFERROR(VLOOKUP(U8,пр.взв!$B$7:$H$14,3,0),"")</f>
        <v>06.05.95, кмс</v>
      </c>
      <c r="T8" s="283" t="str">
        <f>IFERROR(VLOOKUP(U8,пр.взв!$B$7:$H$14,5,0),"")</f>
        <v>Тверская, Тверь</v>
      </c>
      <c r="U8" s="279">
        <v>2</v>
      </c>
      <c r="X8" s="111"/>
      <c r="Y8" s="111"/>
      <c r="Z8" s="111"/>
      <c r="AA8" s="111"/>
    </row>
    <row r="9" spans="1:28" ht="12.75" customHeight="1">
      <c r="A9" s="289"/>
      <c r="B9" s="286"/>
      <c r="C9" s="284"/>
      <c r="D9" s="284"/>
      <c r="E9" s="65">
        <v>1</v>
      </c>
      <c r="F9" s="77"/>
      <c r="G9" s="78"/>
      <c r="H9" s="52">
        <v>2</v>
      </c>
      <c r="I9" s="290" t="str">
        <f>IFERROR(VLOOKUP(H9,пр.взв!$B$7:$H$14,2,0),"")</f>
        <v>Чилаев Хушбахт Улфатчоевич</v>
      </c>
      <c r="J9" s="291"/>
      <c r="K9" s="291"/>
      <c r="L9" s="291"/>
      <c r="M9" s="292"/>
      <c r="N9" s="77"/>
      <c r="O9" s="77"/>
      <c r="P9" s="77"/>
      <c r="Q9" s="65">
        <v>2</v>
      </c>
      <c r="R9" s="286"/>
      <c r="S9" s="284"/>
      <c r="T9" s="284"/>
      <c r="U9" s="280"/>
      <c r="X9" s="111"/>
      <c r="Y9" s="111"/>
      <c r="Z9" s="111"/>
      <c r="AA9" s="111"/>
    </row>
    <row r="10" spans="1:28" ht="12.75" customHeight="1" thickBot="1">
      <c r="A10" s="298">
        <v>5</v>
      </c>
      <c r="B10" s="264">
        <f>IFERROR(VLOOKUP(пр.хода!A10,пр.взв!$B$7:$H$14,2,0),"")</f>
        <v>0</v>
      </c>
      <c r="C10" s="256">
        <f>IFERROR(VLOOKUP(A10,пр.взв!$B$7:$H$14,3,0),"")</f>
        <v>0</v>
      </c>
      <c r="D10" s="256">
        <f>IFERROR(VLOOKUP(A10,пр.взв!$B$7:$H$14,5,0),"")</f>
        <v>0</v>
      </c>
      <c r="E10" s="69"/>
      <c r="F10" s="79"/>
      <c r="G10" s="80"/>
      <c r="H10" s="81"/>
      <c r="I10" s="293"/>
      <c r="J10" s="294"/>
      <c r="K10" s="294"/>
      <c r="L10" s="294"/>
      <c r="M10" s="295"/>
      <c r="N10" s="77"/>
      <c r="O10" s="82"/>
      <c r="P10" s="79"/>
      <c r="Q10" s="69"/>
      <c r="R10" s="264">
        <f>IFERROR(VLOOKUP(U10,пр.взв!$B$7:$H$14,2,0),"")</f>
        <v>0</v>
      </c>
      <c r="S10" s="256">
        <f>IFERROR(VLOOKUP(U10,пр.взв!$B$7:$H$14,3,0),"")</f>
        <v>0</v>
      </c>
      <c r="T10" s="256">
        <f>IFERROR(VLOOKUP(U10,пр.взв!$B$7:$H$14,5,0),"")</f>
        <v>0</v>
      </c>
      <c r="U10" s="279">
        <v>6</v>
      </c>
      <c r="X10" s="111"/>
      <c r="Y10" s="111"/>
      <c r="Z10" s="111"/>
      <c r="AA10" s="111"/>
    </row>
    <row r="11" spans="1:28" ht="12.75" customHeight="1" thickBot="1">
      <c r="A11" s="289"/>
      <c r="B11" s="265"/>
      <c r="C11" s="257"/>
      <c r="D11" s="257"/>
      <c r="E11" s="77"/>
      <c r="F11" s="81"/>
      <c r="G11" s="65">
        <v>1</v>
      </c>
      <c r="H11" s="83"/>
      <c r="I11" s="77"/>
      <c r="J11" s="77"/>
      <c r="K11" s="70"/>
      <c r="L11" s="77"/>
      <c r="M11" s="77"/>
      <c r="N11" s="81"/>
      <c r="O11" s="65">
        <v>2</v>
      </c>
      <c r="P11" s="81"/>
      <c r="Q11" s="77"/>
      <c r="R11" s="265"/>
      <c r="S11" s="257"/>
      <c r="T11" s="257"/>
      <c r="U11" s="280"/>
      <c r="X11" s="111"/>
      <c r="Y11" s="111"/>
      <c r="Z11" s="111"/>
      <c r="AA11" s="111"/>
    </row>
    <row r="12" spans="1:28" ht="12.75" customHeight="1" thickBot="1">
      <c r="A12" s="288">
        <v>3</v>
      </c>
      <c r="B12" s="262" t="str">
        <f>IFERROR(VLOOKUP(пр.хода!A12,пр.взв!$B$7:$H$14,2,0),"")</f>
        <v>Перваков Кирилл Андреевич</v>
      </c>
      <c r="C12" s="272" t="str">
        <f>IFERROR(VLOOKUP(A12,пр.взв!$B$7:$H$14,3,0),"")</f>
        <v>26.06.98, кмс</v>
      </c>
      <c r="D12" s="272" t="str">
        <f>IFERROR(VLOOKUP(A12,пр.взв!$B$7:$H$14,5,0),"")</f>
        <v>Кировская, Киров</v>
      </c>
      <c r="E12" s="77"/>
      <c r="F12" s="81"/>
      <c r="G12" s="69" t="s">
        <v>96</v>
      </c>
      <c r="H12" s="83"/>
      <c r="I12" s="77"/>
      <c r="J12" s="77"/>
      <c r="K12" s="77"/>
      <c r="L12" s="77"/>
      <c r="M12" s="77"/>
      <c r="N12" s="81"/>
      <c r="O12" s="69" t="s">
        <v>97</v>
      </c>
      <c r="P12" s="81"/>
      <c r="Q12" s="77"/>
      <c r="R12" s="262" t="str">
        <f>IFERROR(VLOOKUP(U12,пр.взв!$B$7:$H$14,2,0),"")</f>
        <v>Джумбулов Давлатиер Худоерович</v>
      </c>
      <c r="S12" s="272" t="str">
        <f>IFERROR(VLOOKUP(U12,пр.взв!$B$7:$H$14,3,0),"")</f>
        <v>08.11.98, кмс</v>
      </c>
      <c r="T12" s="272" t="str">
        <f>IFERROR(VLOOKUP(U12,пр.взв!$B$7:$H$14,5,0),"")</f>
        <v>Тверская, Тверь</v>
      </c>
      <c r="U12" s="281">
        <v>4</v>
      </c>
      <c r="X12" s="111"/>
      <c r="Y12" s="111"/>
      <c r="Z12" s="111"/>
      <c r="AA12" s="111"/>
    </row>
    <row r="13" spans="1:28" ht="12.75" customHeight="1" thickBot="1">
      <c r="A13" s="289"/>
      <c r="B13" s="263"/>
      <c r="C13" s="273"/>
      <c r="D13" s="273"/>
      <c r="E13" s="65">
        <v>3</v>
      </c>
      <c r="F13" s="84"/>
      <c r="G13" s="80"/>
      <c r="H13" s="81"/>
      <c r="I13" s="77" t="s">
        <v>27</v>
      </c>
      <c r="J13" s="77"/>
      <c r="K13" s="77"/>
      <c r="L13" s="77"/>
      <c r="M13" s="77"/>
      <c r="N13" s="81"/>
      <c r="O13" s="82"/>
      <c r="P13" s="84"/>
      <c r="Q13" s="65">
        <v>4</v>
      </c>
      <c r="R13" s="263"/>
      <c r="S13" s="273"/>
      <c r="T13" s="273"/>
      <c r="U13" s="280"/>
      <c r="X13" s="111"/>
      <c r="Y13" s="111"/>
      <c r="Z13" s="111"/>
      <c r="AA13" s="111"/>
    </row>
    <row r="14" spans="1:28" ht="12.75" customHeight="1" thickBot="1">
      <c r="A14" s="298">
        <v>7</v>
      </c>
      <c r="B14" s="264">
        <f>IFERROR(VLOOKUP(пр.хода!A14,пр.взв!$B$7:$H$14,2,0),"")</f>
        <v>0</v>
      </c>
      <c r="C14" s="256">
        <f>IFERROR(VLOOKUP(A14,пр.взв!$B$7:$H$14,3,0),"")</f>
        <v>0</v>
      </c>
      <c r="D14" s="256">
        <f>IFERROR(VLOOKUP(A14,пр.взв!$B$7:$H$14,5,0),"")</f>
        <v>0</v>
      </c>
      <c r="E14" s="69"/>
      <c r="F14" s="77"/>
      <c r="G14" s="78"/>
      <c r="H14" s="52">
        <f>Y25</f>
        <v>1</v>
      </c>
      <c r="I14" s="266" t="str">
        <f>IFERROR(VLOOKUP(H14,пр.взв!$B$7:$H$14,2,0),"")</f>
        <v>Айболатов Умар Самаилович</v>
      </c>
      <c r="J14" s="267"/>
      <c r="K14" s="267"/>
      <c r="L14" s="267"/>
      <c r="M14" s="268"/>
      <c r="N14" s="77"/>
      <c r="O14" s="77"/>
      <c r="P14" s="77"/>
      <c r="Q14" s="69"/>
      <c r="R14" s="264">
        <f>IFERROR(VLOOKUP(U14,пр.взв!$B$7:$H$14,2,0),"")</f>
        <v>0</v>
      </c>
      <c r="S14" s="256">
        <f>IFERROR(VLOOKUP(U14,пр.взв!$B$7:$H$14,3,0),"")</f>
        <v>0</v>
      </c>
      <c r="T14" s="256">
        <f>IFERROR(VLOOKUP(U14,пр.взв!$B$7:$H$14,5,0),"")</f>
        <v>0</v>
      </c>
      <c r="U14" s="279">
        <v>8</v>
      </c>
      <c r="X14" s="111"/>
      <c r="Y14" s="111"/>
      <c r="Z14" s="111"/>
      <c r="AA14" s="111"/>
    </row>
    <row r="15" spans="1:28" ht="12.75" customHeight="1" thickBot="1">
      <c r="A15" s="307"/>
      <c r="B15" s="265"/>
      <c r="C15" s="257"/>
      <c r="D15" s="257"/>
      <c r="E15" s="77"/>
      <c r="F15" s="77"/>
      <c r="G15" s="78"/>
      <c r="H15" s="81"/>
      <c r="I15" s="269"/>
      <c r="J15" s="270"/>
      <c r="K15" s="270"/>
      <c r="L15" s="270"/>
      <c r="M15" s="271"/>
      <c r="N15" s="77"/>
      <c r="O15" s="77"/>
      <c r="P15" s="77"/>
      <c r="Q15" s="77"/>
      <c r="R15" s="265"/>
      <c r="S15" s="257"/>
      <c r="T15" s="257"/>
      <c r="U15" s="297"/>
      <c r="X15" s="111"/>
      <c r="Y15" s="111"/>
      <c r="Z15" s="111"/>
      <c r="AA15" s="111"/>
    </row>
    <row r="16" spans="1:28" ht="12.75" customHeight="1">
      <c r="A16" s="151"/>
      <c r="B16" s="151"/>
      <c r="C16" s="151"/>
      <c r="D16" s="85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86"/>
      <c r="S16" s="86"/>
      <c r="T16" s="86"/>
      <c r="U16" s="152"/>
      <c r="X16" s="111"/>
      <c r="Y16" s="111"/>
      <c r="Z16" s="111"/>
      <c r="AA16" s="111"/>
    </row>
    <row r="17" spans="1:27" ht="12" hidden="1" customHeight="1">
      <c r="A17" s="306" t="s">
        <v>2</v>
      </c>
      <c r="B17" s="85"/>
      <c r="C17" s="85"/>
      <c r="D17" s="85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296" t="s">
        <v>3</v>
      </c>
      <c r="X17" s="111"/>
      <c r="Y17" s="111"/>
      <c r="Z17" s="111"/>
      <c r="AA17" s="111"/>
    </row>
    <row r="18" spans="1:27" ht="12.75" hidden="1" customHeight="1">
      <c r="A18" s="306"/>
      <c r="B18" s="85"/>
      <c r="C18" s="85"/>
      <c r="D18" s="85"/>
      <c r="E18" s="85"/>
      <c r="F18" s="85"/>
      <c r="G18" s="251" t="s">
        <v>25</v>
      </c>
      <c r="H18" s="251"/>
      <c r="I18" s="251"/>
      <c r="J18" s="251"/>
      <c r="K18" s="251"/>
      <c r="L18" s="251"/>
      <c r="M18" s="251"/>
      <c r="N18" s="251"/>
      <c r="O18" s="251"/>
      <c r="P18" s="85"/>
      <c r="Q18" s="85"/>
      <c r="R18" s="86"/>
      <c r="S18" s="86"/>
      <c r="T18" s="86"/>
      <c r="U18" s="296"/>
      <c r="X18" s="111"/>
      <c r="Y18" s="111" t="s">
        <v>61</v>
      </c>
      <c r="Z18" s="111" t="s">
        <v>62</v>
      </c>
      <c r="AA18" s="111"/>
    </row>
    <row r="19" spans="1:27" ht="12.75" customHeight="1">
      <c r="A19" s="85"/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6"/>
      <c r="S19" s="85"/>
      <c r="T19" s="86"/>
      <c r="U19" s="85"/>
      <c r="V19" s="85"/>
      <c r="X19" s="106"/>
      <c r="Y19" s="107">
        <f>IF(G11="","",IF(G11=E9,E13,E9))</f>
        <v>3</v>
      </c>
      <c r="Z19" s="108"/>
      <c r="AA19" s="106"/>
    </row>
    <row r="20" spans="1:27" ht="12.75" customHeight="1">
      <c r="A20" s="202"/>
      <c r="B20" s="202"/>
      <c r="C20" s="202"/>
      <c r="D20" s="202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207"/>
      <c r="S20" s="202"/>
      <c r="T20" s="202"/>
      <c r="U20" s="202"/>
      <c r="V20" s="85"/>
      <c r="X20" s="106"/>
      <c r="Y20" s="107">
        <f>IF(O11="","",IF(O11=Q9,Q13,Q9))</f>
        <v>4</v>
      </c>
      <c r="Z20" s="108"/>
      <c r="AA20" s="106"/>
    </row>
    <row r="21" spans="1:27" ht="12.75" customHeight="1">
      <c r="A21" s="203">
        <f>Y21</f>
        <v>5</v>
      </c>
      <c r="B21" s="250">
        <f>IFERROR(VLOOKUP(A21,пр.взв!$B$7:$H$14,2,0),"")</f>
        <v>0</v>
      </c>
      <c r="C21" s="202"/>
      <c r="D21" s="202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207"/>
      <c r="S21" s="250">
        <f>IFERROR(VLOOKUP(U21,пр.взв!$B$7:$H$14,2,0),"")</f>
        <v>0</v>
      </c>
      <c r="T21" s="250"/>
      <c r="U21" s="210">
        <f>Y22</f>
        <v>6</v>
      </c>
      <c r="V21" s="85"/>
      <c r="X21" s="106"/>
      <c r="Y21" s="107">
        <f>IF(A10=""," ",IF(E9=""," ",IF(E9=A8,A10,IF(E9=A10,A8,"Х"))))</f>
        <v>5</v>
      </c>
      <c r="Z21" s="108" t="str">
        <f>IF(C22=""," ",IF(C22=E25,B27,C22))</f>
        <v xml:space="preserve"> </v>
      </c>
      <c r="AA21" s="106"/>
    </row>
    <row r="22" spans="1:27" ht="12.75" customHeight="1">
      <c r="A22" s="203"/>
      <c r="B22" s="250"/>
      <c r="C22" s="204"/>
      <c r="D22" s="202"/>
      <c r="E22" s="85"/>
      <c r="F22" s="85"/>
      <c r="G22" s="85"/>
      <c r="H22" s="85"/>
      <c r="I22" s="85"/>
      <c r="J22" s="87"/>
      <c r="K22" s="85"/>
      <c r="L22" s="85"/>
      <c r="M22" s="85"/>
      <c r="N22" s="85"/>
      <c r="O22" s="85"/>
      <c r="P22" s="85"/>
      <c r="Q22" s="85"/>
      <c r="R22" s="213"/>
      <c r="S22" s="250"/>
      <c r="T22" s="250"/>
      <c r="U22" s="210"/>
      <c r="V22" s="85"/>
      <c r="X22" s="106"/>
      <c r="Y22" s="107">
        <f>IF(U10=""," ",IF(Q9=""," ",IF(Q9=U8,U10,IF(Q9=U10,U8,"Х"))))</f>
        <v>6</v>
      </c>
      <c r="Z22" s="108" t="str">
        <f>IF(R22=""," ",IF(R22=Q25,S27,R22))</f>
        <v xml:space="preserve"> </v>
      </c>
      <c r="AA22" s="106"/>
    </row>
    <row r="23" spans="1:27" ht="12.75" customHeight="1">
      <c r="A23" s="203">
        <f>Y23</f>
        <v>7</v>
      </c>
      <c r="B23" s="250">
        <f>IFERROR(VLOOKUP(A23,пр.взв!$B$7:$H$14,2,0),"")</f>
        <v>0</v>
      </c>
      <c r="C23" s="205"/>
      <c r="D23" s="202"/>
      <c r="E23" s="85"/>
      <c r="F23" s="85"/>
      <c r="G23" s="85" t="s">
        <v>39</v>
      </c>
      <c r="H23" s="85"/>
      <c r="I23" s="85"/>
      <c r="J23" s="87"/>
      <c r="K23" s="85"/>
      <c r="L23" s="85"/>
      <c r="M23" s="85"/>
      <c r="N23" s="85" t="s">
        <v>39</v>
      </c>
      <c r="O23" s="85"/>
      <c r="P23" s="85"/>
      <c r="Q23" s="85"/>
      <c r="R23" s="205"/>
      <c r="S23" s="250">
        <f>IFERROR(VLOOKUP(U23,пр.взв!$B$7:$H$14,2,0),"")</f>
        <v>0</v>
      </c>
      <c r="T23" s="250"/>
      <c r="U23" s="210">
        <f>Y24</f>
        <v>8</v>
      </c>
      <c r="V23" s="85"/>
      <c r="X23" s="106"/>
      <c r="Y23" s="107">
        <f>IF(A14=""," ",IF(E13=""," ",IF(E13=A12,A14,IF(E13=A14,A12,"Х"))))</f>
        <v>7</v>
      </c>
      <c r="Z23" s="108">
        <f>IF(A23="","",IF(A23=C22,A21,A23))</f>
        <v>7</v>
      </c>
      <c r="AA23" s="106"/>
    </row>
    <row r="24" spans="1:27" ht="13.5" thickBot="1">
      <c r="A24" s="206"/>
      <c r="B24" s="250"/>
      <c r="C24" s="202"/>
      <c r="D24" s="202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202"/>
      <c r="S24" s="250"/>
      <c r="T24" s="250"/>
      <c r="U24" s="210"/>
      <c r="V24" s="85"/>
      <c r="X24" s="106"/>
      <c r="Y24" s="107">
        <f>IF(U14=""," ",IF(Q13=""," ",IF(Q13=U12,U14,IF(Q13=U14,U12,"Х"))))</f>
        <v>8</v>
      </c>
      <c r="Z24" s="108">
        <f>IF(U23="","",IF(U23=R22,U21,U23))</f>
        <v>8</v>
      </c>
      <c r="AA24" s="106"/>
    </row>
    <row r="25" spans="1:27">
      <c r="A25" s="202"/>
      <c r="B25" s="202"/>
      <c r="C25" s="202"/>
      <c r="D25" s="202"/>
      <c r="E25" s="201">
        <v>3</v>
      </c>
      <c r="F25" s="301" t="str">
        <f>IFERROR(VLOOKUP(E25,пр.взв!$B$7:$H$14,2,0),"")</f>
        <v>Перваков Кирилл Андреевич</v>
      </c>
      <c r="G25" s="301"/>
      <c r="H25" s="301"/>
      <c r="I25" s="302"/>
      <c r="J25" s="85"/>
      <c r="K25" s="85"/>
      <c r="L25" s="85"/>
      <c r="M25" s="300" t="str">
        <f>IFERROR(VLOOKUP(Q25,пр.взв!$B$7:$H$14,2,0),"")</f>
        <v>Джумбулов Давлатиер Худоерович</v>
      </c>
      <c r="N25" s="301"/>
      <c r="O25" s="301"/>
      <c r="P25" s="302"/>
      <c r="Q25" s="211">
        <v>4</v>
      </c>
      <c r="R25" s="202"/>
      <c r="S25" s="202"/>
      <c r="T25" s="202"/>
      <c r="U25" s="202"/>
      <c r="V25" s="85"/>
      <c r="X25" s="106"/>
      <c r="Y25" s="106">
        <f>IF(H9="","",IF(H9=G11,O11,G11))</f>
        <v>1</v>
      </c>
      <c r="Z25" s="106"/>
      <c r="AA25" s="106"/>
    </row>
    <row r="26" spans="1:27" ht="13.5" thickBot="1">
      <c r="A26" s="207"/>
      <c r="B26" s="202"/>
      <c r="C26" s="202"/>
      <c r="D26" s="202"/>
      <c r="E26" s="154"/>
      <c r="F26" s="303"/>
      <c r="G26" s="304"/>
      <c r="H26" s="304"/>
      <c r="I26" s="305"/>
      <c r="J26" s="8"/>
      <c r="K26" s="8"/>
      <c r="L26" s="8"/>
      <c r="M26" s="303"/>
      <c r="N26" s="304"/>
      <c r="O26" s="304"/>
      <c r="P26" s="305"/>
      <c r="Q26" s="212"/>
      <c r="R26" s="202"/>
      <c r="S26" s="202"/>
      <c r="T26" s="202"/>
      <c r="U26" s="202"/>
      <c r="V26" s="85"/>
      <c r="X26" s="106"/>
      <c r="Y26" s="106"/>
      <c r="Z26" s="106"/>
      <c r="AA26" s="106"/>
    </row>
    <row r="27" spans="1:27">
      <c r="A27" s="208"/>
      <c r="B27" s="209">
        <f>Y20</f>
        <v>4</v>
      </c>
      <c r="C27" s="250" t="str">
        <f>IFERROR(VLOOKUP(B27,пр.взв!$B$7:$H$14,2,0),"")</f>
        <v>Джумбулов Давлатиер Худоерович</v>
      </c>
      <c r="D27" s="250"/>
      <c r="E27" s="85"/>
      <c r="F27" s="27"/>
      <c r="G27" s="27"/>
      <c r="H27" s="27"/>
      <c r="I27" s="27"/>
      <c r="J27" s="8"/>
      <c r="K27" s="8"/>
      <c r="L27" s="8"/>
      <c r="M27" s="27"/>
      <c r="N27" s="27"/>
      <c r="O27" s="27"/>
      <c r="P27" s="27"/>
      <c r="Q27" s="85"/>
      <c r="R27" s="250" t="str">
        <f>IFERROR(VLOOKUP(S27,пр.взв!$B$7:$H$14,2,0),"")</f>
        <v>Перваков Кирилл Андреевич</v>
      </c>
      <c r="S27" s="210">
        <f>Y19</f>
        <v>3</v>
      </c>
      <c r="T27" s="202"/>
      <c r="U27" s="202"/>
      <c r="V27" s="85"/>
      <c r="X27" s="106"/>
      <c r="Y27" s="106"/>
      <c r="Z27" s="106"/>
      <c r="AA27" s="106"/>
    </row>
    <row r="28" spans="1:27">
      <c r="A28" s="202"/>
      <c r="B28" s="202"/>
      <c r="C28" s="250"/>
      <c r="D28" s="250"/>
      <c r="E28" s="85"/>
      <c r="F28" s="87"/>
      <c r="G28" s="87"/>
      <c r="H28" s="87"/>
      <c r="I28" s="87"/>
      <c r="J28" s="85"/>
      <c r="K28" s="85"/>
      <c r="L28" s="85"/>
      <c r="M28" s="85"/>
      <c r="N28" s="85"/>
      <c r="O28" s="85"/>
      <c r="P28" s="85"/>
      <c r="Q28" s="85"/>
      <c r="R28" s="299"/>
      <c r="S28" s="202"/>
      <c r="T28" s="202"/>
      <c r="U28" s="202"/>
      <c r="V28" s="85"/>
      <c r="X28" s="109"/>
      <c r="Y28" s="106"/>
      <c r="Z28" s="106"/>
      <c r="AA28" s="106"/>
    </row>
    <row r="29" spans="1:27">
      <c r="A29" s="85"/>
      <c r="B29" s="85"/>
      <c r="C29" s="85"/>
      <c r="D29" s="85"/>
      <c r="E29" s="85"/>
      <c r="F29" s="87"/>
      <c r="G29" s="87"/>
      <c r="H29" s="87"/>
      <c r="I29" s="87"/>
      <c r="J29" s="85"/>
      <c r="K29" s="85"/>
      <c r="L29" s="85"/>
      <c r="M29" s="85"/>
      <c r="N29" s="85"/>
      <c r="O29" s="85"/>
      <c r="P29" s="85"/>
      <c r="Q29" s="85"/>
      <c r="R29" s="202"/>
      <c r="S29" s="202"/>
      <c r="T29" s="202"/>
      <c r="U29" s="202"/>
      <c r="V29" s="85"/>
      <c r="X29" s="106"/>
      <c r="Y29" s="106"/>
      <c r="Z29" s="106"/>
      <c r="AA29" s="106"/>
    </row>
    <row r="30" spans="1:27" ht="9" customHeight="1">
      <c r="A30" s="85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X30" s="106"/>
      <c r="Y30" s="106"/>
      <c r="Z30" s="106"/>
      <c r="AA30" s="106"/>
    </row>
    <row r="31" spans="1:27" ht="16.5">
      <c r="A31" s="85"/>
      <c r="B31" s="162" t="s">
        <v>79</v>
      </c>
      <c r="C31" s="155"/>
      <c r="D31" s="156"/>
      <c r="E31" s="87"/>
      <c r="F31" s="87"/>
      <c r="G31" s="85"/>
      <c r="H31" s="153"/>
      <c r="I31" s="153"/>
      <c r="J31" s="153"/>
      <c r="K31" s="153"/>
      <c r="L31" s="39"/>
      <c r="M31" s="85"/>
      <c r="N31" s="194" t="str">
        <f>[1]реквизиты!$G$6</f>
        <v xml:space="preserve">Н.Н.Малышев </v>
      </c>
      <c r="O31" s="85"/>
      <c r="P31" s="87"/>
      <c r="Q31" s="87"/>
      <c r="R31" s="161" t="str">
        <f>[1]реквизиты!$G$7</f>
        <v>/Дубна /</v>
      </c>
      <c r="S31" s="85"/>
      <c r="T31" s="85"/>
      <c r="U31" s="85"/>
      <c r="X31" s="106"/>
      <c r="Y31" s="106"/>
      <c r="Z31" s="106"/>
      <c r="AA31" s="106"/>
    </row>
    <row r="32" spans="1:27" ht="18" customHeight="1">
      <c r="A32" s="85"/>
      <c r="B32" s="155"/>
      <c r="C32" s="155"/>
      <c r="D32" s="156"/>
      <c r="E32" s="87"/>
      <c r="F32" s="87"/>
      <c r="G32" s="87"/>
      <c r="H32" s="87"/>
      <c r="I32" s="87"/>
      <c r="J32" s="87"/>
      <c r="K32" s="87"/>
      <c r="L32" s="157"/>
      <c r="M32" s="87"/>
      <c r="N32" s="85"/>
      <c r="O32" s="85"/>
      <c r="P32" s="87"/>
      <c r="Q32" s="87"/>
      <c r="R32" s="87"/>
      <c r="S32" s="85"/>
      <c r="T32" s="85"/>
      <c r="U32" s="85"/>
      <c r="X32" s="106"/>
      <c r="Y32" s="106"/>
      <c r="Z32" s="106"/>
      <c r="AA32" s="106"/>
    </row>
    <row r="33" spans="1:27" ht="16.5">
      <c r="A33" s="85"/>
      <c r="B33" s="162" t="str">
        <f>[1]реквизиты!$A$8</f>
        <v>Гл. секретарь, судья ВК</v>
      </c>
      <c r="C33" s="155"/>
      <c r="D33" s="156"/>
      <c r="E33" s="87"/>
      <c r="F33" s="87"/>
      <c r="G33" s="87"/>
      <c r="H33" s="153"/>
      <c r="I33" s="153"/>
      <c r="J33" s="153"/>
      <c r="K33" s="153"/>
      <c r="L33" s="160"/>
      <c r="M33" s="158"/>
      <c r="N33" s="194" t="str">
        <f>[1]реквизиты!$G$8</f>
        <v>А.С.Тимошин</v>
      </c>
      <c r="O33" s="85"/>
      <c r="P33" s="159"/>
      <c r="Q33" s="159"/>
      <c r="R33" s="161" t="str">
        <f>[1]реквизиты!$G$9</f>
        <v>/Рыбинск/</v>
      </c>
      <c r="S33" s="85"/>
      <c r="T33" s="85"/>
      <c r="U33" s="85"/>
      <c r="X33" s="106"/>
      <c r="Y33" s="106"/>
      <c r="Z33" s="106"/>
      <c r="AA33" s="106"/>
    </row>
    <row r="34" spans="1:27" ht="15">
      <c r="B34" s="46"/>
      <c r="C34" s="46"/>
      <c r="D34" s="46"/>
      <c r="E34" s="5"/>
      <c r="F34" s="5"/>
      <c r="L34" s="13"/>
      <c r="M34" s="33"/>
      <c r="O34" s="5"/>
      <c r="P34" s="11"/>
      <c r="Q34" s="11"/>
      <c r="R34" s="11"/>
      <c r="X34" s="110"/>
      <c r="Y34" s="110"/>
      <c r="Z34" s="110"/>
      <c r="AA34" s="110"/>
    </row>
    <row r="35" spans="1:27">
      <c r="B35" s="13"/>
      <c r="E35" s="3"/>
      <c r="F35" s="3"/>
      <c r="G35" s="11"/>
      <c r="H35" s="11"/>
      <c r="I35" s="11"/>
      <c r="J35" s="11"/>
      <c r="K35" s="11"/>
      <c r="L35" s="16"/>
      <c r="M35" s="33"/>
      <c r="R35" s="51"/>
      <c r="X35" s="110"/>
      <c r="Y35" s="110"/>
      <c r="Z35" s="110"/>
      <c r="AA35" s="110"/>
    </row>
    <row r="36" spans="1:27">
      <c r="E36" s="3"/>
      <c r="F36" s="3"/>
      <c r="G36" s="11"/>
      <c r="H36" s="11"/>
      <c r="I36" s="11"/>
      <c r="J36" s="11"/>
      <c r="K36" s="11"/>
      <c r="L36" s="33"/>
      <c r="M36" s="33"/>
    </row>
    <row r="37" spans="1:27">
      <c r="L37" s="7"/>
      <c r="M37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  <mergeCell ref="U17:U18"/>
    <mergeCell ref="S12:S13"/>
    <mergeCell ref="T12:T13"/>
    <mergeCell ref="S14:S15"/>
    <mergeCell ref="T14:T15"/>
    <mergeCell ref="U14:U1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S21:T22"/>
    <mergeCell ref="S23:T24"/>
    <mergeCell ref="G18:O18"/>
    <mergeCell ref="H5:N5"/>
    <mergeCell ref="I7:M7"/>
    <mergeCell ref="S10:S11"/>
    <mergeCell ref="T10:T11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scale="76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30"/>
  <sheetViews>
    <sheetView topLeftCell="C1" workbookViewId="0">
      <selection activeCell="P3" sqref="P1:P1048576"/>
    </sheetView>
  </sheetViews>
  <sheetFormatPr defaultRowHeight="12.75"/>
  <cols>
    <col min="1" max="1" width="4" customWidth="1"/>
    <col min="2" max="2" width="4.5703125" customWidth="1"/>
    <col min="3" max="3" width="20.85546875" customWidth="1"/>
    <col min="5" max="5" width="7.5703125" hidden="1" customWidth="1"/>
    <col min="6" max="6" width="21.5703125" customWidth="1"/>
    <col min="7" max="7" width="26.28515625" customWidth="1"/>
    <col min="8" max="8" width="4.7109375" customWidth="1"/>
    <col min="9" max="9" width="4.85546875" customWidth="1"/>
    <col min="10" max="10" width="6.5703125" customWidth="1"/>
    <col min="11" max="12" width="4.140625" customWidth="1"/>
    <col min="13" max="13" width="22" customWidth="1"/>
    <col min="15" max="15" width="7.140625" hidden="1" customWidth="1"/>
    <col min="16" max="16" width="23.5703125" customWidth="1"/>
    <col min="17" max="17" width="25.85546875" customWidth="1"/>
    <col min="18" max="19" width="4.85546875" customWidth="1"/>
    <col min="20" max="20" width="7.42578125" customWidth="1"/>
  </cols>
  <sheetData>
    <row r="1" spans="1:20" ht="15.75" customHeight="1">
      <c r="B1" s="308" t="s">
        <v>32</v>
      </c>
      <c r="C1" s="308"/>
      <c r="D1" s="308"/>
      <c r="E1" s="308"/>
      <c r="F1" s="308"/>
      <c r="G1" s="308"/>
      <c r="H1" s="308"/>
      <c r="I1" s="308"/>
      <c r="J1" s="308"/>
      <c r="L1" s="308" t="s">
        <v>32</v>
      </c>
      <c r="M1" s="308"/>
      <c r="N1" s="308"/>
      <c r="O1" s="308"/>
      <c r="P1" s="308"/>
      <c r="Q1" s="308"/>
      <c r="R1" s="308"/>
      <c r="S1" s="308"/>
      <c r="T1" s="308"/>
    </row>
    <row r="2" spans="1:20" ht="15.75" customHeight="1">
      <c r="B2" s="192">
        <v>0</v>
      </c>
      <c r="C2" s="193" t="s">
        <v>78</v>
      </c>
      <c r="D2" s="193"/>
      <c r="E2" s="327" t="str">
        <f>пр.взв!D4</f>
        <v>В.к. 62б  кг.</v>
      </c>
      <c r="F2" s="327"/>
      <c r="G2" s="193"/>
      <c r="H2" s="193"/>
      <c r="I2" s="193"/>
      <c r="J2" s="193"/>
      <c r="L2" s="192">
        <f>B2</f>
        <v>0</v>
      </c>
      <c r="M2" s="193" t="s">
        <v>78</v>
      </c>
      <c r="N2" s="193"/>
      <c r="O2" s="327" t="str">
        <f>E2</f>
        <v>В.к. 62б  кг.</v>
      </c>
      <c r="P2" s="327"/>
      <c r="Q2" s="193"/>
      <c r="R2" s="193"/>
      <c r="S2" s="193"/>
      <c r="T2" s="193"/>
    </row>
    <row r="3" spans="1:20" ht="16.5" thickBot="1">
      <c r="B3" s="53" t="s">
        <v>28</v>
      </c>
      <c r="C3" s="55" t="s">
        <v>33</v>
      </c>
      <c r="D3" s="54" t="s">
        <v>31</v>
      </c>
      <c r="E3" s="54"/>
      <c r="F3" s="55"/>
      <c r="G3" s="53"/>
      <c r="H3" s="55"/>
      <c r="I3" s="55"/>
      <c r="J3" s="55"/>
      <c r="L3" s="53" t="s">
        <v>1</v>
      </c>
      <c r="M3" s="55" t="s">
        <v>33</v>
      </c>
      <c r="N3" s="54" t="s">
        <v>31</v>
      </c>
      <c r="O3" s="54"/>
      <c r="P3" s="55"/>
      <c r="Q3" s="53"/>
      <c r="R3" s="55"/>
      <c r="S3" s="55"/>
      <c r="T3" s="55"/>
    </row>
    <row r="4" spans="1:20" ht="12.75" customHeight="1">
      <c r="A4" s="309" t="s">
        <v>38</v>
      </c>
      <c r="B4" s="311" t="s">
        <v>4</v>
      </c>
      <c r="C4" s="313" t="s">
        <v>5</v>
      </c>
      <c r="D4" s="315" t="s">
        <v>13</v>
      </c>
      <c r="E4" s="317" t="s">
        <v>14</v>
      </c>
      <c r="F4" s="318"/>
      <c r="G4" s="313" t="s">
        <v>15</v>
      </c>
      <c r="H4" s="321" t="s">
        <v>34</v>
      </c>
      <c r="I4" s="325" t="s">
        <v>16</v>
      </c>
      <c r="J4" s="323" t="s">
        <v>17</v>
      </c>
      <c r="K4" s="309" t="s">
        <v>38</v>
      </c>
      <c r="L4" s="311" t="s">
        <v>4</v>
      </c>
      <c r="M4" s="313" t="s">
        <v>5</v>
      </c>
      <c r="N4" s="315" t="s">
        <v>13</v>
      </c>
      <c r="O4" s="317" t="s">
        <v>14</v>
      </c>
      <c r="P4" s="318"/>
      <c r="Q4" s="313" t="s">
        <v>15</v>
      </c>
      <c r="R4" s="321" t="s">
        <v>34</v>
      </c>
      <c r="S4" s="325" t="s">
        <v>16</v>
      </c>
      <c r="T4" s="323" t="s">
        <v>17</v>
      </c>
    </row>
    <row r="5" spans="1:20" ht="13.5" customHeight="1" thickBot="1">
      <c r="A5" s="310"/>
      <c r="B5" s="312" t="s">
        <v>29</v>
      </c>
      <c r="C5" s="314"/>
      <c r="D5" s="316"/>
      <c r="E5" s="319"/>
      <c r="F5" s="320"/>
      <c r="G5" s="314"/>
      <c r="H5" s="322"/>
      <c r="I5" s="326"/>
      <c r="J5" s="324" t="s">
        <v>30</v>
      </c>
      <c r="K5" s="310"/>
      <c r="L5" s="312" t="s">
        <v>29</v>
      </c>
      <c r="M5" s="314"/>
      <c r="N5" s="316"/>
      <c r="O5" s="319"/>
      <c r="P5" s="320"/>
      <c r="Q5" s="314"/>
      <c r="R5" s="322"/>
      <c r="S5" s="326"/>
      <c r="T5" s="324" t="s">
        <v>30</v>
      </c>
    </row>
    <row r="6" spans="1:20">
      <c r="A6" s="328">
        <v>1</v>
      </c>
      <c r="B6" s="331">
        <v>1</v>
      </c>
      <c r="C6" s="333" t="str">
        <f>IFERROR(VLOOKUP(B6,пр.взв!$B$7:$H$14,2,0),"")</f>
        <v>Айболатов Умар Самаилович</v>
      </c>
      <c r="D6" s="335" t="str">
        <f>IFERROR(VLOOKUP(B6,пр.взв!$B$7:$H$14,3,0),"")</f>
        <v>28.02.00, кмс</v>
      </c>
      <c r="E6" s="347" t="str">
        <f>IFERROR(VLOOKUP(B6,пр.взв!$B$7:$H$14,4,0),"")</f>
        <v>ЦФО</v>
      </c>
      <c r="F6" s="335" t="str">
        <f>IFERROR(VLOOKUP(B6,пр.взв!$B$7:$H$14,5,0),"")</f>
        <v>Тверская, Тверь</v>
      </c>
      <c r="G6" s="337"/>
      <c r="H6" s="349"/>
      <c r="I6" s="345"/>
      <c r="J6" s="315"/>
      <c r="K6" s="328">
        <v>3</v>
      </c>
      <c r="L6" s="331">
        <v>2</v>
      </c>
      <c r="M6" s="333" t="str">
        <f>IFERROR(VLOOKUP(L6,пр.взв!$B$7:$H$14,2,0),"")</f>
        <v>Чилаев Хушбахт Улфатчоевич</v>
      </c>
      <c r="N6" s="335" t="str">
        <f>IFERROR(VLOOKUP(L6,пр.взв!$B$7:$H$14,3,0),"")</f>
        <v>06.05.95, кмс</v>
      </c>
      <c r="O6" s="347" t="str">
        <f>IFERROR(VLOOKUP(L6,пр.взв!$B$7:$H$14,4,0),"")</f>
        <v>ЦФО</v>
      </c>
      <c r="P6" s="335" t="str">
        <f>IFERROR(VLOOKUP(L6,пр.взв!$B$7:$H$14,5,0),"")</f>
        <v>Тверская, Тверь</v>
      </c>
      <c r="Q6" s="337"/>
      <c r="R6" s="349"/>
      <c r="S6" s="345"/>
      <c r="T6" s="315"/>
    </row>
    <row r="7" spans="1:20">
      <c r="A7" s="329"/>
      <c r="B7" s="332"/>
      <c r="C7" s="334"/>
      <c r="D7" s="336"/>
      <c r="E7" s="348"/>
      <c r="F7" s="336"/>
      <c r="G7" s="336"/>
      <c r="H7" s="336"/>
      <c r="I7" s="346"/>
      <c r="J7" s="239"/>
      <c r="K7" s="329"/>
      <c r="L7" s="332"/>
      <c r="M7" s="334"/>
      <c r="N7" s="336"/>
      <c r="O7" s="348"/>
      <c r="P7" s="336"/>
      <c r="Q7" s="336"/>
      <c r="R7" s="336"/>
      <c r="S7" s="346"/>
      <c r="T7" s="239"/>
    </row>
    <row r="8" spans="1:20">
      <c r="A8" s="329"/>
      <c r="B8" s="332">
        <v>5</v>
      </c>
      <c r="C8" s="339">
        <f>IFERROR(VLOOKUP(B8,пр.взв!$B$7:$H$14,2,0),"")</f>
        <v>0</v>
      </c>
      <c r="D8" s="341">
        <f>IFERROR(VLOOKUP(B8,пр.взв!$B$7:$H$14,3,0),"")</f>
        <v>0</v>
      </c>
      <c r="E8" s="341">
        <f>IFERROR(VLOOKUP(B8,пр.взв!$B$7:$H$14,4,0),"")</f>
        <v>0</v>
      </c>
      <c r="F8" s="341">
        <f>IFERROR(VLOOKUP(B8,пр.взв!$B$7:$H$14,5,0),"")</f>
        <v>0</v>
      </c>
      <c r="G8" s="343"/>
      <c r="H8" s="343"/>
      <c r="I8" s="240"/>
      <c r="J8" s="240"/>
      <c r="K8" s="329"/>
      <c r="L8" s="332">
        <v>6</v>
      </c>
      <c r="M8" s="339">
        <f>IFERROR(VLOOKUP(L8,пр.взв!$B$7:$H$14,2,0),"")</f>
        <v>0</v>
      </c>
      <c r="N8" s="341">
        <f>IFERROR(VLOOKUP(L8,пр.взв!$B$7:$H$14,3,0),"")</f>
        <v>0</v>
      </c>
      <c r="O8" s="341">
        <f>IFERROR(VLOOKUP(L8,пр.взв!$B$7:$H$14,4,0),"")</f>
        <v>0</v>
      </c>
      <c r="P8" s="341">
        <f>IFERROR(VLOOKUP(L8,пр.взв!$B$7:$H$14,5,0),"")</f>
        <v>0</v>
      </c>
      <c r="Q8" s="343"/>
      <c r="R8" s="343"/>
      <c r="S8" s="240"/>
      <c r="T8" s="240"/>
    </row>
    <row r="9" spans="1:20" ht="12.95" customHeight="1" thickBot="1">
      <c r="A9" s="330"/>
      <c r="B9" s="338"/>
      <c r="C9" s="340"/>
      <c r="D9" s="342"/>
      <c r="E9" s="342"/>
      <c r="F9" s="342"/>
      <c r="G9" s="344"/>
      <c r="H9" s="344"/>
      <c r="I9" s="326"/>
      <c r="J9" s="326"/>
      <c r="K9" s="330"/>
      <c r="L9" s="338"/>
      <c r="M9" s="340"/>
      <c r="N9" s="342"/>
      <c r="O9" s="342"/>
      <c r="P9" s="342"/>
      <c r="Q9" s="344"/>
      <c r="R9" s="344"/>
      <c r="S9" s="326"/>
      <c r="T9" s="326"/>
    </row>
    <row r="10" spans="1:20">
      <c r="A10" s="328">
        <v>2</v>
      </c>
      <c r="B10" s="331">
        <v>3</v>
      </c>
      <c r="C10" s="350" t="str">
        <f>IFERROR(VLOOKUP(B10,пр.взв!$B$7:$H$14,2,0),"")</f>
        <v>Перваков Кирилл Андреевич</v>
      </c>
      <c r="D10" s="347" t="str">
        <f>IFERROR(VLOOKUP(B10,пр.взв!$B$7:$H$14,3,0),"")</f>
        <v>26.06.98, кмс</v>
      </c>
      <c r="E10" s="347" t="str">
        <f>IFERROR(VLOOKUP(B10,пр.взв!$B$7:$H$14,4,0),"")</f>
        <v>ПФО</v>
      </c>
      <c r="F10" s="347" t="str">
        <f>IFERROR(VLOOKUP(B10,пр.взв!$B$7:$H$14,5,0),"")</f>
        <v>Кировская, Киров</v>
      </c>
      <c r="G10" s="337"/>
      <c r="H10" s="349"/>
      <c r="I10" s="345"/>
      <c r="J10" s="335"/>
      <c r="K10" s="328">
        <v>4</v>
      </c>
      <c r="L10" s="331">
        <v>4</v>
      </c>
      <c r="M10" s="350" t="str">
        <f>IFERROR(VLOOKUP(L10,пр.взв!$B$7:$H$14,2,0),"")</f>
        <v>Джумбулов Давлатиер Худоерович</v>
      </c>
      <c r="N10" s="347" t="str">
        <f>IFERROR(VLOOKUP(L10,пр.взв!$B$7:$H$14,3,0),"")</f>
        <v>08.11.98, кмс</v>
      </c>
      <c r="O10" s="347" t="str">
        <f>IFERROR(VLOOKUP(L10,пр.взв!$B$7:$H$14,4,0),"")</f>
        <v>ЦФО</v>
      </c>
      <c r="P10" s="347" t="str">
        <f>IFERROR(VLOOKUP(L10,пр.взв!$B$7:$H$14,5,0),"")</f>
        <v>Тверская, Тверь</v>
      </c>
      <c r="Q10" s="337"/>
      <c r="R10" s="349"/>
      <c r="S10" s="345"/>
      <c r="T10" s="335"/>
    </row>
    <row r="11" spans="1:20" ht="12.6" customHeight="1">
      <c r="A11" s="329"/>
      <c r="B11" s="332"/>
      <c r="C11" s="351"/>
      <c r="D11" s="348"/>
      <c r="E11" s="348"/>
      <c r="F11" s="348"/>
      <c r="G11" s="336"/>
      <c r="H11" s="336"/>
      <c r="I11" s="346"/>
      <c r="J11" s="239"/>
      <c r="K11" s="329"/>
      <c r="L11" s="332"/>
      <c r="M11" s="351"/>
      <c r="N11" s="348"/>
      <c r="O11" s="348"/>
      <c r="P11" s="348"/>
      <c r="Q11" s="336"/>
      <c r="R11" s="336"/>
      <c r="S11" s="346"/>
      <c r="T11" s="239"/>
    </row>
    <row r="12" spans="1:20">
      <c r="A12" s="329"/>
      <c r="B12" s="332">
        <v>7</v>
      </c>
      <c r="C12" s="339">
        <f>IFERROR(VLOOKUP(B12,пр.взв!$B$7:$H$14,2,0),"")</f>
        <v>0</v>
      </c>
      <c r="D12" s="341">
        <f>IFERROR(VLOOKUP(B12,пр.взв!$B$7:$H$14,3,0),"")</f>
        <v>0</v>
      </c>
      <c r="E12" s="341">
        <f>IFERROR(VLOOKUP(B12,пр.взв!$B$7:$H$14,4,0),"")</f>
        <v>0</v>
      </c>
      <c r="F12" s="341">
        <f>IFERROR(VLOOKUP(B12,пр.взв!$B$7:$H$14,5,0),"")</f>
        <v>0</v>
      </c>
      <c r="G12" s="343"/>
      <c r="H12" s="343"/>
      <c r="I12" s="240"/>
      <c r="J12" s="240"/>
      <c r="K12" s="329"/>
      <c r="L12" s="332">
        <v>8</v>
      </c>
      <c r="M12" s="339">
        <f>IFERROR(VLOOKUP(L12,пр.взв!$B$7:$H$14,2,0),"")</f>
        <v>0</v>
      </c>
      <c r="N12" s="341">
        <f>IFERROR(VLOOKUP(L12,пр.взв!$B$7:$H$14,3,0),"")</f>
        <v>0</v>
      </c>
      <c r="O12" s="341">
        <f>IFERROR(VLOOKUP(L12,пр.взв!$B$7:$H$14,4,0),"")</f>
        <v>0</v>
      </c>
      <c r="P12" s="341">
        <f>IFERROR(VLOOKUP(L12,пр.взв!$B$7:$H$14,5,0),"")</f>
        <v>0</v>
      </c>
      <c r="Q12" s="343"/>
      <c r="R12" s="343"/>
      <c r="S12" s="240"/>
      <c r="T12" s="240"/>
    </row>
    <row r="13" spans="1:20" ht="12.95" customHeight="1" thickBot="1">
      <c r="A13" s="330"/>
      <c r="B13" s="338"/>
      <c r="C13" s="340"/>
      <c r="D13" s="342"/>
      <c r="E13" s="342"/>
      <c r="F13" s="342"/>
      <c r="G13" s="344"/>
      <c r="H13" s="344"/>
      <c r="I13" s="326"/>
      <c r="J13" s="326"/>
      <c r="K13" s="330"/>
      <c r="L13" s="338"/>
      <c r="M13" s="340"/>
      <c r="N13" s="342"/>
      <c r="O13" s="342"/>
      <c r="P13" s="342"/>
      <c r="Q13" s="344"/>
      <c r="R13" s="344"/>
      <c r="S13" s="326"/>
      <c r="T13" s="326"/>
    </row>
    <row r="14" spans="1:20" ht="15.75">
      <c r="B14" s="192">
        <f>B2</f>
        <v>0</v>
      </c>
      <c r="C14" s="193" t="s">
        <v>78</v>
      </c>
      <c r="D14" s="193"/>
      <c r="E14" s="327" t="str">
        <f>E2</f>
        <v>В.к. 62б  кг.</v>
      </c>
      <c r="F14" s="327"/>
      <c r="G14" s="193"/>
      <c r="H14" s="193"/>
      <c r="I14" s="193"/>
      <c r="J14" s="193"/>
      <c r="L14" s="192">
        <f>L2</f>
        <v>0</v>
      </c>
      <c r="M14" s="193" t="s">
        <v>78</v>
      </c>
      <c r="N14" s="193"/>
      <c r="O14" s="327" t="str">
        <f>O2</f>
        <v>В.к. 62б  кг.</v>
      </c>
      <c r="P14" s="327"/>
      <c r="Q14" s="193"/>
      <c r="R14" s="193"/>
      <c r="S14" s="193"/>
      <c r="T14" s="193"/>
    </row>
    <row r="15" spans="1:20" ht="16.5" thickBot="1">
      <c r="B15" s="53" t="s">
        <v>28</v>
      </c>
      <c r="C15" s="68" t="s">
        <v>35</v>
      </c>
      <c r="D15" s="57"/>
      <c r="E15" s="57"/>
      <c r="F15" s="57"/>
      <c r="G15" s="58"/>
      <c r="H15" s="57"/>
      <c r="I15" s="57"/>
      <c r="J15" s="57"/>
      <c r="K15" s="56"/>
      <c r="L15" s="53" t="s">
        <v>1</v>
      </c>
      <c r="M15" s="68" t="s">
        <v>35</v>
      </c>
      <c r="N15" s="57"/>
      <c r="O15" s="57"/>
      <c r="P15" s="57"/>
      <c r="Q15" s="58"/>
      <c r="R15" s="57"/>
      <c r="S15" s="57"/>
      <c r="T15" s="57"/>
    </row>
    <row r="16" spans="1:20" ht="12.75" customHeight="1">
      <c r="A16" s="309" t="s">
        <v>38</v>
      </c>
      <c r="B16" s="311" t="s">
        <v>4</v>
      </c>
      <c r="C16" s="313" t="s">
        <v>5</v>
      </c>
      <c r="D16" s="315" t="s">
        <v>13</v>
      </c>
      <c r="E16" s="317" t="s">
        <v>14</v>
      </c>
      <c r="F16" s="318"/>
      <c r="G16" s="313" t="s">
        <v>15</v>
      </c>
      <c r="H16" s="321" t="s">
        <v>34</v>
      </c>
      <c r="I16" s="325" t="s">
        <v>16</v>
      </c>
      <c r="J16" s="323" t="s">
        <v>17</v>
      </c>
      <c r="K16" s="309" t="s">
        <v>38</v>
      </c>
      <c r="L16" s="311" t="s">
        <v>4</v>
      </c>
      <c r="M16" s="313" t="s">
        <v>5</v>
      </c>
      <c r="N16" s="315" t="s">
        <v>13</v>
      </c>
      <c r="O16" s="317" t="s">
        <v>14</v>
      </c>
      <c r="P16" s="318"/>
      <c r="Q16" s="313" t="s">
        <v>15</v>
      </c>
      <c r="R16" s="321" t="s">
        <v>34</v>
      </c>
      <c r="S16" s="325" t="s">
        <v>16</v>
      </c>
      <c r="T16" s="323" t="s">
        <v>17</v>
      </c>
    </row>
    <row r="17" spans="1:20" ht="13.5" customHeight="1" thickBot="1">
      <c r="A17" s="310"/>
      <c r="B17" s="312" t="s">
        <v>29</v>
      </c>
      <c r="C17" s="314"/>
      <c r="D17" s="316"/>
      <c r="E17" s="319"/>
      <c r="F17" s="320"/>
      <c r="G17" s="314"/>
      <c r="H17" s="322"/>
      <c r="I17" s="326"/>
      <c r="J17" s="324" t="s">
        <v>30</v>
      </c>
      <c r="K17" s="310"/>
      <c r="L17" s="312" t="s">
        <v>29</v>
      </c>
      <c r="M17" s="314"/>
      <c r="N17" s="316"/>
      <c r="O17" s="319"/>
      <c r="P17" s="320"/>
      <c r="Q17" s="314"/>
      <c r="R17" s="322"/>
      <c r="S17" s="326"/>
      <c r="T17" s="324" t="s">
        <v>30</v>
      </c>
    </row>
    <row r="18" spans="1:20">
      <c r="A18" s="352">
        <v>1</v>
      </c>
      <c r="B18" s="355">
        <f>пр.хода!E9</f>
        <v>1</v>
      </c>
      <c r="C18" s="350" t="str">
        <f>IFERROR(VLOOKUP(B18,пр.взв!$B$7:$H$14,2,0),"")</f>
        <v>Айболатов Умар Самаилович</v>
      </c>
      <c r="D18" s="347" t="str">
        <f>IFERROR(VLOOKUP(B18,пр.взв!$B$7:$H$14,3,0),"")</f>
        <v>28.02.00, кмс</v>
      </c>
      <c r="E18" s="347" t="str">
        <f>IFERROR(VLOOKUP(B18,пр.взв!$B$7:$H$14,4,0),"")</f>
        <v>ЦФО</v>
      </c>
      <c r="F18" s="347" t="str">
        <f>IFERROR(VLOOKUP(B18,пр.взв!$B$7:$H$14,5,0),"")</f>
        <v>Тверская, Тверь</v>
      </c>
      <c r="G18" s="337"/>
      <c r="H18" s="349"/>
      <c r="I18" s="345"/>
      <c r="J18" s="315"/>
      <c r="K18" s="352">
        <v>2</v>
      </c>
      <c r="L18" s="355">
        <f>пр.хода!Q9</f>
        <v>2</v>
      </c>
      <c r="M18" s="350" t="str">
        <f>IFERROR(VLOOKUP(L18,пр.взв!$B$7:$H$14,2,0),"")</f>
        <v>Чилаев Хушбахт Улфатчоевич</v>
      </c>
      <c r="N18" s="347" t="str">
        <f>IFERROR(VLOOKUP(L18,пр.взв!$B$7:$H$14,3,0),"")</f>
        <v>06.05.95, кмс</v>
      </c>
      <c r="O18" s="347" t="str">
        <f>IFERROR(VLOOKUP(L18,пр.взв!$B$7:$H$14,4,0),"")</f>
        <v>ЦФО</v>
      </c>
      <c r="P18" s="347" t="str">
        <f>IFERROR(VLOOKUP(L18,пр.взв!$B$7:$H$14,5,0),"")</f>
        <v>Тверская, Тверь</v>
      </c>
      <c r="Q18" s="337"/>
      <c r="R18" s="349"/>
      <c r="S18" s="345"/>
      <c r="T18" s="315"/>
    </row>
    <row r="19" spans="1:20" ht="12.6" customHeight="1">
      <c r="A19" s="353"/>
      <c r="B19" s="356"/>
      <c r="C19" s="351"/>
      <c r="D19" s="348"/>
      <c r="E19" s="348"/>
      <c r="F19" s="348"/>
      <c r="G19" s="336"/>
      <c r="H19" s="336"/>
      <c r="I19" s="346"/>
      <c r="J19" s="239"/>
      <c r="K19" s="353"/>
      <c r="L19" s="356"/>
      <c r="M19" s="351"/>
      <c r="N19" s="348"/>
      <c r="O19" s="348"/>
      <c r="P19" s="348"/>
      <c r="Q19" s="336"/>
      <c r="R19" s="336"/>
      <c r="S19" s="346"/>
      <c r="T19" s="239"/>
    </row>
    <row r="20" spans="1:20">
      <c r="A20" s="353"/>
      <c r="B20" s="357">
        <f>пр.хода!E13</f>
        <v>3</v>
      </c>
      <c r="C20" s="339" t="str">
        <f>IFERROR(VLOOKUP(B20,пр.взв!$B$7:$H$14,2,0),"")</f>
        <v>Перваков Кирилл Андреевич</v>
      </c>
      <c r="D20" s="341" t="str">
        <f>IFERROR(VLOOKUP(B20,пр.взв!$B$7:$H$14,3,0),"")</f>
        <v>26.06.98, кмс</v>
      </c>
      <c r="E20" s="341" t="str">
        <f>IFERROR(VLOOKUP(B20,пр.взв!$B$7:$H$14,4,0),"")</f>
        <v>ПФО</v>
      </c>
      <c r="F20" s="341" t="str">
        <f>IFERROR(VLOOKUP(B20,пр.взв!$B$7:$H$14,5,0),"")</f>
        <v>Кировская, Киров</v>
      </c>
      <c r="G20" s="343"/>
      <c r="H20" s="343"/>
      <c r="I20" s="240"/>
      <c r="J20" s="240"/>
      <c r="K20" s="353"/>
      <c r="L20" s="357">
        <f>пр.хода!Q13</f>
        <v>4</v>
      </c>
      <c r="M20" s="339" t="str">
        <f>IFERROR(VLOOKUP(L20,пр.взв!$B$7:$H$14,2,0),"")</f>
        <v>Джумбулов Давлатиер Худоерович</v>
      </c>
      <c r="N20" s="341" t="str">
        <f>IFERROR(VLOOKUP(L20,пр.взв!$B$7:$H$14,3,0),"")</f>
        <v>08.11.98, кмс</v>
      </c>
      <c r="O20" s="341" t="str">
        <f>IFERROR(VLOOKUP(L20,пр.взв!$B$7:$H$14,4,0),"")</f>
        <v>ЦФО</v>
      </c>
      <c r="P20" s="341" t="str">
        <f>IFERROR(VLOOKUP(L20,пр.взв!$B$7:$H$14,5,0),"")</f>
        <v>Тверская, Тверь</v>
      </c>
      <c r="Q20" s="343"/>
      <c r="R20" s="343"/>
      <c r="S20" s="240"/>
      <c r="T20" s="240"/>
    </row>
    <row r="21" spans="1:20" ht="12.95" customHeight="1" thickBot="1">
      <c r="A21" s="354"/>
      <c r="B21" s="358"/>
      <c r="C21" s="340"/>
      <c r="D21" s="342"/>
      <c r="E21" s="342"/>
      <c r="F21" s="342"/>
      <c r="G21" s="344"/>
      <c r="H21" s="344"/>
      <c r="I21" s="326"/>
      <c r="J21" s="326"/>
      <c r="K21" s="354"/>
      <c r="L21" s="358"/>
      <c r="M21" s="340"/>
      <c r="N21" s="342"/>
      <c r="O21" s="342"/>
      <c r="P21" s="342"/>
      <c r="Q21" s="344"/>
      <c r="R21" s="344"/>
      <c r="S21" s="326"/>
      <c r="T21" s="326"/>
    </row>
    <row r="22" spans="1:20" ht="15.75">
      <c r="B22" s="192">
        <f>B14</f>
        <v>0</v>
      </c>
      <c r="C22" s="193" t="s">
        <v>78</v>
      </c>
      <c r="D22" s="193"/>
      <c r="E22" s="327" t="str">
        <f>E14</f>
        <v>В.к. 62б  кг.</v>
      </c>
      <c r="F22" s="327"/>
      <c r="G22" s="193"/>
      <c r="H22" s="193"/>
      <c r="I22" s="193"/>
      <c r="J22" s="193"/>
      <c r="L22" s="192">
        <f>L14</f>
        <v>0</v>
      </c>
      <c r="M22" s="193" t="s">
        <v>78</v>
      </c>
      <c r="N22" s="193"/>
      <c r="O22" s="327" t="str">
        <f>O14</f>
        <v>В.к. 62б  кг.</v>
      </c>
      <c r="P22" s="327"/>
      <c r="Q22" s="193"/>
      <c r="R22" s="193"/>
      <c r="S22" s="193"/>
      <c r="T22" s="193"/>
    </row>
    <row r="23" spans="1:20" ht="15">
      <c r="A23" s="359" t="s">
        <v>36</v>
      </c>
      <c r="B23" s="359"/>
      <c r="C23" s="359"/>
      <c r="D23" s="359"/>
      <c r="E23" s="359"/>
      <c r="F23" s="359"/>
      <c r="G23" s="359"/>
      <c r="H23" s="359"/>
      <c r="I23" s="359"/>
      <c r="J23" s="359"/>
      <c r="K23" s="359" t="s">
        <v>37</v>
      </c>
      <c r="L23" s="359"/>
      <c r="M23" s="359"/>
      <c r="N23" s="359"/>
      <c r="O23" s="359"/>
      <c r="P23" s="359"/>
      <c r="Q23" s="359"/>
      <c r="R23" s="359"/>
      <c r="S23" s="359"/>
      <c r="T23" s="359"/>
    </row>
    <row r="24" spans="1:20" ht="16.5" thickBot="1">
      <c r="B24" s="53" t="s">
        <v>28</v>
      </c>
      <c r="C24" s="59"/>
      <c r="D24" s="59"/>
      <c r="E24" s="59"/>
      <c r="F24" s="59"/>
      <c r="G24" s="59"/>
      <c r="H24" s="59"/>
      <c r="I24" s="59"/>
      <c r="J24" s="59"/>
      <c r="K24" s="60"/>
      <c r="L24" s="61" t="s">
        <v>1</v>
      </c>
      <c r="M24" s="59"/>
      <c r="N24" s="59"/>
      <c r="O24" s="59"/>
      <c r="P24" s="59"/>
      <c r="Q24" s="59"/>
      <c r="R24" s="56"/>
      <c r="S24" s="56"/>
      <c r="T24" s="56"/>
    </row>
    <row r="25" spans="1:20" ht="12.75" customHeight="1">
      <c r="A25" s="309" t="s">
        <v>38</v>
      </c>
      <c r="B25" s="311" t="s">
        <v>4</v>
      </c>
      <c r="C25" s="313" t="s">
        <v>5</v>
      </c>
      <c r="D25" s="315" t="s">
        <v>13</v>
      </c>
      <c r="E25" s="317" t="s">
        <v>14</v>
      </c>
      <c r="F25" s="318"/>
      <c r="G25" s="313" t="s">
        <v>15</v>
      </c>
      <c r="H25" s="321" t="s">
        <v>34</v>
      </c>
      <c r="I25" s="325" t="s">
        <v>16</v>
      </c>
      <c r="J25" s="323" t="s">
        <v>17</v>
      </c>
      <c r="K25" s="309" t="s">
        <v>38</v>
      </c>
      <c r="L25" s="311" t="s">
        <v>4</v>
      </c>
      <c r="M25" s="313" t="s">
        <v>5</v>
      </c>
      <c r="N25" s="315" t="s">
        <v>13</v>
      </c>
      <c r="O25" s="317" t="s">
        <v>14</v>
      </c>
      <c r="P25" s="318"/>
      <c r="Q25" s="313" t="s">
        <v>15</v>
      </c>
      <c r="R25" s="321" t="s">
        <v>34</v>
      </c>
      <c r="S25" s="325" t="s">
        <v>16</v>
      </c>
      <c r="T25" s="323" t="s">
        <v>17</v>
      </c>
    </row>
    <row r="26" spans="1:20" ht="13.5" customHeight="1" thickBot="1">
      <c r="A26" s="310"/>
      <c r="B26" s="312" t="s">
        <v>29</v>
      </c>
      <c r="C26" s="314"/>
      <c r="D26" s="316"/>
      <c r="E26" s="319"/>
      <c r="F26" s="320"/>
      <c r="G26" s="314"/>
      <c r="H26" s="322"/>
      <c r="I26" s="326"/>
      <c r="J26" s="324" t="s">
        <v>30</v>
      </c>
      <c r="K26" s="310"/>
      <c r="L26" s="312" t="s">
        <v>29</v>
      </c>
      <c r="M26" s="314"/>
      <c r="N26" s="316"/>
      <c r="O26" s="319"/>
      <c r="P26" s="320"/>
      <c r="Q26" s="314"/>
      <c r="R26" s="322"/>
      <c r="S26" s="326"/>
      <c r="T26" s="324" t="s">
        <v>30</v>
      </c>
    </row>
    <row r="27" spans="1:20">
      <c r="A27" s="328">
        <v>1</v>
      </c>
      <c r="B27" s="360">
        <f>пр.хода!A21</f>
        <v>5</v>
      </c>
      <c r="C27" s="350">
        <f>IFERROR(VLOOKUP(B27,пр.взв!$B$7:$H$14,2,0),"")</f>
        <v>0</v>
      </c>
      <c r="D27" s="347">
        <f>IFERROR(VLOOKUP(B27,пр.взв!$B$7:$H$14,3,0),"")</f>
        <v>0</v>
      </c>
      <c r="E27" s="347">
        <f>IFERROR(VLOOKUP(B27,пр.взв!$B$7:$H$14,4,0),"")</f>
        <v>0</v>
      </c>
      <c r="F27" s="347">
        <f>IFERROR(VLOOKUP(B27,пр.взв!$B$7:$H$14,5,0),"")</f>
        <v>0</v>
      </c>
      <c r="G27" s="337"/>
      <c r="H27" s="349"/>
      <c r="I27" s="345"/>
      <c r="J27" s="315"/>
      <c r="K27" s="328">
        <v>2</v>
      </c>
      <c r="L27" s="360">
        <f>пр.хода!U21</f>
        <v>6</v>
      </c>
      <c r="M27" s="350">
        <f>IFERROR(VLOOKUP(L27,пр.взв!$B$7:$H$14,2,0),"")</f>
        <v>0</v>
      </c>
      <c r="N27" s="347">
        <f>IFERROR(VLOOKUP(L27,пр.взв!$B$7:$H$14,3,0),"")</f>
        <v>0</v>
      </c>
      <c r="O27" s="347">
        <f>IFERROR(VLOOKUP(L27,пр.взв!$B$7:$H$14,4,0),"")</f>
        <v>0</v>
      </c>
      <c r="P27" s="347">
        <f>IFERROR(VLOOKUP(L27,пр.взв!$B$7:$H$14,5,0),"")</f>
        <v>0</v>
      </c>
      <c r="Q27" s="337"/>
      <c r="R27" s="349"/>
      <c r="S27" s="345"/>
      <c r="T27" s="315"/>
    </row>
    <row r="28" spans="1:20" ht="12.6" customHeight="1">
      <c r="A28" s="329"/>
      <c r="B28" s="356"/>
      <c r="C28" s="351"/>
      <c r="D28" s="348"/>
      <c r="E28" s="348"/>
      <c r="F28" s="348"/>
      <c r="G28" s="336"/>
      <c r="H28" s="336"/>
      <c r="I28" s="346"/>
      <c r="J28" s="239"/>
      <c r="K28" s="329"/>
      <c r="L28" s="356"/>
      <c r="M28" s="351"/>
      <c r="N28" s="348"/>
      <c r="O28" s="348"/>
      <c r="P28" s="348"/>
      <c r="Q28" s="336"/>
      <c r="R28" s="336"/>
      <c r="S28" s="346"/>
      <c r="T28" s="239"/>
    </row>
    <row r="29" spans="1:20">
      <c r="A29" s="329"/>
      <c r="B29" s="361">
        <f>пр.хода!A23</f>
        <v>7</v>
      </c>
      <c r="C29" s="339">
        <f>IFERROR(VLOOKUP(B29,пр.взв!$B$7:$H$14,2,0),"")</f>
        <v>0</v>
      </c>
      <c r="D29" s="341">
        <f>IFERROR(VLOOKUP(B29,пр.взв!$B$7:$H$14,3,0),"")</f>
        <v>0</v>
      </c>
      <c r="E29" s="341">
        <f>IFERROR(VLOOKUP(B29,пр.взв!$B$7:$H$14,4,0),"")</f>
        <v>0</v>
      </c>
      <c r="F29" s="341">
        <f>IFERROR(VLOOKUP(B29,пр.взв!$B$7:$H$14,5,0),"")</f>
        <v>0</v>
      </c>
      <c r="G29" s="343"/>
      <c r="H29" s="343"/>
      <c r="I29" s="240"/>
      <c r="J29" s="240"/>
      <c r="K29" s="329"/>
      <c r="L29" s="361">
        <f>пр.хода!U23</f>
        <v>8</v>
      </c>
      <c r="M29" s="339">
        <f>IFERROR(VLOOKUP(L29,пр.взв!$B$7:$H$14,2,0),"")</f>
        <v>0</v>
      </c>
      <c r="N29" s="341">
        <f>IFERROR(VLOOKUP(L29,пр.взв!$B$7:$H$14,3,0),"")</f>
        <v>0</v>
      </c>
      <c r="O29" s="341">
        <f>IFERROR(VLOOKUP(L29,пр.взв!$B$7:$H$14,4,0),"")</f>
        <v>0</v>
      </c>
      <c r="P29" s="341">
        <f>IFERROR(VLOOKUP(L29,пр.взв!$B$7:$H$14,5,0),"")</f>
        <v>0</v>
      </c>
      <c r="Q29" s="343"/>
      <c r="R29" s="343"/>
      <c r="S29" s="240"/>
      <c r="T29" s="240"/>
    </row>
    <row r="30" spans="1:20" ht="12.95" customHeight="1" thickBot="1">
      <c r="A30" s="330"/>
      <c r="B30" s="358"/>
      <c r="C30" s="340"/>
      <c r="D30" s="342"/>
      <c r="E30" s="342"/>
      <c r="F30" s="342"/>
      <c r="G30" s="344"/>
      <c r="H30" s="344"/>
      <c r="I30" s="326"/>
      <c r="J30" s="326"/>
      <c r="K30" s="330"/>
      <c r="L30" s="358"/>
      <c r="M30" s="340"/>
      <c r="N30" s="342"/>
      <c r="O30" s="342"/>
      <c r="P30" s="342"/>
      <c r="Q30" s="344"/>
      <c r="R30" s="344"/>
      <c r="S30" s="326"/>
      <c r="T30" s="326"/>
    </row>
  </sheetData>
  <mergeCells count="216"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  <pageSetUpPr fitToPage="1"/>
  </sheetPr>
  <dimension ref="A1:AP33"/>
  <sheetViews>
    <sheetView tabSelected="1" topLeftCell="A4" workbookViewId="0">
      <selection sqref="A1:H20"/>
    </sheetView>
  </sheetViews>
  <sheetFormatPr defaultRowHeight="12.75"/>
  <cols>
    <col min="1" max="1" width="6.85546875" customWidth="1"/>
    <col min="2" max="2" width="8" customWidth="1"/>
    <col min="3" max="3" width="23.5703125" customWidth="1"/>
    <col min="4" max="4" width="13.140625" customWidth="1"/>
    <col min="5" max="5" width="6.28515625" customWidth="1"/>
    <col min="6" max="6" width="22.140625" customWidth="1"/>
    <col min="7" max="7" width="10.140625" hidden="1" customWidth="1"/>
    <col min="8" max="8" width="19.7109375" customWidth="1"/>
    <col min="9" max="9" width="6.28515625" customWidth="1"/>
    <col min="10" max="10" width="3.85546875" customWidth="1"/>
    <col min="11" max="11" width="15.7109375" customWidth="1"/>
    <col min="12" max="12" width="4.85546875" customWidth="1"/>
    <col min="13" max="13" width="3.42578125" hidden="1" customWidth="1"/>
    <col min="14" max="14" width="17" hidden="1" customWidth="1"/>
    <col min="15" max="18" width="9.140625" hidden="1" customWidth="1"/>
    <col min="19" max="36" width="0" hidden="1" customWidth="1"/>
  </cols>
  <sheetData>
    <row r="1" spans="1:42" ht="27.75" customHeight="1" thickBot="1">
      <c r="A1" s="373" t="s">
        <v>24</v>
      </c>
      <c r="B1" s="373"/>
      <c r="C1" s="373"/>
      <c r="D1" s="373"/>
      <c r="E1" s="373"/>
      <c r="F1" s="373"/>
      <c r="G1" s="373"/>
      <c r="H1" s="373"/>
      <c r="I1" s="195"/>
      <c r="J1" s="119"/>
      <c r="K1" s="47"/>
      <c r="L1" s="47"/>
      <c r="M1" s="47"/>
      <c r="N1" s="47"/>
      <c r="O1" s="47"/>
      <c r="P1" s="47"/>
      <c r="Q1" s="47"/>
      <c r="R1" s="47"/>
      <c r="S1" s="47"/>
      <c r="T1" s="47"/>
      <c r="U1" s="47">
        <f>SUMIF(U6:U9,W1,$L$10:$L$13)</f>
        <v>1</v>
      </c>
      <c r="V1" s="47"/>
      <c r="W1" s="47" t="e">
        <f>#REF!</f>
        <v>#REF!</v>
      </c>
    </row>
    <row r="2" spans="1:42" ht="54" customHeight="1" thickBot="1">
      <c r="A2" s="117"/>
      <c r="B2" s="379" t="s">
        <v>73</v>
      </c>
      <c r="C2" s="379"/>
      <c r="D2" s="380" t="str">
        <f>пр.взв!B2</f>
        <v>Всероссийские соревнования по спортивному и боевому самбо среди мужчин на призы УФСИН России</v>
      </c>
      <c r="E2" s="381"/>
      <c r="F2" s="381"/>
      <c r="G2" s="381"/>
      <c r="H2" s="382"/>
      <c r="I2" s="199"/>
      <c r="J2" s="117"/>
      <c r="U2" s="232">
        <f>SUMIF(K10:K12,W1,$L$10:$L$13)</f>
        <v>2</v>
      </c>
      <c r="V2" s="232"/>
      <c r="W2" s="232"/>
      <c r="X2" s="232"/>
      <c r="Y2" s="232"/>
    </row>
    <row r="3" spans="1:42" ht="31.5" customHeight="1" thickBot="1">
      <c r="A3" s="117"/>
      <c r="B3" s="383" t="str">
        <f>пр.взв!A3</f>
        <v>20-22 апреля 2019 г           г.Тверь</v>
      </c>
      <c r="C3" s="383"/>
      <c r="D3" s="383"/>
      <c r="E3" s="383"/>
      <c r="F3" s="383"/>
      <c r="G3" s="384" t="str">
        <f>пр.взв!D4</f>
        <v>В.к. 62б  кг.</v>
      </c>
      <c r="H3" s="385"/>
      <c r="I3" s="196"/>
      <c r="J3" s="117"/>
    </row>
    <row r="4" spans="1:42" ht="12.75" customHeight="1" thickBot="1">
      <c r="A4" s="369" t="s">
        <v>10</v>
      </c>
      <c r="B4" s="371" t="s">
        <v>4</v>
      </c>
      <c r="C4" s="386" t="s">
        <v>5</v>
      </c>
      <c r="D4" s="388" t="s">
        <v>6</v>
      </c>
      <c r="E4" s="390" t="s">
        <v>7</v>
      </c>
      <c r="F4" s="388"/>
      <c r="G4" s="392" t="s">
        <v>9</v>
      </c>
      <c r="H4" s="374" t="s">
        <v>8</v>
      </c>
      <c r="I4" s="197"/>
      <c r="J4" s="117"/>
      <c r="K4" s="397" t="str">
        <f>IFERROR(LEFT(F6,FIND(",",F6)-1),F6)</f>
        <v>Тверская</v>
      </c>
      <c r="L4" s="394">
        <v>1</v>
      </c>
      <c r="M4" s="395" t="s">
        <v>59</v>
      </c>
      <c r="N4" s="364" t="s">
        <v>58</v>
      </c>
      <c r="O4" s="376"/>
      <c r="P4" s="377"/>
      <c r="Q4" s="377"/>
      <c r="R4" s="378"/>
      <c r="T4" s="362" t="s">
        <v>59</v>
      </c>
      <c r="U4" s="364" t="s">
        <v>58</v>
      </c>
      <c r="V4" s="366"/>
      <c r="W4" s="367"/>
      <c r="X4" s="367"/>
      <c r="Y4" s="368"/>
      <c r="AD4" s="362" t="s">
        <v>59</v>
      </c>
      <c r="AE4" s="364" t="s">
        <v>58</v>
      </c>
      <c r="AF4" s="366"/>
      <c r="AG4" s="367"/>
      <c r="AH4" s="367"/>
      <c r="AI4" s="368"/>
      <c r="AK4" s="362" t="s">
        <v>59</v>
      </c>
      <c r="AL4" s="364" t="s">
        <v>58</v>
      </c>
      <c r="AM4" s="366"/>
      <c r="AN4" s="367"/>
      <c r="AO4" s="367"/>
      <c r="AP4" s="368"/>
    </row>
    <row r="5" spans="1:42" ht="16.5" thickBot="1">
      <c r="A5" s="370"/>
      <c r="B5" s="372"/>
      <c r="C5" s="387"/>
      <c r="D5" s="389"/>
      <c r="E5" s="391"/>
      <c r="F5" s="389"/>
      <c r="G5" s="393"/>
      <c r="H5" s="375"/>
      <c r="I5" s="197"/>
      <c r="J5" s="117"/>
      <c r="K5" s="397"/>
      <c r="L5" s="394"/>
      <c r="M5" s="396"/>
      <c r="N5" s="365"/>
      <c r="O5" s="91">
        <v>1</v>
      </c>
      <c r="P5" s="92">
        <v>2</v>
      </c>
      <c r="Q5" s="92">
        <v>3</v>
      </c>
      <c r="R5" s="93">
        <v>5</v>
      </c>
      <c r="T5" s="363"/>
      <c r="U5" s="365"/>
      <c r="V5" s="91">
        <v>1</v>
      </c>
      <c r="W5" s="92">
        <v>2</v>
      </c>
      <c r="X5" s="92">
        <v>3</v>
      </c>
      <c r="Y5" s="93">
        <v>5</v>
      </c>
      <c r="AA5" s="126">
        <v>1</v>
      </c>
      <c r="AC5" s="126">
        <v>2</v>
      </c>
      <c r="AD5" s="363"/>
      <c r="AE5" s="365"/>
      <c r="AF5" s="127">
        <v>1</v>
      </c>
      <c r="AG5" s="128">
        <v>2</v>
      </c>
      <c r="AH5" s="128">
        <v>3</v>
      </c>
      <c r="AI5" s="129">
        <v>5</v>
      </c>
      <c r="AK5" s="363"/>
      <c r="AL5" s="365"/>
      <c r="AM5" s="127">
        <v>1</v>
      </c>
      <c r="AN5" s="128">
        <v>2</v>
      </c>
      <c r="AO5" s="128">
        <v>3</v>
      </c>
      <c r="AP5" s="129">
        <v>5</v>
      </c>
    </row>
    <row r="6" spans="1:42" ht="24" customHeight="1">
      <c r="A6" s="191">
        <v>1</v>
      </c>
      <c r="B6" s="215">
        <f>пр.хода!H9</f>
        <v>2</v>
      </c>
      <c r="C6" s="218" t="str">
        <f>IFERROR(VLOOKUP(B6,пр.взв!$B$7:$H$14,2,0),"")</f>
        <v>Чилаев Хушбахт Улфатчоевич</v>
      </c>
      <c r="D6" s="219" t="str">
        <f>IFERROR(VLOOKUP(B6,пр.взв!$B$7:$H$14,3,0),"")</f>
        <v>06.05.95, кмс</v>
      </c>
      <c r="E6" s="219" t="str">
        <f>IFERROR(VLOOKUP(B6,пр.взв!$B$7:$H$14,4,0),"")</f>
        <v>ЦФО</v>
      </c>
      <c r="F6" s="220" t="str">
        <f>IFERROR(VLOOKUP(B6,пр.взв!$B$7:$H$14,5,0),"")</f>
        <v>Тверская, Тверь</v>
      </c>
      <c r="G6" s="221">
        <f>IFERROR(VLOOKUP(B6,пр.взв!$B$7:$H$14,6,0),"")</f>
        <v>0</v>
      </c>
      <c r="H6" s="222" t="str">
        <f>IFERROR(VLOOKUP(B6,пр.взв!$B$7:$H$14,7,0),"")</f>
        <v>Остапенко АА</v>
      </c>
      <c r="I6" s="198">
        <v>100</v>
      </c>
      <c r="J6" s="117">
        <f>A6</f>
        <v>1</v>
      </c>
      <c r="K6" s="397" t="s">
        <v>60</v>
      </c>
      <c r="L6" s="394">
        <v>1</v>
      </c>
      <c r="M6" s="94">
        <v>1</v>
      </c>
      <c r="N6" s="90" t="s">
        <v>63</v>
      </c>
      <c r="O6" s="95">
        <f>SUMIF($K$4:$K$7,K4,$L$4:$L$7)</f>
        <v>1</v>
      </c>
      <c r="P6" s="95">
        <f ca="1">SUMIF($J$8:$K$9,"алт",$L$6:$L$9)</f>
        <v>0</v>
      </c>
      <c r="Q6" s="96" t="e">
        <f>SUMIF(#REF!,"Алт",#REF!)</f>
        <v>#REF!</v>
      </c>
      <c r="R6" s="96">
        <f>SUMIF($K$10:$K$13,"Алт",$L$10:$L$13)</f>
        <v>0</v>
      </c>
      <c r="T6" s="94">
        <v>1</v>
      </c>
      <c r="U6" s="90" t="str">
        <f>K4</f>
        <v>Тверская</v>
      </c>
      <c r="V6" s="95">
        <f t="shared" ref="V6:V9" si="0">SUMIF($K$4:$K$7,U6,$L$4:$L$7)</f>
        <v>1</v>
      </c>
      <c r="W6" s="95">
        <f t="shared" ref="W6:W9" ca="1" si="1">SUMIF($J$8:$K$9,U6,$L$6:$L$9)</f>
        <v>1</v>
      </c>
      <c r="X6" s="96" t="e">
        <f>SUMIF(#REF!,U6,#REF!)</f>
        <v>#REF!</v>
      </c>
      <c r="Y6" s="96">
        <f>SUMIF($K$10:$K$13,U6,$L$10:$L$13)</f>
        <v>0</v>
      </c>
      <c r="AA6" t="str">
        <f>U6</f>
        <v>Тверская</v>
      </c>
      <c r="AC6" t="str">
        <f>AA6</f>
        <v>Тверская</v>
      </c>
      <c r="AD6" s="130">
        <v>1</v>
      </c>
      <c r="AE6" s="131" t="str">
        <f>AC6</f>
        <v>Тверская</v>
      </c>
      <c r="AF6" s="132">
        <f t="shared" ref="AF6:AF9" si="2">SUMIF($K$4:$K$7,AE6,$L$4:$L$7)</f>
        <v>1</v>
      </c>
      <c r="AG6" s="132">
        <f t="shared" ref="AG6:AG9" ca="1" si="3">SUMIF($J$8:$K$9,AE6,$L$6:$L$9)</f>
        <v>1</v>
      </c>
      <c r="AH6" s="132" t="e">
        <f>SUMIF(#REF!,AE6,#REF!)</f>
        <v>#REF!</v>
      </c>
      <c r="AI6" s="133">
        <f>SUMIF($K$10:$K$13,AE6,$L$10:$L$13)</f>
        <v>0</v>
      </c>
      <c r="AK6" s="130">
        <v>1</v>
      </c>
      <c r="AL6" s="131" t="str">
        <f t="shared" ref="AL6:AP9" si="4">IF(AE6=0," ",AE6)</f>
        <v>Тверская</v>
      </c>
      <c r="AM6" s="132">
        <f t="shared" si="4"/>
        <v>1</v>
      </c>
      <c r="AN6" s="132">
        <f t="shared" ca="1" si="4"/>
        <v>1</v>
      </c>
      <c r="AO6" s="132" t="e">
        <f t="shared" si="4"/>
        <v>#REF!</v>
      </c>
      <c r="AP6" s="133" t="str">
        <f t="shared" si="4"/>
        <v xml:space="preserve"> </v>
      </c>
    </row>
    <row r="7" spans="1:42" ht="24" customHeight="1">
      <c r="A7" s="190">
        <v>2</v>
      </c>
      <c r="B7" s="216">
        <f>пр.хода!H14</f>
        <v>1</v>
      </c>
      <c r="C7" s="223" t="str">
        <f>IFERROR(VLOOKUP(B7,пр.взв!$B$7:$H$14,2,0),"")</f>
        <v>Айболатов Умар Самаилович</v>
      </c>
      <c r="D7" s="224" t="str">
        <f>IFERROR(VLOOKUP(B7,пр.взв!$B$7:$H$14,3,0),"")</f>
        <v>28.02.00, кмс</v>
      </c>
      <c r="E7" s="225" t="str">
        <f>IFERROR(VLOOKUP(B7,пр.взв!$B$7:$H$14,4,0),"")</f>
        <v>ЦФО</v>
      </c>
      <c r="F7" s="225" t="str">
        <f>IFERROR(VLOOKUP(B7,пр.взв!$B$7:$H$14,5,0),"")</f>
        <v>Тверская, Тверь</v>
      </c>
      <c r="G7" s="225">
        <f>IFERROR(VLOOKUP(B7,пр.взв!$B$7:$H$14,6,0),"")</f>
        <v>0</v>
      </c>
      <c r="H7" s="226" t="str">
        <f>IFERROR(VLOOKUP(B7,пр.взв!$B$7:$H$14,7,0),"")</f>
        <v>Остапенко АА</v>
      </c>
      <c r="I7" s="198">
        <v>80</v>
      </c>
      <c r="J7" s="117">
        <f t="shared" ref="J7:J9" si="5">A7</f>
        <v>2</v>
      </c>
      <c r="K7" s="397"/>
      <c r="L7" s="394"/>
      <c r="M7" s="89">
        <v>2</v>
      </c>
      <c r="N7" s="90" t="s">
        <v>64</v>
      </c>
      <c r="O7" s="95">
        <f>SUMIF($K$4:$K$7,"заб",$L$4:$L$7)</f>
        <v>0</v>
      </c>
      <c r="P7" s="95">
        <f ca="1">SUMIF($J$8:$K$9,"заб",$L$6:$L$9)</f>
        <v>0</v>
      </c>
      <c r="Q7" s="96" t="e">
        <f>SUMIF(#REF!,"заб",#REF!)</f>
        <v>#REF!</v>
      </c>
      <c r="R7" s="96">
        <f>SUMIF($K$10:$K$13,"заб",$L$10:$L$13)</f>
        <v>0</v>
      </c>
      <c r="T7" s="89">
        <v>2</v>
      </c>
      <c r="U7" s="90" t="str">
        <f>IF(K8=K4," ",K8)</f>
        <v xml:space="preserve"> </v>
      </c>
      <c r="V7" s="95">
        <f t="shared" si="0"/>
        <v>0</v>
      </c>
      <c r="W7" s="95">
        <f t="shared" ca="1" si="1"/>
        <v>0</v>
      </c>
      <c r="X7" s="96" t="e">
        <f>SUMIF(#REF!,U7,#REF!)</f>
        <v>#REF!</v>
      </c>
      <c r="Y7" s="96">
        <f>SUMIF($K$10:$K$13,U7,$L$10:$L$13)</f>
        <v>0</v>
      </c>
      <c r="AA7" t="e">
        <f>IF(OR(U7=" "),U8,U7)</f>
        <v>#REF!</v>
      </c>
      <c r="AB7">
        <f>IF(V7=V6," ",V7)</f>
        <v>0</v>
      </c>
      <c r="AC7" t="e">
        <f>IF(OR(AA7=" "),AA8,AA7)</f>
        <v>#REF!</v>
      </c>
      <c r="AD7" s="134">
        <v>2</v>
      </c>
      <c r="AE7" s="135" t="e">
        <f>IF(OR(AC7=" "),AC8,AC7)</f>
        <v>#REF!</v>
      </c>
      <c r="AF7" s="136">
        <f t="shared" si="2"/>
        <v>0</v>
      </c>
      <c r="AG7" s="136">
        <f t="shared" ca="1" si="3"/>
        <v>0</v>
      </c>
      <c r="AH7" s="136" t="e">
        <f>SUMIF(#REF!,AE7,#REF!)</f>
        <v>#REF!</v>
      </c>
      <c r="AI7" s="137">
        <f>SUMIF($K$10:$K$13,AE7,$L$10:$L$13)</f>
        <v>2</v>
      </c>
      <c r="AK7" s="134">
        <v>2</v>
      </c>
      <c r="AL7" s="135" t="e">
        <f t="shared" si="4"/>
        <v>#REF!</v>
      </c>
      <c r="AM7" s="136" t="str">
        <f t="shared" si="4"/>
        <v xml:space="preserve"> </v>
      </c>
      <c r="AN7" s="136" t="str">
        <f t="shared" ca="1" si="4"/>
        <v xml:space="preserve"> </v>
      </c>
      <c r="AO7" s="136" t="e">
        <f t="shared" si="4"/>
        <v>#REF!</v>
      </c>
      <c r="AP7" s="137">
        <f t="shared" si="4"/>
        <v>2</v>
      </c>
    </row>
    <row r="8" spans="1:42" ht="24" customHeight="1">
      <c r="A8" s="190">
        <v>3</v>
      </c>
      <c r="B8" s="216">
        <f>пр.хода!E25</f>
        <v>3</v>
      </c>
      <c r="C8" s="223" t="str">
        <f>IFERROR(VLOOKUP(B8,пр.взв!$B$7:$H$14,2,0),"")</f>
        <v>Перваков Кирилл Андреевич</v>
      </c>
      <c r="D8" s="224" t="str">
        <f>IFERROR(VLOOKUP(B8,пр.взв!$B$7:$H$14,3,0),"")</f>
        <v>26.06.98, кмс</v>
      </c>
      <c r="E8" s="225" t="str">
        <f>IFERROR(VLOOKUP(B8,пр.взв!$B$7:$H$14,4,0),"")</f>
        <v>ПФО</v>
      </c>
      <c r="F8" s="225" t="str">
        <f>IFERROR(VLOOKUP(B8,пр.взв!$B$7:$H$14,5,0),"")</f>
        <v>Кировская, Киров</v>
      </c>
      <c r="G8" s="225">
        <f>IFERROR(VLOOKUP(B8,пр.взв!$B$7:$H$14,6,0),"")</f>
        <v>0</v>
      </c>
      <c r="H8" s="226" t="str">
        <f>IFERROR(VLOOKUP(B8,пр.взв!$B$7:$H$14,7,0),"")</f>
        <v>Губин ВВ</v>
      </c>
      <c r="I8" s="198">
        <v>70</v>
      </c>
      <c r="J8" s="117">
        <f t="shared" si="5"/>
        <v>3</v>
      </c>
      <c r="K8" s="394" t="str">
        <f>IFERROR(LEFT(F7,FIND(",",F7)-1),F7)</f>
        <v>Тверская</v>
      </c>
      <c r="L8" s="394">
        <v>1</v>
      </c>
      <c r="M8" s="88">
        <v>3</v>
      </c>
      <c r="N8" s="90" t="s">
        <v>65</v>
      </c>
      <c r="O8" s="95">
        <f>SUMIF($K$4:$K$7,"ирк",$L$4:$L$7)</f>
        <v>0</v>
      </c>
      <c r="P8" s="95">
        <f ca="1">SUMIF($J$8:$K$9,"ирк",$L$6:$L$9)</f>
        <v>0</v>
      </c>
      <c r="Q8" s="96" t="e">
        <f>SUMIF(#REF!,"ирк",#REF!)</f>
        <v>#REF!</v>
      </c>
      <c r="R8" s="96">
        <f>SUMIF($K$10:$K$13,"ирк",$L$10:$L$13)</f>
        <v>0</v>
      </c>
      <c r="T8" s="88">
        <v>3</v>
      </c>
      <c r="U8" s="90" t="e">
        <f>IF(OR(#REF!=K4,#REF!=K8)," ",#REF!)</f>
        <v>#REF!</v>
      </c>
      <c r="V8" s="95">
        <f t="shared" si="0"/>
        <v>0</v>
      </c>
      <c r="W8" s="95">
        <f t="shared" ca="1" si="1"/>
        <v>0</v>
      </c>
      <c r="X8" s="96" t="e">
        <f>SUMIF(#REF!,U8,#REF!)</f>
        <v>#REF!</v>
      </c>
      <c r="Y8" s="96">
        <f>SUMIF($K$10:$K$13,U8,$L$10:$L$13)</f>
        <v>2</v>
      </c>
      <c r="AA8" t="e">
        <f>IF(OR(U8=" ",U7=" "),U9,U8)</f>
        <v>#REF!</v>
      </c>
      <c r="AC8" t="e">
        <f>IF(OR(AA8=" ",AA7=" "),AA9,AA8)</f>
        <v>#REF!</v>
      </c>
      <c r="AD8" s="138">
        <v>3</v>
      </c>
      <c r="AE8" s="135" t="e">
        <f>IF(OR(AC8=" ",AC7=" "),AC9,AC8)</f>
        <v>#REF!</v>
      </c>
      <c r="AF8" s="136">
        <f t="shared" si="2"/>
        <v>0</v>
      </c>
      <c r="AG8" s="136">
        <f t="shared" ca="1" si="3"/>
        <v>0</v>
      </c>
      <c r="AH8" s="136" t="e">
        <f>SUMIF(#REF!,AE8,#REF!)</f>
        <v>#REF!</v>
      </c>
      <c r="AI8" s="137">
        <f>SUMIF($K$10:$K$13,AE8,$L$10:$L$13)</f>
        <v>2</v>
      </c>
      <c r="AK8" s="138">
        <v>3</v>
      </c>
      <c r="AL8" s="135" t="e">
        <f t="shared" si="4"/>
        <v>#REF!</v>
      </c>
      <c r="AM8" s="136" t="str">
        <f t="shared" si="4"/>
        <v xml:space="preserve"> </v>
      </c>
      <c r="AN8" s="136" t="str">
        <f t="shared" ca="1" si="4"/>
        <v xml:space="preserve"> </v>
      </c>
      <c r="AO8" s="136" t="e">
        <f t="shared" si="4"/>
        <v>#REF!</v>
      </c>
      <c r="AP8" s="137">
        <f t="shared" si="4"/>
        <v>2</v>
      </c>
    </row>
    <row r="9" spans="1:42" ht="24" customHeight="1" thickBot="1">
      <c r="A9" s="214">
        <v>3</v>
      </c>
      <c r="B9" s="217">
        <f>пр.хода!Q25</f>
        <v>4</v>
      </c>
      <c r="C9" s="227" t="str">
        <f>IFERROR(VLOOKUP(B9,пр.взв!$B$7:$H$14,2,0),"")</f>
        <v>Джумбулов Давлатиер Худоерович</v>
      </c>
      <c r="D9" s="228" t="str">
        <f>IFERROR(VLOOKUP(B9,пр.взв!$B$7:$H$14,3,0),"")</f>
        <v>08.11.98, кмс</v>
      </c>
      <c r="E9" s="229" t="str">
        <f>IFERROR(VLOOKUP(B9,пр.взв!$B$7:$H$14,4,0),"")</f>
        <v>ЦФО</v>
      </c>
      <c r="F9" s="229" t="str">
        <f>IFERROR(VLOOKUP(B9,пр.взв!$B$7:$H$14,5,0),"")</f>
        <v>Тверская, Тверь</v>
      </c>
      <c r="G9" s="229">
        <f>IFERROR(VLOOKUP(B9,пр.взв!$B$7:$H$14,6,0),"")</f>
        <v>0</v>
      </c>
      <c r="H9" s="230" t="str">
        <f>IFERROR(VLOOKUP(B9,пр.взв!$B$7:$H$14,7,0),"")</f>
        <v>Морозов ВА</v>
      </c>
      <c r="I9" s="198">
        <v>70</v>
      </c>
      <c r="J9" s="117">
        <f t="shared" si="5"/>
        <v>3</v>
      </c>
      <c r="K9" s="394"/>
      <c r="L9" s="394"/>
      <c r="M9" s="89">
        <v>4</v>
      </c>
      <c r="N9" s="90" t="s">
        <v>66</v>
      </c>
      <c r="O9" s="95">
        <f>SUMIF($K$4:$K$7,"кем",$L$4:$L$7)</f>
        <v>0</v>
      </c>
      <c r="P9" s="95">
        <f ca="1">SUMIF($J$8:$K$9,"кем",$L$6:$L$9)</f>
        <v>0</v>
      </c>
      <c r="Q9" s="96" t="e">
        <f>SUMIF(#REF!,"кем",#REF!)</f>
        <v>#REF!</v>
      </c>
      <c r="R9" s="96">
        <f>SUMIF($K$10:$K$13,"кем",$L$10:$L$13)</f>
        <v>0</v>
      </c>
      <c r="T9" s="89">
        <v>4</v>
      </c>
      <c r="U9" s="90" t="e">
        <f>IF(OR(#REF!=K4,#REF!=K8,#REF!=#REF!)," ",#REF!)</f>
        <v>#REF!</v>
      </c>
      <c r="V9" s="95">
        <f t="shared" si="0"/>
        <v>0</v>
      </c>
      <c r="W9" s="95">
        <f t="shared" ca="1" si="1"/>
        <v>0</v>
      </c>
      <c r="X9" s="96" t="e">
        <f>SUMIF(#REF!,U9,#REF!)</f>
        <v>#REF!</v>
      </c>
      <c r="Y9" s="96">
        <f>SUMIF($K$10:$K$13,U9,$L$10:$L$13)</f>
        <v>2</v>
      </c>
      <c r="AA9" t="e">
        <f>IF(OR(U7=" ",U8=" ",U9=" "),#REF!,U9)</f>
        <v>#REF!</v>
      </c>
      <c r="AC9" t="e">
        <f>IF(OR(AA7=" ",AA8=" ",AA9=" "),#REF!,AA9)</f>
        <v>#REF!</v>
      </c>
      <c r="AD9" s="134">
        <v>4</v>
      </c>
      <c r="AE9" s="135" t="e">
        <f>IF(OR(AC7=" ",AC8=" ",AC9=" "),#REF!,AC9)</f>
        <v>#REF!</v>
      </c>
      <c r="AF9" s="136">
        <f t="shared" si="2"/>
        <v>0</v>
      </c>
      <c r="AG9" s="136">
        <f t="shared" ca="1" si="3"/>
        <v>0</v>
      </c>
      <c r="AH9" s="136" t="e">
        <f>SUMIF(#REF!,AE9,#REF!)</f>
        <v>#REF!</v>
      </c>
      <c r="AI9" s="137">
        <f>SUMIF($K$10:$K$13,AE9,$L$10:$L$13)</f>
        <v>2</v>
      </c>
      <c r="AK9" s="134">
        <v>4</v>
      </c>
      <c r="AL9" s="135" t="e">
        <f t="shared" si="4"/>
        <v>#REF!</v>
      </c>
      <c r="AM9" s="136" t="str">
        <f t="shared" si="4"/>
        <v xml:space="preserve"> </v>
      </c>
      <c r="AN9" s="136" t="str">
        <f t="shared" ca="1" si="4"/>
        <v xml:space="preserve"> </v>
      </c>
      <c r="AO9" s="136" t="e">
        <f t="shared" si="4"/>
        <v>#REF!</v>
      </c>
      <c r="AP9" s="137">
        <f t="shared" si="4"/>
        <v>2</v>
      </c>
    </row>
    <row r="10" spans="1:42" ht="12.75" customHeight="1">
      <c r="A10" s="117"/>
      <c r="B10" s="117"/>
      <c r="C10" s="117"/>
      <c r="D10" s="117"/>
      <c r="E10" s="117"/>
      <c r="F10" s="117"/>
      <c r="G10" s="117"/>
      <c r="H10" s="117"/>
      <c r="I10" s="117"/>
      <c r="J10" s="117"/>
      <c r="K10" s="394" t="e">
        <f>IFERROR(LEFT(#REF!,FIND(",",#REF!)-1),#REF!)</f>
        <v>#REF!</v>
      </c>
      <c r="L10" s="394">
        <v>1</v>
      </c>
      <c r="M10" s="88">
        <v>9</v>
      </c>
      <c r="N10" s="90" t="s">
        <v>67</v>
      </c>
      <c r="O10" s="95">
        <f>SUMIF($K$4:$K$7,"р.б",$L$4:$L$7)</f>
        <v>0</v>
      </c>
      <c r="P10" s="95">
        <f ca="1">SUMIF($J$8:$K$9,"р.б",$L$6:$L$9)</f>
        <v>0</v>
      </c>
      <c r="Q10" s="96" t="e">
        <f>SUMIF(#REF!,"р.б",#REF!)</f>
        <v>#REF!</v>
      </c>
      <c r="R10" s="96">
        <f>SUMIF($K$10:$K$13,"р.б",$L$10:$L$13)</f>
        <v>0</v>
      </c>
      <c r="T10" s="100"/>
      <c r="U10" s="101"/>
      <c r="V10" s="102"/>
      <c r="W10" s="102"/>
      <c r="X10" s="103"/>
      <c r="Y10" s="103"/>
    </row>
    <row r="11" spans="1:42" ht="15.75">
      <c r="A11" s="117"/>
      <c r="B11" s="117"/>
      <c r="C11" s="117"/>
      <c r="D11" s="117"/>
      <c r="E11" s="117"/>
      <c r="F11" s="117"/>
      <c r="G11" s="117"/>
      <c r="H11" s="117"/>
      <c r="I11" s="117"/>
      <c r="J11" s="117"/>
      <c r="K11" s="394"/>
      <c r="L11" s="394"/>
      <c r="M11" s="89">
        <v>10</v>
      </c>
      <c r="N11" s="90" t="s">
        <v>68</v>
      </c>
      <c r="O11" s="95">
        <f>SUMIF($K$4:$K$7,"р.х",$L$4:$L$7)</f>
        <v>0</v>
      </c>
      <c r="P11" s="95">
        <f ca="1">SUMIF($J$8:$K$9,"р.х",$L$6:$L$9)</f>
        <v>0</v>
      </c>
      <c r="Q11" s="96" t="e">
        <f>SUMIF(#REF!,"р.х",#REF!)</f>
        <v>#REF!</v>
      </c>
      <c r="R11" s="96">
        <f>SUMIF($K$10:$K$13,"р.х",$L$10:$L$13)</f>
        <v>0</v>
      </c>
      <c r="T11" s="104"/>
      <c r="U11" s="101"/>
      <c r="V11" s="102"/>
      <c r="W11" s="102"/>
      <c r="X11" s="103"/>
      <c r="Y11" s="103"/>
    </row>
    <row r="12" spans="1:42" ht="12.75" customHeight="1">
      <c r="A12" s="117"/>
      <c r="B12" s="117"/>
      <c r="C12" s="117"/>
      <c r="D12" s="117"/>
      <c r="E12" s="117"/>
      <c r="F12" s="117"/>
      <c r="G12" s="117"/>
      <c r="H12" s="117"/>
      <c r="I12" s="117"/>
      <c r="J12" s="117"/>
      <c r="K12" s="394" t="e">
        <f>IFERROR(LEFT(#REF!,FIND(",",#REF!)-1),#REF!)</f>
        <v>#REF!</v>
      </c>
      <c r="L12" s="394">
        <v>1</v>
      </c>
      <c r="M12" s="88">
        <v>11</v>
      </c>
      <c r="N12" s="139" t="s">
        <v>69</v>
      </c>
      <c r="O12" s="95">
        <f>SUMIF($K$4:$K$7,"том",$L$4:$L$7)</f>
        <v>0</v>
      </c>
      <c r="P12" s="95">
        <f ca="1">SUMIF($J$8:$K$9,"том",$L$6:$L$9)</f>
        <v>0</v>
      </c>
      <c r="Q12" s="96" t="e">
        <f>SUMIF(#REF!,"том",#REF!)</f>
        <v>#REF!</v>
      </c>
      <c r="R12" s="96">
        <f>SUMIF($K$10:$K$13,"том",$L$10:$L$13)</f>
        <v>0</v>
      </c>
      <c r="T12" s="100"/>
      <c r="U12" s="105"/>
      <c r="V12" s="102"/>
      <c r="W12" s="102"/>
      <c r="X12" s="103"/>
      <c r="Y12" s="103"/>
    </row>
    <row r="13" spans="1:42" ht="4.5" customHeight="1">
      <c r="A13" s="117"/>
      <c r="B13" s="117"/>
      <c r="C13" s="117"/>
      <c r="D13" s="117"/>
      <c r="E13" s="117"/>
      <c r="F13" s="117"/>
      <c r="G13" s="117"/>
      <c r="H13" s="117"/>
      <c r="I13" s="117"/>
      <c r="J13" s="117"/>
      <c r="K13" s="394"/>
      <c r="L13" s="394"/>
      <c r="M13" s="89">
        <v>12</v>
      </c>
      <c r="N13" s="139" t="s">
        <v>70</v>
      </c>
      <c r="O13" s="95">
        <f>SUMIF($K$4:$K$7,"Мос",$L$4:$L$7)</f>
        <v>0</v>
      </c>
      <c r="P13" s="95">
        <f ca="1">SUMIF($J$8:$K$9,"Мос",$L$6:$L$9)</f>
        <v>0</v>
      </c>
      <c r="Q13" s="96" t="e">
        <f>SUMIF(#REF!,"Мос",#REF!)</f>
        <v>#REF!</v>
      </c>
      <c r="R13" s="96">
        <f>SUMIF($K$10:$K$13,"Мос",$L$10:$L$13)</f>
        <v>0</v>
      </c>
      <c r="T13" s="104"/>
      <c r="U13" s="105"/>
      <c r="V13" s="102"/>
      <c r="W13" s="102"/>
      <c r="X13" s="103"/>
      <c r="Y13" s="103"/>
    </row>
    <row r="14" spans="1:42" ht="12.75" hidden="1" customHeight="1" thickBot="1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M14" s="97"/>
      <c r="N14" s="98"/>
      <c r="O14" s="99">
        <f>SUM(O6:O13)</f>
        <v>1</v>
      </c>
      <c r="P14" s="99">
        <f ca="1">SUM(P6:P13)</f>
        <v>0</v>
      </c>
      <c r="Q14" s="99" t="e">
        <f>SUM(Q6:Q13)</f>
        <v>#REF!</v>
      </c>
      <c r="R14" s="99">
        <f>SUM(R6:R13)</f>
        <v>0</v>
      </c>
    </row>
    <row r="15" spans="1:42" ht="12" hidden="1" customHeight="1">
      <c r="A15" s="120"/>
      <c r="B15" s="120"/>
      <c r="C15" s="120"/>
      <c r="D15" s="120"/>
      <c r="E15" s="120"/>
      <c r="F15" s="120"/>
      <c r="G15" s="120"/>
      <c r="H15" s="120"/>
      <c r="I15" s="120"/>
      <c r="J15" s="117"/>
    </row>
    <row r="16" spans="1:42" ht="12.75" hidden="1" customHeight="1">
      <c r="A16" s="121"/>
      <c r="B16" s="121"/>
      <c r="C16" s="121"/>
      <c r="D16" s="120"/>
      <c r="E16" s="120"/>
      <c r="F16" s="120"/>
      <c r="G16" s="120"/>
      <c r="H16" s="120"/>
      <c r="I16" s="120"/>
      <c r="J16" s="117"/>
    </row>
    <row r="17" spans="1:12" ht="19.5" customHeight="1">
      <c r="A17" s="122" t="str">
        <f>[1]реквизиты!$A$6</f>
        <v>Гл. судья, судья ВК</v>
      </c>
      <c r="B17" s="121"/>
      <c r="C17" s="123"/>
      <c r="D17" s="124"/>
      <c r="E17" s="124"/>
      <c r="F17" s="200" t="str">
        <f>[1]реквизиты!$G$6</f>
        <v xml:space="preserve">Н.Н.Малышев </v>
      </c>
      <c r="G17" s="125" t="str">
        <f>[1]реквизиты!$G$6</f>
        <v xml:space="preserve">Н.Н.Малышев </v>
      </c>
      <c r="H17" s="117" t="str">
        <f>[1]реквизиты!$G$7</f>
        <v>/Дубна /</v>
      </c>
      <c r="I17" s="117"/>
      <c r="J17" s="117"/>
    </row>
    <row r="18" spans="1:12" ht="15">
      <c r="A18" s="121"/>
      <c r="B18" s="121"/>
      <c r="C18" s="123"/>
      <c r="D18" s="165"/>
      <c r="E18" s="124"/>
      <c r="F18" s="124"/>
      <c r="G18" s="148" t="str">
        <f>[1]реквизиты!$G$7</f>
        <v>/Дубна /</v>
      </c>
      <c r="H18" s="117"/>
      <c r="I18" s="117"/>
      <c r="J18" s="117"/>
    </row>
    <row r="19" spans="1:12" ht="15">
      <c r="A19" s="121"/>
      <c r="B19" s="121"/>
      <c r="C19" s="123"/>
      <c r="D19" s="124"/>
      <c r="E19" s="124"/>
      <c r="F19" s="124"/>
      <c r="G19" s="120"/>
      <c r="H19" s="117"/>
      <c r="I19" s="117"/>
      <c r="J19" s="117"/>
    </row>
    <row r="20" spans="1:12" ht="15.75">
      <c r="A20" s="122" t="str">
        <f>пр.хода!B33</f>
        <v>Гл. секретарь, судья ВК</v>
      </c>
      <c r="B20" s="121"/>
      <c r="C20" s="123"/>
      <c r="D20" s="166"/>
      <c r="E20" s="124"/>
      <c r="F20" s="200" t="str">
        <f>[1]реквизиты!$G$8</f>
        <v>А.С.Тимошин</v>
      </c>
      <c r="G20" s="125" t="str">
        <f>[1]реквизиты!$G$8</f>
        <v>А.С.Тимошин</v>
      </c>
      <c r="H20" s="117" t="str">
        <f>[1]реквизиты!$G$9</f>
        <v>/Рыбинск/</v>
      </c>
      <c r="I20" s="117"/>
      <c r="J20" s="117"/>
    </row>
    <row r="21" spans="1:12" ht="15">
      <c r="A21" s="121"/>
      <c r="B21" s="121"/>
      <c r="C21" s="121"/>
      <c r="D21" s="124"/>
      <c r="E21" s="124"/>
      <c r="F21" s="124"/>
      <c r="G21" s="148" t="str">
        <f>[1]реквизиты!$G$9</f>
        <v>/Рыбинск/</v>
      </c>
      <c r="H21" s="120"/>
      <c r="I21" s="120"/>
      <c r="J21" s="117"/>
    </row>
    <row r="22" spans="1:12">
      <c r="A22" s="120"/>
      <c r="B22" s="120"/>
      <c r="C22" s="120"/>
      <c r="D22" s="124"/>
      <c r="E22" s="124"/>
      <c r="F22" s="124"/>
      <c r="G22" s="120"/>
      <c r="H22" s="120"/>
      <c r="I22" s="120"/>
      <c r="J22" s="117"/>
    </row>
    <row r="23" spans="1:12">
      <c r="A23" s="117"/>
      <c r="B23" s="117"/>
      <c r="C23" s="117"/>
      <c r="D23" s="118"/>
      <c r="E23" s="118"/>
      <c r="F23" s="118"/>
      <c r="G23" s="117"/>
      <c r="H23" s="117"/>
      <c r="I23" s="117"/>
      <c r="J23" s="117"/>
    </row>
    <row r="24" spans="1:12">
      <c r="A24" s="117"/>
      <c r="B24" s="117"/>
      <c r="C24" s="117"/>
      <c r="D24" s="118"/>
      <c r="E24" s="118"/>
      <c r="F24" s="118"/>
      <c r="G24" s="117"/>
      <c r="H24" s="117"/>
      <c r="I24" s="117"/>
      <c r="J24" s="117"/>
    </row>
    <row r="25" spans="1:12">
      <c r="A25" s="117"/>
      <c r="B25" s="117"/>
      <c r="C25" s="117"/>
      <c r="D25" s="118"/>
      <c r="E25" s="118"/>
      <c r="F25" s="118"/>
      <c r="G25" s="117"/>
      <c r="H25" s="117"/>
      <c r="I25" s="117"/>
      <c r="J25" s="120"/>
      <c r="K25" s="3"/>
      <c r="L25" s="3"/>
    </row>
    <row r="26" spans="1:12">
      <c r="J26" s="120"/>
      <c r="K26" s="3"/>
      <c r="L26" s="3"/>
    </row>
    <row r="27" spans="1:12">
      <c r="J27" s="120"/>
      <c r="K27" s="3"/>
      <c r="L27" s="3"/>
    </row>
    <row r="28" spans="1:12">
      <c r="J28" s="120"/>
      <c r="K28" s="11"/>
      <c r="L28" s="11"/>
    </row>
    <row r="29" spans="1:12">
      <c r="J29" s="117"/>
    </row>
    <row r="30" spans="1:12">
      <c r="J30" s="117"/>
    </row>
    <row r="31" spans="1:12">
      <c r="J31" s="117"/>
    </row>
    <row r="32" spans="1:12">
      <c r="J32" s="117"/>
    </row>
    <row r="33" spans="10:10">
      <c r="J33" s="117"/>
    </row>
  </sheetData>
  <sheetProtection formatCells="0" formatColumns="0" formatRows="0" insertColumns="0" insertRows="0" insertHyperlinks="0" deleteColumns="0" deleteRows="0" sort="0" autoFilter="0" pivotTables="0"/>
  <mergeCells count="35">
    <mergeCell ref="K12:K13"/>
    <mergeCell ref="L12:L13"/>
    <mergeCell ref="M4:M5"/>
    <mergeCell ref="N4:N5"/>
    <mergeCell ref="K8:K9"/>
    <mergeCell ref="L8:L9"/>
    <mergeCell ref="K4:K5"/>
    <mergeCell ref="L4:L5"/>
    <mergeCell ref="K6:K7"/>
    <mergeCell ref="L6:L7"/>
    <mergeCell ref="K10:K11"/>
    <mergeCell ref="L10:L11"/>
    <mergeCell ref="A4:A5"/>
    <mergeCell ref="B4:B5"/>
    <mergeCell ref="A1:H1"/>
    <mergeCell ref="H4:H5"/>
    <mergeCell ref="AF4:AI4"/>
    <mergeCell ref="O4:R4"/>
    <mergeCell ref="B2:C2"/>
    <mergeCell ref="D2:H2"/>
    <mergeCell ref="B3:F3"/>
    <mergeCell ref="G3:H3"/>
    <mergeCell ref="C4:C5"/>
    <mergeCell ref="D4:D5"/>
    <mergeCell ref="E4:F5"/>
    <mergeCell ref="G4:G5"/>
    <mergeCell ref="AK4:AK5"/>
    <mergeCell ref="AL4:AL5"/>
    <mergeCell ref="AM4:AP4"/>
    <mergeCell ref="U2:Y2"/>
    <mergeCell ref="T4:T5"/>
    <mergeCell ref="U4:U5"/>
    <mergeCell ref="V4:Y4"/>
    <mergeCell ref="AD4:AD5"/>
    <mergeCell ref="AE4:AE5"/>
  </mergeCells>
  <phoneticPr fontId="0" type="noConversion"/>
  <conditionalFormatting sqref="G6:G9">
    <cfRule type="cellIs" dxfId="1" priority="2" operator="equal">
      <formula>0</formula>
    </cfRule>
  </conditionalFormatting>
  <conditionalFormatting sqref="F6:F9">
    <cfRule type="duplicateValues" dxfId="0" priority="3"/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55" orientation="portrait" verticalDpi="300" r:id="rId1"/>
  <headerFooter alignWithMargins="0"/>
  <ignoredErrors>
    <ignoredError sqref="B7:H9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7"/>
  </sheetPr>
  <dimension ref="A1:J47"/>
  <sheetViews>
    <sheetView topLeftCell="A19" workbookViewId="0">
      <selection activeCell="A29" sqref="A29:I38"/>
    </sheetView>
  </sheetViews>
  <sheetFormatPr defaultRowHeight="12.75"/>
  <cols>
    <col min="1" max="1" width="4.7109375" customWidth="1"/>
    <col min="2" max="2" width="5.42578125" customWidth="1"/>
    <col min="3" max="3" width="24.42578125" customWidth="1"/>
    <col min="4" max="4" width="8.5703125" customWidth="1"/>
    <col min="5" max="5" width="5.5703125" hidden="1" customWidth="1"/>
    <col min="6" max="6" width="18.42578125" customWidth="1"/>
    <col min="7" max="7" width="27.28515625" customWidth="1"/>
    <col min="8" max="8" width="7" customWidth="1"/>
    <col min="9" max="9" width="6.42578125" customWidth="1"/>
  </cols>
  <sheetData>
    <row r="1" spans="1:9" ht="33.75" customHeight="1" thickBot="1">
      <c r="A1" s="417" t="str">
        <f>пр.хода!C3</f>
        <v>Всероссийские соревнования по спортивному и боевому самбо среди мужчин на призы УФСИН России</v>
      </c>
      <c r="B1" s="418"/>
      <c r="C1" s="418"/>
      <c r="D1" s="418"/>
      <c r="E1" s="418"/>
      <c r="F1" s="418"/>
      <c r="G1" s="418"/>
      <c r="H1" s="418"/>
      <c r="I1" s="418"/>
    </row>
    <row r="2" spans="1:9" ht="27.75" customHeight="1">
      <c r="D2" s="43"/>
      <c r="E2" s="43"/>
      <c r="F2" s="50" t="str">
        <f>HYPERLINK(пр.взв!D4)</f>
        <v>В.к. 62б  кг.</v>
      </c>
    </row>
    <row r="3" spans="1:9">
      <c r="C3" s="10" t="s">
        <v>21</v>
      </c>
    </row>
    <row r="4" spans="1:9">
      <c r="C4" s="41" t="s">
        <v>11</v>
      </c>
    </row>
    <row r="5" spans="1:9">
      <c r="A5" s="239" t="s">
        <v>12</v>
      </c>
      <c r="B5" s="239" t="s">
        <v>4</v>
      </c>
      <c r="C5" s="410" t="s">
        <v>5</v>
      </c>
      <c r="D5" s="239" t="s">
        <v>13</v>
      </c>
      <c r="E5" s="398" t="s">
        <v>14</v>
      </c>
      <c r="F5" s="399"/>
      <c r="G5" s="239" t="s">
        <v>15</v>
      </c>
      <c r="H5" s="239" t="s">
        <v>16</v>
      </c>
      <c r="I5" s="239" t="s">
        <v>17</v>
      </c>
    </row>
    <row r="6" spans="1:9">
      <c r="A6" s="240"/>
      <c r="B6" s="240"/>
      <c r="C6" s="240"/>
      <c r="D6" s="240"/>
      <c r="E6" s="400"/>
      <c r="F6" s="401"/>
      <c r="G6" s="240"/>
      <c r="H6" s="240"/>
      <c r="I6" s="240"/>
    </row>
    <row r="7" spans="1:9">
      <c r="A7" s="411"/>
      <c r="B7" s="412">
        <f>пр.хода!C22</f>
        <v>0</v>
      </c>
      <c r="C7" s="413" t="str">
        <f>IFERROR(VLOOKUP(B7,пр.взв!$B$7:$H$14,2,0),"")</f>
        <v/>
      </c>
      <c r="D7" s="402" t="str">
        <f>IFERROR(VLOOKUP(B7,пр.взв!$B$7:$H$14,3,0),"")</f>
        <v/>
      </c>
      <c r="E7" s="406" t="str">
        <f>IFERROR(VLOOKUP(B7,пр.взв!$B$7:$H$14,4,0),"")</f>
        <v/>
      </c>
      <c r="F7" s="402" t="str">
        <f>IFERROR(VLOOKUP(B7,пр.взв!$B$7:$H$14,5,0),"")</f>
        <v/>
      </c>
      <c r="G7" s="409"/>
      <c r="H7" s="346"/>
      <c r="I7" s="239"/>
    </row>
    <row r="8" spans="1:9">
      <c r="A8" s="411"/>
      <c r="B8" s="239"/>
      <c r="C8" s="414"/>
      <c r="D8" s="403"/>
      <c r="E8" s="407"/>
      <c r="F8" s="408"/>
      <c r="G8" s="409"/>
      <c r="H8" s="346"/>
      <c r="I8" s="239"/>
    </row>
    <row r="9" spans="1:9" ht="12.6" customHeight="1">
      <c r="A9" s="415"/>
      <c r="B9" s="412">
        <f>пр.хода!B27</f>
        <v>4</v>
      </c>
      <c r="C9" s="413" t="str">
        <f>IFERROR(VLOOKUP(B9,пр.взв!$B$7:$H$14,2,0),"")</f>
        <v>Джумбулов Давлатиер Худоерович</v>
      </c>
      <c r="D9" s="402" t="str">
        <f>IFERROR(VLOOKUP(B9,пр.взв!$B$7:$H$14,3,0),"")</f>
        <v>08.11.98, кмс</v>
      </c>
      <c r="E9" s="402" t="str">
        <f>IFERROR(VLOOKUP(B9,пр.взв!$B$7:$H$14,4,0),"")</f>
        <v>ЦФО</v>
      </c>
      <c r="F9" s="402" t="str">
        <f>IFERROR(VLOOKUP(B9,пр.взв!$B$7:$H$14,5,0),"")</f>
        <v>Тверская, Тверь</v>
      </c>
      <c r="G9" s="409"/>
      <c r="H9" s="239"/>
      <c r="I9" s="239"/>
    </row>
    <row r="10" spans="1:9" ht="12.6" customHeight="1">
      <c r="A10" s="415"/>
      <c r="B10" s="239"/>
      <c r="C10" s="414"/>
      <c r="D10" s="403"/>
      <c r="E10" s="403"/>
      <c r="F10" s="403"/>
      <c r="G10" s="409"/>
      <c r="H10" s="239"/>
      <c r="I10" s="239"/>
    </row>
    <row r="11" spans="1:9" ht="29.25" customHeight="1">
      <c r="A11" s="8" t="s">
        <v>19</v>
      </c>
      <c r="B11" s="8"/>
    </row>
    <row r="12" spans="1:9" ht="20.100000000000001" customHeight="1">
      <c r="B12" s="8" t="s">
        <v>0</v>
      </c>
      <c r="C12" s="42"/>
      <c r="D12" s="42"/>
      <c r="E12" s="42"/>
      <c r="F12" s="42"/>
      <c r="G12" s="42"/>
      <c r="H12" s="42"/>
      <c r="I12" s="42"/>
    </row>
    <row r="13" spans="1:9" ht="20.100000000000001" customHeight="1">
      <c r="B13" s="8" t="s">
        <v>1</v>
      </c>
      <c r="C13" s="42"/>
      <c r="D13" s="42"/>
      <c r="E13" s="42"/>
      <c r="F13" s="42"/>
      <c r="G13" s="42"/>
      <c r="H13" s="42"/>
      <c r="I13" s="42"/>
    </row>
    <row r="14" spans="1:9" ht="20.100000000000001" customHeight="1"/>
    <row r="15" spans="1:9" ht="20.100000000000001" customHeight="1">
      <c r="C15" s="10" t="s">
        <v>21</v>
      </c>
    </row>
    <row r="16" spans="1:9" ht="24" customHeight="1">
      <c r="C16" s="41" t="s">
        <v>20</v>
      </c>
      <c r="F16" s="50" t="str">
        <f>HYPERLINK(пр.взв!D4)</f>
        <v>В.к. 62б  кг.</v>
      </c>
    </row>
    <row r="17" spans="1:10">
      <c r="A17" s="239" t="s">
        <v>12</v>
      </c>
      <c r="B17" s="239" t="s">
        <v>4</v>
      </c>
      <c r="C17" s="410" t="s">
        <v>5</v>
      </c>
      <c r="D17" s="239" t="s">
        <v>13</v>
      </c>
      <c r="E17" s="398" t="s">
        <v>14</v>
      </c>
      <c r="F17" s="399"/>
      <c r="G17" s="239" t="s">
        <v>15</v>
      </c>
      <c r="H17" s="239" t="s">
        <v>16</v>
      </c>
      <c r="I17" s="239" t="s">
        <v>17</v>
      </c>
    </row>
    <row r="18" spans="1:10">
      <c r="A18" s="240"/>
      <c r="B18" s="240"/>
      <c r="C18" s="240"/>
      <c r="D18" s="240"/>
      <c r="E18" s="400"/>
      <c r="F18" s="401"/>
      <c r="G18" s="240"/>
      <c r="H18" s="240"/>
      <c r="I18" s="240"/>
    </row>
    <row r="19" spans="1:10" ht="12.75" customHeight="1">
      <c r="A19" s="411"/>
      <c r="B19" s="416">
        <f>пр.хода!R22</f>
        <v>0</v>
      </c>
      <c r="C19" s="413" t="str">
        <f>IFERROR(VLOOKUP(B19,пр.взв!$B$7:$H$14,2,0),"")</f>
        <v/>
      </c>
      <c r="D19" s="402" t="str">
        <f>IFERROR(VLOOKUP(B19,пр.взв!$B$7:$H$14,3,0),"")</f>
        <v/>
      </c>
      <c r="E19" s="406" t="str">
        <f>IFERROR(VLOOKUP(B19,пр.взв!$B$7:$H$14,4,0),"")</f>
        <v/>
      </c>
      <c r="F19" s="402" t="str">
        <f>IFERROR(VLOOKUP(B19,пр.взв!$B$7:$H$14,5,0),"")</f>
        <v/>
      </c>
      <c r="G19" s="336"/>
      <c r="H19" s="346"/>
      <c r="I19" s="239"/>
    </row>
    <row r="20" spans="1:10" ht="12.6" customHeight="1">
      <c r="A20" s="411"/>
      <c r="B20" s="239"/>
      <c r="C20" s="414"/>
      <c r="D20" s="403"/>
      <c r="E20" s="407"/>
      <c r="F20" s="408"/>
      <c r="G20" s="336"/>
      <c r="H20" s="346"/>
      <c r="I20" s="239"/>
    </row>
    <row r="21" spans="1:10" ht="12.75" customHeight="1">
      <c r="A21" s="415"/>
      <c r="B21" s="412">
        <f>пр.хода!S27</f>
        <v>3</v>
      </c>
      <c r="C21" s="413" t="str">
        <f>IFERROR(VLOOKUP(B21,пр.взв!$B$7:$H$14,2,0),"")</f>
        <v>Перваков Кирилл Андреевич</v>
      </c>
      <c r="D21" s="402" t="str">
        <f>IFERROR(VLOOKUP(B21,пр.взв!$B$7:$H$14,3,0),"")</f>
        <v>26.06.98, кмс</v>
      </c>
      <c r="E21" s="402" t="str">
        <f>IFERROR(VLOOKUP(B21,пр.взв!$B$7:$H$14,4,0),"")</f>
        <v>ПФО</v>
      </c>
      <c r="F21" s="402" t="str">
        <f>IFERROR(VLOOKUP(B21,пр.взв!$B$7:$H$14,5,0),"")</f>
        <v>Кировская, Киров</v>
      </c>
      <c r="G21" s="336"/>
      <c r="H21" s="239"/>
      <c r="I21" s="239"/>
    </row>
    <row r="22" spans="1:10" ht="12.6" customHeight="1">
      <c r="A22" s="415"/>
      <c r="B22" s="239"/>
      <c r="C22" s="414"/>
      <c r="D22" s="403"/>
      <c r="E22" s="403"/>
      <c r="F22" s="403"/>
      <c r="G22" s="336"/>
      <c r="H22" s="239"/>
      <c r="I22" s="239"/>
    </row>
    <row r="23" spans="1:10" ht="29.25" customHeight="1">
      <c r="A23" s="8" t="s">
        <v>19</v>
      </c>
      <c r="B23" s="8"/>
    </row>
    <row r="24" spans="1:10" ht="20.100000000000001" customHeight="1">
      <c r="B24" s="8" t="s">
        <v>0</v>
      </c>
      <c r="C24" s="42"/>
      <c r="D24" s="42"/>
      <c r="E24" s="42"/>
      <c r="F24" s="42"/>
      <c r="G24" s="42"/>
      <c r="H24" s="42"/>
      <c r="I24" s="42"/>
      <c r="J24" s="3"/>
    </row>
    <row r="25" spans="1:10" ht="20.100000000000001" customHeight="1">
      <c r="B25" s="8" t="s">
        <v>1</v>
      </c>
      <c r="C25" s="42"/>
      <c r="D25" s="42"/>
      <c r="E25" s="42"/>
      <c r="F25" s="42"/>
      <c r="G25" s="42"/>
      <c r="H25" s="42"/>
      <c r="I25" s="42"/>
      <c r="J25" s="3"/>
    </row>
    <row r="26" spans="1:10" ht="20.100000000000001" customHeight="1">
      <c r="J26" s="3"/>
    </row>
    <row r="27" spans="1:10" ht="20.100000000000001" customHeight="1"/>
    <row r="28" spans="1:10" ht="7.5" customHeight="1"/>
    <row r="29" spans="1:10" ht="23.25" customHeight="1">
      <c r="C29" s="44" t="s">
        <v>18</v>
      </c>
      <c r="F29" s="50" t="str">
        <f>HYPERLINK(пр.взв!D4)</f>
        <v>В.к. 62б  кг.</v>
      </c>
    </row>
    <row r="30" spans="1:10">
      <c r="A30" s="239" t="s">
        <v>12</v>
      </c>
      <c r="B30" s="239" t="s">
        <v>4</v>
      </c>
      <c r="C30" s="410" t="s">
        <v>5</v>
      </c>
      <c r="D30" s="239" t="s">
        <v>13</v>
      </c>
      <c r="E30" s="398" t="s">
        <v>14</v>
      </c>
      <c r="F30" s="399"/>
      <c r="G30" s="239" t="s">
        <v>15</v>
      </c>
      <c r="H30" s="239" t="s">
        <v>16</v>
      </c>
      <c r="I30" s="239" t="s">
        <v>17</v>
      </c>
    </row>
    <row r="31" spans="1:10">
      <c r="A31" s="240"/>
      <c r="B31" s="240"/>
      <c r="C31" s="240"/>
      <c r="D31" s="240"/>
      <c r="E31" s="404"/>
      <c r="F31" s="405"/>
      <c r="G31" s="240"/>
      <c r="H31" s="240"/>
      <c r="I31" s="240"/>
    </row>
    <row r="32" spans="1:10" ht="12.75" customHeight="1">
      <c r="A32" s="411"/>
      <c r="B32" s="416">
        <f>пр.хода!G11</f>
        <v>1</v>
      </c>
      <c r="C32" s="413" t="str">
        <f>IFERROR(VLOOKUP(B32,пр.взв!$B$7:$H$14,2,0),"")</f>
        <v>Айболатов Умар Самаилович</v>
      </c>
      <c r="D32" s="402" t="str">
        <f>IFERROR(VLOOKUP(B32,пр.взв!$B$7:$H$14,3,0),"")</f>
        <v>28.02.00, кмс</v>
      </c>
      <c r="E32" s="406" t="str">
        <f>IFERROR(VLOOKUP(B32,пр.взв!$B$7:$H$14,4,0),"")</f>
        <v>ЦФО</v>
      </c>
      <c r="F32" s="402" t="str">
        <f>IFERROR(VLOOKUP(B32,пр.взв!$B$7:$H$14,5,0),"")</f>
        <v>Тверская, Тверь</v>
      </c>
      <c r="G32" s="336"/>
      <c r="H32" s="346"/>
      <c r="I32" s="239"/>
    </row>
    <row r="33" spans="1:9" ht="12.6" customHeight="1">
      <c r="A33" s="411"/>
      <c r="B33" s="239"/>
      <c r="C33" s="414"/>
      <c r="D33" s="403"/>
      <c r="E33" s="407"/>
      <c r="F33" s="408"/>
      <c r="G33" s="336"/>
      <c r="H33" s="346"/>
      <c r="I33" s="239"/>
    </row>
    <row r="34" spans="1:9" ht="12.75" customHeight="1">
      <c r="A34" s="415"/>
      <c r="B34" s="416">
        <f>пр.хода!O11</f>
        <v>2</v>
      </c>
      <c r="C34" s="413" t="str">
        <f>IFERROR(VLOOKUP(B34,пр.взв!$B$7:$H$14,2,0),"")</f>
        <v>Чилаев Хушбахт Улфатчоевич</v>
      </c>
      <c r="D34" s="402" t="str">
        <f>IFERROR(VLOOKUP(B34,пр.взв!$B$7:$H$14,3,0),"")</f>
        <v>06.05.95, кмс</v>
      </c>
      <c r="E34" s="402" t="str">
        <f>IFERROR(VLOOKUP(B34,пр.взв!$B$7:$H$14,4,0),"")</f>
        <v>ЦФО</v>
      </c>
      <c r="F34" s="402" t="str">
        <f>IFERROR(VLOOKUP(B34,пр.взв!$B$7:$H$14,5,0),"")</f>
        <v>Тверская, Тверь</v>
      </c>
      <c r="G34" s="336"/>
      <c r="H34" s="239"/>
      <c r="I34" s="239"/>
    </row>
    <row r="35" spans="1:9" ht="12.6" customHeight="1">
      <c r="A35" s="415"/>
      <c r="B35" s="239"/>
      <c r="C35" s="414"/>
      <c r="D35" s="403"/>
      <c r="E35" s="403"/>
      <c r="F35" s="403"/>
      <c r="G35" s="336"/>
      <c r="H35" s="239"/>
      <c r="I35" s="239"/>
    </row>
    <row r="36" spans="1:9" ht="29.25" customHeight="1">
      <c r="A36" s="8" t="s">
        <v>19</v>
      </c>
      <c r="B36" s="8"/>
    </row>
    <row r="37" spans="1:9" ht="20.100000000000001" customHeight="1">
      <c r="B37" s="8" t="s">
        <v>0</v>
      </c>
      <c r="C37" s="42"/>
      <c r="D37" s="42"/>
      <c r="E37" s="42"/>
      <c r="F37" s="42"/>
      <c r="G37" s="42"/>
      <c r="H37" s="42"/>
      <c r="I37" s="42"/>
    </row>
    <row r="38" spans="1:9" ht="20.100000000000001" customHeight="1">
      <c r="B38" s="8" t="s">
        <v>1</v>
      </c>
      <c r="C38" s="42"/>
      <c r="D38" s="42"/>
      <c r="E38" s="42"/>
      <c r="F38" s="42"/>
      <c r="G38" s="42"/>
      <c r="H38" s="42"/>
      <c r="I38" s="42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12"/>
      <c r="B42" s="9"/>
      <c r="C42" s="9"/>
      <c r="D42" s="9"/>
      <c r="E42" s="9"/>
      <c r="F42" s="3"/>
      <c r="G42" s="45"/>
      <c r="H42" s="14"/>
    </row>
    <row r="43" spans="1:9" ht="20.100000000000001" customHeight="1">
      <c r="A43" s="9"/>
      <c r="B43" s="9"/>
      <c r="C43" s="9"/>
      <c r="D43" s="9"/>
      <c r="E43" s="9"/>
      <c r="F43" s="3"/>
      <c r="G43" s="66"/>
      <c r="H43" s="3"/>
    </row>
    <row r="44" spans="1:9" ht="20.100000000000001" customHeight="1">
      <c r="A44" s="13"/>
      <c r="C44" s="9"/>
      <c r="D44" s="9"/>
      <c r="E44" s="9"/>
      <c r="F44" s="13"/>
      <c r="G44" s="45"/>
      <c r="H44" s="16"/>
    </row>
    <row r="45" spans="1:9" ht="20.100000000000001" customHeight="1">
      <c r="C45" s="3"/>
      <c r="D45" s="3"/>
      <c r="E45" s="3"/>
      <c r="F45" s="3"/>
      <c r="G45" s="3"/>
    </row>
    <row r="46" spans="1:9" ht="20.100000000000001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  <mergeCell ref="D32:D33"/>
    <mergeCell ref="E32:E33"/>
    <mergeCell ref="G30:G31"/>
    <mergeCell ref="H30:H31"/>
    <mergeCell ref="I30:I31"/>
    <mergeCell ref="A30:A31"/>
    <mergeCell ref="B30:B31"/>
    <mergeCell ref="C30:C31"/>
    <mergeCell ref="D30:D31"/>
    <mergeCell ref="G21:G22"/>
    <mergeCell ref="H21:H22"/>
    <mergeCell ref="I21:I22"/>
    <mergeCell ref="A21:A22"/>
    <mergeCell ref="B21:B22"/>
    <mergeCell ref="C21:C22"/>
    <mergeCell ref="D21:D22"/>
    <mergeCell ref="G19:G20"/>
    <mergeCell ref="H19:H20"/>
    <mergeCell ref="I19:I20"/>
    <mergeCell ref="A19:A20"/>
    <mergeCell ref="B19:B20"/>
    <mergeCell ref="C19:C20"/>
    <mergeCell ref="D19:D20"/>
    <mergeCell ref="G17:G18"/>
    <mergeCell ref="H17:H18"/>
    <mergeCell ref="I17:I18"/>
    <mergeCell ref="A17:A18"/>
    <mergeCell ref="B17:B18"/>
    <mergeCell ref="C17:C18"/>
    <mergeCell ref="D17:D18"/>
    <mergeCell ref="I9:I10"/>
    <mergeCell ref="A9:A10"/>
    <mergeCell ref="B9:B10"/>
    <mergeCell ref="C9:C10"/>
    <mergeCell ref="D9:D10"/>
    <mergeCell ref="E9:E10"/>
    <mergeCell ref="F9:F10"/>
    <mergeCell ref="A7:A8"/>
    <mergeCell ref="B7:B8"/>
    <mergeCell ref="C7:C8"/>
    <mergeCell ref="D7:D8"/>
    <mergeCell ref="E7:E8"/>
    <mergeCell ref="A5:A6"/>
    <mergeCell ref="B5:B6"/>
    <mergeCell ref="C5:C6"/>
    <mergeCell ref="D5:D6"/>
    <mergeCell ref="G5:G6"/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  <pageSetUpPr fitToPage="1"/>
  </sheetPr>
  <dimension ref="A1:J44"/>
  <sheetViews>
    <sheetView topLeftCell="A15" workbookViewId="0">
      <selection sqref="A1:H36"/>
    </sheetView>
  </sheetViews>
  <sheetFormatPr defaultRowHeight="12.75"/>
  <cols>
    <col min="1" max="1" width="8.28515625" customWidth="1"/>
    <col min="8" max="8" width="24.140625" customWidth="1"/>
  </cols>
  <sheetData>
    <row r="1" spans="1:10" ht="38.25" customHeight="1" thickBot="1">
      <c r="A1" s="258" t="str">
        <f>пр.взв!B2</f>
        <v>Всероссийские соревнования по спортивному и боевому самбо среди мужчин на призы УФСИН России</v>
      </c>
      <c r="B1" s="259"/>
      <c r="C1" s="259"/>
      <c r="D1" s="259"/>
      <c r="E1" s="259"/>
      <c r="F1" s="259"/>
      <c r="G1" s="259"/>
      <c r="H1" s="260"/>
    </row>
    <row r="2" spans="1:10">
      <c r="A2" s="437" t="str">
        <f>пр.взв!A3</f>
        <v>20-22 апреля 2019 г           г.Тверь</v>
      </c>
      <c r="B2" s="437"/>
      <c r="C2" s="437"/>
      <c r="D2" s="437"/>
      <c r="E2" s="437"/>
      <c r="F2" s="437"/>
      <c r="G2" s="437"/>
      <c r="H2" s="437"/>
    </row>
    <row r="3" spans="1:10" ht="18.75" thickBot="1">
      <c r="A3" s="438" t="s">
        <v>44</v>
      </c>
      <c r="B3" s="438"/>
      <c r="C3" s="438"/>
      <c r="D3" s="438"/>
      <c r="E3" s="438"/>
      <c r="F3" s="438"/>
      <c r="G3" s="438"/>
      <c r="H3" s="438"/>
    </row>
    <row r="4" spans="1:10" ht="18.75" thickBot="1">
      <c r="B4" s="71"/>
      <c r="C4" s="72"/>
      <c r="D4" s="439" t="str">
        <f>пр.взв!D4</f>
        <v>В.к. 62б  кг.</v>
      </c>
      <c r="E4" s="440"/>
      <c r="F4" s="441"/>
      <c r="G4" s="72"/>
      <c r="H4" s="72"/>
    </row>
    <row r="5" spans="1:10" ht="18.75" thickBot="1">
      <c r="A5" s="72"/>
      <c r="B5" s="72"/>
      <c r="C5" s="72"/>
      <c r="D5" s="72"/>
      <c r="E5" s="72"/>
      <c r="F5" s="72"/>
      <c r="G5" s="72"/>
      <c r="H5" s="72"/>
    </row>
    <row r="6" spans="1:10" ht="18">
      <c r="A6" s="442" t="s">
        <v>45</v>
      </c>
      <c r="B6" s="428" t="str">
        <f>IFERROR(VLOOKUP(J6,пр.взв!$B$7:$H$14,2,0),"")</f>
        <v>Чилаев Хушбахт Улфатчоевич</v>
      </c>
      <c r="C6" s="428"/>
      <c r="D6" s="428"/>
      <c r="E6" s="428"/>
      <c r="F6" s="428"/>
      <c r="G6" s="428"/>
      <c r="H6" s="430" t="str">
        <f>IFERROR(VLOOKUP(J6,пр.взв!$B$7:$H$14,3,0),"")</f>
        <v>06.05.95, кмс</v>
      </c>
      <c r="I6" s="72"/>
      <c r="J6" s="73">
        <f>Ит.пр!B6</f>
        <v>2</v>
      </c>
    </row>
    <row r="7" spans="1:10" ht="18">
      <c r="A7" s="443"/>
      <c r="B7" s="429"/>
      <c r="C7" s="429"/>
      <c r="D7" s="429"/>
      <c r="E7" s="429"/>
      <c r="F7" s="429"/>
      <c r="G7" s="429"/>
      <c r="H7" s="431"/>
      <c r="I7" s="72"/>
      <c r="J7" s="73"/>
    </row>
    <row r="8" spans="1:10" ht="18">
      <c r="A8" s="443"/>
      <c r="B8" s="435" t="str">
        <f>IFERROR(VLOOKUP(J6,пр.взв!$B$7:$H$14,4,0),"")</f>
        <v>ЦФО</v>
      </c>
      <c r="C8" s="435"/>
      <c r="D8" s="435"/>
      <c r="E8" s="435" t="str">
        <f>IFERROR(VLOOKUP(J6,пр.взв!$B$7:$H$14,5,0),"")</f>
        <v>Тверская, Тверь</v>
      </c>
      <c r="F8" s="435"/>
      <c r="G8" s="435"/>
      <c r="H8" s="436"/>
      <c r="I8" s="72"/>
      <c r="J8" s="73"/>
    </row>
    <row r="9" spans="1:10" ht="18.75" thickBot="1">
      <c r="A9" s="444"/>
      <c r="B9" s="423"/>
      <c r="C9" s="423"/>
      <c r="D9" s="423"/>
      <c r="E9" s="423"/>
      <c r="F9" s="423"/>
      <c r="G9" s="423"/>
      <c r="H9" s="424"/>
      <c r="I9" s="72"/>
      <c r="J9" s="73"/>
    </row>
    <row r="10" spans="1:10" ht="18.75" thickBot="1">
      <c r="A10" s="72"/>
      <c r="B10" s="72"/>
      <c r="C10" s="72"/>
      <c r="D10" s="72"/>
      <c r="E10" s="72"/>
      <c r="F10" s="72"/>
      <c r="G10" s="72"/>
      <c r="H10" s="72"/>
      <c r="I10" s="72"/>
      <c r="J10" s="73"/>
    </row>
    <row r="11" spans="1:10" ht="18" customHeight="1">
      <c r="A11" s="425" t="s">
        <v>46</v>
      </c>
      <c r="B11" s="428" t="str">
        <f>IFERROR(VLOOKUP(J11,пр.взв!$B$7:$H$14,2,0),"")</f>
        <v>Айболатов Умар Самаилович</v>
      </c>
      <c r="C11" s="428"/>
      <c r="D11" s="428"/>
      <c r="E11" s="428"/>
      <c r="F11" s="428"/>
      <c r="G11" s="428"/>
      <c r="H11" s="430" t="str">
        <f>IFERROR(VLOOKUP(J11,пр.взв!$B$7:$H$14,3,0),"")</f>
        <v>28.02.00, кмс</v>
      </c>
      <c r="I11" s="72"/>
      <c r="J11" s="73">
        <f>Ит.пр!B7</f>
        <v>1</v>
      </c>
    </row>
    <row r="12" spans="1:10" ht="18" customHeight="1">
      <c r="A12" s="426"/>
      <c r="B12" s="429"/>
      <c r="C12" s="429"/>
      <c r="D12" s="429"/>
      <c r="E12" s="429"/>
      <c r="F12" s="429"/>
      <c r="G12" s="429"/>
      <c r="H12" s="431"/>
      <c r="I12" s="72"/>
      <c r="J12" s="73"/>
    </row>
    <row r="13" spans="1:10" ht="18">
      <c r="A13" s="426"/>
      <c r="B13" s="435" t="str">
        <f>IFERROR(VLOOKUP(J11,пр.взв!$B$7:$H$14,4,0),"")</f>
        <v>ЦФО</v>
      </c>
      <c r="C13" s="435"/>
      <c r="D13" s="435"/>
      <c r="E13" s="435" t="str">
        <f>IFERROR(VLOOKUP(J11,пр.взв!$B$7:$H$14,5,0),"")</f>
        <v>Тверская, Тверь</v>
      </c>
      <c r="F13" s="435"/>
      <c r="G13" s="435"/>
      <c r="H13" s="436"/>
      <c r="I13" s="72"/>
      <c r="J13" s="73"/>
    </row>
    <row r="14" spans="1:10" ht="18.75" thickBot="1">
      <c r="A14" s="427"/>
      <c r="B14" s="423"/>
      <c r="C14" s="423"/>
      <c r="D14" s="423"/>
      <c r="E14" s="423"/>
      <c r="F14" s="423"/>
      <c r="G14" s="423"/>
      <c r="H14" s="424"/>
      <c r="I14" s="72"/>
      <c r="J14" s="73"/>
    </row>
    <row r="15" spans="1:10" ht="18.75" thickBot="1">
      <c r="A15" s="72"/>
      <c r="B15" s="72"/>
      <c r="C15" s="72"/>
      <c r="D15" s="72"/>
      <c r="E15" s="72"/>
      <c r="F15" s="72"/>
      <c r="G15" s="72"/>
      <c r="H15" s="72"/>
      <c r="I15" s="72"/>
      <c r="J15" s="73"/>
    </row>
    <row r="16" spans="1:10" ht="18" customHeight="1">
      <c r="A16" s="432" t="s">
        <v>47</v>
      </c>
      <c r="B16" s="428" t="str">
        <f>IFERROR(VLOOKUP(J16,пр.взв!$B$7:$H$14,2,0),"")</f>
        <v>Перваков Кирилл Андреевич</v>
      </c>
      <c r="C16" s="428"/>
      <c r="D16" s="428"/>
      <c r="E16" s="428"/>
      <c r="F16" s="428"/>
      <c r="G16" s="428"/>
      <c r="H16" s="430" t="str">
        <f>IFERROR(VLOOKUP(J16,пр.взв!$B$7:$H$14,3,0),"")</f>
        <v>26.06.98, кмс</v>
      </c>
      <c r="I16" s="72"/>
      <c r="J16" s="73">
        <f>Ит.пр!B8</f>
        <v>3</v>
      </c>
    </row>
    <row r="17" spans="1:10" ht="18" customHeight="1">
      <c r="A17" s="433"/>
      <c r="B17" s="429"/>
      <c r="C17" s="429"/>
      <c r="D17" s="429"/>
      <c r="E17" s="429"/>
      <c r="F17" s="429"/>
      <c r="G17" s="429"/>
      <c r="H17" s="431"/>
      <c r="I17" s="72"/>
      <c r="J17" s="73"/>
    </row>
    <row r="18" spans="1:10" ht="18">
      <c r="A18" s="433"/>
      <c r="B18" s="435" t="str">
        <f>IFERROR(VLOOKUP(J16,пр.взв!$B$7:$H$14,4,0),"")</f>
        <v>ПФО</v>
      </c>
      <c r="C18" s="435"/>
      <c r="D18" s="435"/>
      <c r="E18" s="435" t="str">
        <f>IFERROR(VLOOKUP(J16,пр.взв!$B$7:$H$14,5,0),"")</f>
        <v>Кировская, Киров</v>
      </c>
      <c r="F18" s="435"/>
      <c r="G18" s="435"/>
      <c r="H18" s="436"/>
      <c r="I18" s="72"/>
      <c r="J18" s="73"/>
    </row>
    <row r="19" spans="1:10" ht="18.75" thickBot="1">
      <c r="A19" s="434"/>
      <c r="B19" s="423"/>
      <c r="C19" s="423"/>
      <c r="D19" s="423"/>
      <c r="E19" s="423"/>
      <c r="F19" s="423"/>
      <c r="G19" s="423"/>
      <c r="H19" s="424"/>
      <c r="I19" s="72"/>
      <c r="J19" s="73"/>
    </row>
    <row r="20" spans="1:10" ht="18.75" thickBot="1">
      <c r="A20" s="72"/>
      <c r="B20" s="72"/>
      <c r="C20" s="72"/>
      <c r="D20" s="72"/>
      <c r="E20" s="72"/>
      <c r="F20" s="72"/>
      <c r="G20" s="72"/>
      <c r="H20" s="72"/>
      <c r="I20" s="72"/>
      <c r="J20" s="73"/>
    </row>
    <row r="21" spans="1:10" ht="18" customHeight="1">
      <c r="A21" s="432" t="s">
        <v>47</v>
      </c>
      <c r="B21" s="428" t="str">
        <f>IFERROR(VLOOKUP(J21,пр.взв!$B$7:$H$14,2,0),"")</f>
        <v>Джумбулов Давлатиер Худоерович</v>
      </c>
      <c r="C21" s="428"/>
      <c r="D21" s="428"/>
      <c r="E21" s="428"/>
      <c r="F21" s="428"/>
      <c r="G21" s="428"/>
      <c r="H21" s="430" t="str">
        <f>IFERROR(VLOOKUP(J21,пр.взв!$B$7:$H$14,3,0),"")</f>
        <v>08.11.98, кмс</v>
      </c>
      <c r="I21" s="72"/>
      <c r="J21" s="73">
        <f>Ит.пр!B9</f>
        <v>4</v>
      </c>
    </row>
    <row r="22" spans="1:10" ht="18" customHeight="1">
      <c r="A22" s="433"/>
      <c r="B22" s="429"/>
      <c r="C22" s="429"/>
      <c r="D22" s="429"/>
      <c r="E22" s="429"/>
      <c r="F22" s="429"/>
      <c r="G22" s="429"/>
      <c r="H22" s="431"/>
      <c r="I22" s="72"/>
      <c r="J22" s="73"/>
    </row>
    <row r="23" spans="1:10" ht="18">
      <c r="A23" s="433"/>
      <c r="B23" s="435" t="str">
        <f>IFERROR(VLOOKUP(J21,пр.взв!$B$7:$H$14,4,0),"")</f>
        <v>ЦФО</v>
      </c>
      <c r="C23" s="435"/>
      <c r="D23" s="435"/>
      <c r="E23" s="435" t="str">
        <f>IFERROR(VLOOKUP(J21,пр.взв!$B$7:$H$14,5,0),"")</f>
        <v>Тверская, Тверь</v>
      </c>
      <c r="F23" s="435"/>
      <c r="G23" s="435"/>
      <c r="H23" s="436"/>
      <c r="I23" s="72"/>
    </row>
    <row r="24" spans="1:10" ht="18.75" thickBot="1">
      <c r="A24" s="434"/>
      <c r="B24" s="423"/>
      <c r="C24" s="423"/>
      <c r="D24" s="423"/>
      <c r="E24" s="423"/>
      <c r="F24" s="423"/>
      <c r="G24" s="423"/>
      <c r="H24" s="424"/>
      <c r="I24" s="72"/>
    </row>
    <row r="25" spans="1:10" ht="18">
      <c r="A25" s="72"/>
      <c r="B25" s="72"/>
      <c r="C25" s="72"/>
      <c r="D25" s="72"/>
      <c r="E25" s="72"/>
      <c r="F25" s="72"/>
      <c r="G25" s="72"/>
      <c r="H25" s="72"/>
    </row>
    <row r="26" spans="1:10" ht="18">
      <c r="A26" s="72" t="s">
        <v>48</v>
      </c>
      <c r="B26" s="72"/>
      <c r="C26" s="72"/>
      <c r="D26" s="72"/>
      <c r="E26" s="72"/>
      <c r="F26" s="72"/>
      <c r="G26" s="72"/>
      <c r="H26" s="72"/>
    </row>
    <row r="27" spans="1:10" ht="13.5" thickBot="1"/>
    <row r="28" spans="1:10">
      <c r="A28" s="419" t="str">
        <f>IFERROR(VLOOKUP(J28,пр.взв!$B$7:$H$14,7,0),"")</f>
        <v>Остапенко АА</v>
      </c>
      <c r="B28" s="420"/>
      <c r="C28" s="420"/>
      <c r="D28" s="420"/>
      <c r="E28" s="420"/>
      <c r="F28" s="420"/>
      <c r="G28" s="420"/>
      <c r="H28" s="421"/>
      <c r="J28">
        <f>J6</f>
        <v>2</v>
      </c>
    </row>
    <row r="29" spans="1:10" ht="13.5" thickBot="1">
      <c r="A29" s="422"/>
      <c r="B29" s="423"/>
      <c r="C29" s="423"/>
      <c r="D29" s="423"/>
      <c r="E29" s="423"/>
      <c r="F29" s="423"/>
      <c r="G29" s="423"/>
      <c r="H29" s="424"/>
    </row>
    <row r="31" spans="1:10" hidden="1"/>
    <row r="32" spans="1:10" hidden="1"/>
    <row r="33" spans="1:8" hidden="1"/>
    <row r="34" spans="1:8" ht="9.75" hidden="1" customHeight="1"/>
    <row r="36" spans="1:8" ht="18">
      <c r="A36" s="72" t="s">
        <v>49</v>
      </c>
      <c r="B36" s="72"/>
      <c r="C36" s="72"/>
      <c r="D36" s="72"/>
      <c r="E36" s="72"/>
      <c r="F36" s="72"/>
      <c r="G36" s="72"/>
      <c r="H36" s="72"/>
    </row>
    <row r="37" spans="1:8" ht="18">
      <c r="A37" s="72"/>
      <c r="B37" s="72"/>
      <c r="C37" s="72"/>
      <c r="D37" s="72"/>
      <c r="E37" s="72"/>
      <c r="F37" s="72"/>
      <c r="G37" s="72"/>
      <c r="H37" s="72"/>
    </row>
    <row r="38" spans="1:8" ht="18">
      <c r="A38" s="72"/>
      <c r="B38" s="72"/>
      <c r="C38" s="72"/>
      <c r="D38" s="72"/>
      <c r="E38" s="72"/>
      <c r="F38" s="72"/>
      <c r="G38" s="72"/>
      <c r="H38" s="72"/>
    </row>
    <row r="39" spans="1:8" ht="18">
      <c r="A39" s="74"/>
      <c r="B39" s="74"/>
      <c r="C39" s="74"/>
      <c r="D39" s="74"/>
      <c r="E39" s="74"/>
      <c r="F39" s="74"/>
      <c r="G39" s="74"/>
      <c r="H39" s="74"/>
    </row>
    <row r="40" spans="1:8" ht="18">
      <c r="A40" s="75"/>
      <c r="B40" s="75"/>
      <c r="C40" s="75"/>
      <c r="D40" s="75"/>
      <c r="E40" s="75"/>
      <c r="F40" s="75"/>
      <c r="G40" s="75"/>
      <c r="H40" s="75"/>
    </row>
    <row r="41" spans="1:8" ht="18">
      <c r="A41" s="74"/>
      <c r="B41" s="74"/>
      <c r="C41" s="74"/>
      <c r="D41" s="74"/>
      <c r="E41" s="74"/>
      <c r="F41" s="74"/>
      <c r="G41" s="74"/>
      <c r="H41" s="74"/>
    </row>
    <row r="42" spans="1:8" ht="18">
      <c r="A42" s="76"/>
      <c r="B42" s="76"/>
      <c r="C42" s="76"/>
      <c r="D42" s="76"/>
      <c r="E42" s="76"/>
      <c r="F42" s="76"/>
      <c r="G42" s="76"/>
      <c r="H42" s="76"/>
    </row>
    <row r="43" spans="1:8" ht="18">
      <c r="A43" s="74"/>
      <c r="B43" s="74"/>
      <c r="C43" s="74"/>
      <c r="D43" s="74"/>
      <c r="E43" s="74"/>
      <c r="F43" s="74"/>
      <c r="G43" s="74"/>
      <c r="H43" s="74"/>
    </row>
    <row r="44" spans="1:8" ht="18">
      <c r="A44" s="76"/>
      <c r="B44" s="76"/>
      <c r="C44" s="76"/>
      <c r="D44" s="76"/>
      <c r="E44" s="76"/>
      <c r="F44" s="76"/>
      <c r="G44" s="76"/>
      <c r="H44" s="76"/>
    </row>
  </sheetData>
  <mergeCells count="25">
    <mergeCell ref="A1:H1"/>
    <mergeCell ref="A2:H2"/>
    <mergeCell ref="A3:H3"/>
    <mergeCell ref="D4:F4"/>
    <mergeCell ref="A6:A9"/>
    <mergeCell ref="B6:G7"/>
    <mergeCell ref="H6:H7"/>
    <mergeCell ref="B8:D9"/>
    <mergeCell ref="E8:H9"/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</mergeCells>
  <pageMargins left="0.74803149606299213" right="0.74803149606299213" top="0.78740157480314965" bottom="0.78740157480314965" header="0.51181102362204722" footer="0.51181102362204722"/>
  <pageSetup paperSize="9" scale="8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3"/>
  </sheetPr>
  <dimension ref="A1:AJ44"/>
  <sheetViews>
    <sheetView workbookViewId="0">
      <selection activeCell="B6" sqref="B6:B7"/>
    </sheetView>
  </sheetViews>
  <sheetFormatPr defaultRowHeight="12.75"/>
  <cols>
    <col min="1" max="1" width="5" customWidth="1"/>
    <col min="2" max="2" width="20.85546875" customWidth="1"/>
    <col min="3" max="3" width="12.28515625" customWidth="1"/>
    <col min="4" max="4" width="10.42578125" customWidth="1"/>
    <col min="5" max="5" width="4.7109375" customWidth="1"/>
    <col min="6" max="6" width="20.85546875" customWidth="1"/>
    <col min="7" max="7" width="4.7109375" customWidth="1"/>
    <col min="8" max="8" width="19.5703125" customWidth="1"/>
    <col min="9" max="9" width="5.5703125" customWidth="1"/>
  </cols>
  <sheetData>
    <row r="1" spans="1:36" ht="23.25" customHeight="1">
      <c r="C1" s="447" t="s">
        <v>22</v>
      </c>
      <c r="D1" s="448"/>
      <c r="E1" s="448"/>
      <c r="F1" s="448"/>
      <c r="G1" s="448"/>
      <c r="H1" s="448"/>
      <c r="I1" s="448"/>
      <c r="J1" s="449"/>
    </row>
    <row r="2" spans="1:36" ht="26.25" customHeight="1" thickBot="1">
      <c r="A2" s="5"/>
      <c r="B2" s="5"/>
      <c r="C2" s="451" t="str">
        <f>пр.хода!C3</f>
        <v>Всероссийские соревнования по спортивному и боевому самбо среди мужчин на призы УФСИН России</v>
      </c>
      <c r="D2" s="452"/>
      <c r="E2" s="452"/>
      <c r="F2" s="452"/>
      <c r="G2" s="452"/>
      <c r="H2" s="452"/>
      <c r="I2" s="452"/>
      <c r="J2" s="453"/>
      <c r="K2" s="36"/>
      <c r="L2" s="36"/>
      <c r="M2" s="36"/>
      <c r="N2" s="36"/>
      <c r="O2" s="36"/>
      <c r="P2" s="36"/>
      <c r="Q2" s="36"/>
      <c r="R2" s="36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4"/>
      <c r="B3" s="450" t="str">
        <f>пр.хода!C4</f>
        <v>20-22 апреля 2019 г           г.Тверь</v>
      </c>
      <c r="C3" s="450"/>
      <c r="D3" s="450"/>
      <c r="E3" s="450"/>
      <c r="F3" s="450"/>
      <c r="G3" s="450"/>
      <c r="H3" s="450"/>
      <c r="I3" s="450"/>
      <c r="J3" s="450"/>
      <c r="K3" s="450"/>
      <c r="L3" s="450"/>
      <c r="M3" s="67"/>
      <c r="N3" s="67"/>
      <c r="O3" s="67"/>
      <c r="P3" s="67"/>
      <c r="Q3" s="67"/>
      <c r="R3" s="67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8"/>
      <c r="B4" s="48"/>
      <c r="C4" s="48"/>
      <c r="D4" s="48"/>
      <c r="E4" s="48"/>
      <c r="F4" s="50" t="str">
        <f>HYPERLINK(пр.взв!D4)</f>
        <v>В.к. 62б  кг.</v>
      </c>
      <c r="G4" s="49"/>
      <c r="H4" s="49"/>
      <c r="I4" s="49"/>
      <c r="J4" s="49"/>
      <c r="K4" s="49"/>
      <c r="L4" s="48"/>
      <c r="M4" s="48"/>
    </row>
    <row r="5" spans="1:36" ht="16.5" thickBot="1">
      <c r="A5" s="287" t="s">
        <v>0</v>
      </c>
      <c r="B5" s="287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288">
        <v>1</v>
      </c>
      <c r="B6" s="285" t="str">
        <f>VLOOKUP('стартвый '!A6:A7,пр.взв!B6:C14,2,FALSE)</f>
        <v>Айболатов Умар Самаилович</v>
      </c>
      <c r="C6" s="283" t="str">
        <f>VLOOKUP(A6,пр.взв!B6:H14,3,FALSE)</f>
        <v>28.02.00, кмс</v>
      </c>
      <c r="D6" s="283" t="str">
        <f>VLOOKUP(A6,пр.взв!B6:H14,5,FALSE)</f>
        <v>Тверская, Тверь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289"/>
      <c r="B7" s="286"/>
      <c r="C7" s="284"/>
      <c r="D7" s="284"/>
      <c r="E7" s="19"/>
      <c r="F7" s="17"/>
      <c r="G7" s="24"/>
      <c r="H7" s="21"/>
      <c r="I7" s="17"/>
      <c r="J7" s="40"/>
      <c r="K7" s="40"/>
      <c r="L7" s="40"/>
      <c r="M7" s="17"/>
    </row>
    <row r="8" spans="1:36" ht="13.5" customHeight="1" thickBot="1">
      <c r="A8" s="298">
        <v>5</v>
      </c>
      <c r="B8" s="263">
        <f>VLOOKUP('стартвый '!A8:A9,пр.взв!B8:C14,2,FALSE)</f>
        <v>0</v>
      </c>
      <c r="C8" s="273">
        <f>VLOOKUP(A8,пр.взв!B6:H14,3,FALSE)</f>
        <v>0</v>
      </c>
      <c r="D8" s="273">
        <f>VLOOKUP(A8,пр.взв!B6:H14,5,FALSE)</f>
        <v>0</v>
      </c>
      <c r="E8" s="18"/>
      <c r="F8" s="20"/>
      <c r="G8" s="23"/>
      <c r="H8" s="21"/>
      <c r="I8" s="17"/>
      <c r="J8" s="40"/>
      <c r="K8" s="40"/>
      <c r="L8" s="40"/>
      <c r="M8" s="17"/>
    </row>
    <row r="9" spans="1:36" ht="13.5" customHeight="1" thickBot="1">
      <c r="A9" s="289"/>
      <c r="B9" s="286"/>
      <c r="C9" s="284"/>
      <c r="D9" s="284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288">
        <v>3</v>
      </c>
      <c r="B10" s="285" t="e">
        <f>VLOOKUP('стартвый '!A10:A11,пр.взв!B10:C14,2,FALSE)</f>
        <v>#N/A</v>
      </c>
      <c r="C10" s="283" t="str">
        <f>VLOOKUP(A10,пр.взв!B6:H14,3,FALSE)</f>
        <v>26.06.98, кмс</v>
      </c>
      <c r="D10" s="283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289"/>
      <c r="B11" s="286"/>
      <c r="C11" s="284"/>
      <c r="D11" s="284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298">
        <v>7</v>
      </c>
      <c r="B12" s="263">
        <f>VLOOKUP('стартвый '!A12:A13,пр.взв!B12:C14,2,FALSE)</f>
        <v>0</v>
      </c>
      <c r="C12" s="273">
        <f>VLOOKUP(A12,пр.взв!B6:H14,3,FALSE)</f>
        <v>0</v>
      </c>
      <c r="D12" s="273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307"/>
      <c r="B13" s="445"/>
      <c r="C13" s="446"/>
      <c r="D13" s="446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.5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7"/>
      <c r="E15" s="17"/>
      <c r="F15" s="17"/>
      <c r="G15" s="17"/>
      <c r="H15" s="17"/>
      <c r="I15" s="37"/>
      <c r="J15" s="35"/>
      <c r="K15" s="22"/>
      <c r="L15" s="22"/>
      <c r="M15" s="17"/>
    </row>
    <row r="16" spans="1:36" ht="16.5" thickBot="1">
      <c r="A16" s="287" t="s">
        <v>1</v>
      </c>
      <c r="B16" s="287"/>
      <c r="E16" s="17"/>
      <c r="F16" s="17"/>
      <c r="G16" s="17"/>
      <c r="H16" s="17"/>
      <c r="I16" s="38"/>
      <c r="J16" s="3"/>
    </row>
    <row r="17" spans="1:12" ht="13.5" thickBot="1">
      <c r="A17" s="288">
        <v>2</v>
      </c>
      <c r="B17" s="285" t="str">
        <f>VLOOKUP(A17,пр.взв!B7:H14,2,FALSE)</f>
        <v>Чилаев Хушбахт Улфатчоевич</v>
      </c>
      <c r="C17" s="283" t="str">
        <f>VLOOKUP(A17,пр.взв!B7:H14,3,FALSE)</f>
        <v>06.05.95, кмс</v>
      </c>
      <c r="D17" s="283" t="str">
        <f>VLOOKUP(A17,пр.взв!B7:H14,5,FALSE)</f>
        <v>Тверская, Тверь</v>
      </c>
      <c r="E17" s="17"/>
      <c r="F17" s="17"/>
      <c r="G17" s="17"/>
      <c r="H17" s="17"/>
      <c r="I17" s="31"/>
      <c r="J17" s="3"/>
    </row>
    <row r="18" spans="1:12">
      <c r="A18" s="289"/>
      <c r="B18" s="286"/>
      <c r="C18" s="284"/>
      <c r="D18" s="284"/>
      <c r="E18" s="19"/>
      <c r="F18" s="17"/>
      <c r="G18" s="24"/>
      <c r="H18" s="21"/>
      <c r="I18" s="31"/>
      <c r="J18" s="3"/>
    </row>
    <row r="19" spans="1:12" ht="13.5" thickBot="1">
      <c r="A19" s="298">
        <v>6</v>
      </c>
      <c r="B19" s="263">
        <f>VLOOKUP('стартвый '!A19:A20,пр.взв!B7:H14,2,FALSE)</f>
        <v>0</v>
      </c>
      <c r="C19" s="273">
        <f>VLOOKUP(A19,пр.взв!B7:H14,3,FALSE)</f>
        <v>0</v>
      </c>
      <c r="D19" s="273">
        <f>VLOOKUP(A19,пр.взв!B7:H14,5,FALSE)</f>
        <v>0</v>
      </c>
      <c r="E19" s="18"/>
      <c r="F19" s="20"/>
      <c r="G19" s="23"/>
      <c r="H19" s="21"/>
      <c r="I19" s="31"/>
      <c r="J19" s="3"/>
    </row>
    <row r="20" spans="1:12" ht="13.5" thickBot="1">
      <c r="A20" s="289"/>
      <c r="B20" s="286"/>
      <c r="C20" s="284"/>
      <c r="D20" s="284"/>
      <c r="E20" s="17"/>
      <c r="F20" s="21"/>
      <c r="G20" s="19"/>
      <c r="H20" s="25"/>
      <c r="I20" s="31"/>
      <c r="J20" s="3"/>
    </row>
    <row r="21" spans="1:12" ht="13.5" thickBot="1">
      <c r="A21" s="288">
        <v>4</v>
      </c>
      <c r="B21" s="285" t="str">
        <f>VLOOKUP('стартвый '!A21:A22,пр.взв!B7:H14,2,FALSE)</f>
        <v>Джумбулов Давлатиер Худоерович</v>
      </c>
      <c r="C21" s="283" t="str">
        <f>VLOOKUP(A21,пр.взв!B7:H14,3,FALSE)</f>
        <v>08.11.98, кмс</v>
      </c>
      <c r="D21" s="283" t="e">
        <f>VLOOKUP(A21,пр.взв!B11:H14,5,FALSE)</f>
        <v>#N/A</v>
      </c>
      <c r="E21" s="17"/>
      <c r="F21" s="21"/>
      <c r="G21" s="18"/>
      <c r="H21" s="3"/>
    </row>
    <row r="22" spans="1:12">
      <c r="A22" s="289"/>
      <c r="B22" s="286"/>
      <c r="C22" s="284"/>
      <c r="D22" s="284"/>
      <c r="E22" s="19"/>
      <c r="F22" s="22"/>
      <c r="G22" s="23"/>
      <c r="H22" s="21"/>
    </row>
    <row r="23" spans="1:12" ht="13.5" thickBot="1">
      <c r="A23" s="298">
        <v>8</v>
      </c>
      <c r="B23" s="263">
        <f>VLOOKUP('стартвый '!A23:A24,пр.взв!B7:H14,2,FALSE)</f>
        <v>0</v>
      </c>
      <c r="C23" s="273">
        <f>VLOOKUP(A23,пр.взв!B7:H14,3,FALSE)</f>
        <v>0</v>
      </c>
      <c r="D23" s="273">
        <f>VLOOKUP(A23,пр.взв!B11:H14,5,FALSE)</f>
        <v>0</v>
      </c>
      <c r="E23" s="18"/>
      <c r="F23" s="17"/>
      <c r="G23" s="24"/>
      <c r="H23" s="21"/>
    </row>
    <row r="24" spans="1:12" ht="13.5" thickBot="1">
      <c r="A24" s="307"/>
      <c r="B24" s="445"/>
      <c r="C24" s="446"/>
      <c r="D24" s="446"/>
      <c r="E24" s="17"/>
      <c r="F24" s="17"/>
      <c r="G24" s="24"/>
      <c r="H24" s="21"/>
    </row>
    <row r="27" spans="1:12">
      <c r="A27" s="8" t="s">
        <v>2</v>
      </c>
      <c r="G27" s="8" t="s">
        <v>3</v>
      </c>
    </row>
    <row r="29" spans="1:12">
      <c r="B29" s="28"/>
      <c r="H29" s="28"/>
    </row>
    <row r="30" spans="1:12">
      <c r="B30" s="29"/>
      <c r="H30" s="29"/>
    </row>
    <row r="31" spans="1:12">
      <c r="B31" s="29"/>
      <c r="C31" s="6"/>
      <c r="D31" s="28"/>
      <c r="G31" s="3"/>
      <c r="H31" s="29"/>
      <c r="I31" s="6"/>
      <c r="J31" s="6"/>
      <c r="K31" s="28"/>
    </row>
    <row r="32" spans="1:12">
      <c r="B32" s="30"/>
      <c r="C32" s="3"/>
      <c r="D32" s="29"/>
      <c r="E32" s="31"/>
      <c r="F32" s="3"/>
      <c r="G32" s="3"/>
      <c r="H32" s="30"/>
      <c r="I32" s="3"/>
      <c r="J32" s="3"/>
      <c r="K32" s="29"/>
      <c r="L32" s="3"/>
    </row>
    <row r="33" spans="2:13">
      <c r="C33" s="3"/>
      <c r="D33" s="29"/>
      <c r="E33" s="32"/>
      <c r="F33" s="2"/>
      <c r="G33" s="3"/>
      <c r="I33" s="3"/>
      <c r="J33" s="3"/>
      <c r="K33" s="29"/>
      <c r="L33" s="32"/>
      <c r="M33" s="2"/>
    </row>
    <row r="34" spans="2:13">
      <c r="C34" s="3"/>
      <c r="D34" s="29"/>
      <c r="G34" s="3"/>
      <c r="I34" s="3"/>
      <c r="J34" s="3"/>
      <c r="K34" s="29"/>
    </row>
    <row r="35" spans="2:13">
      <c r="C35" s="2"/>
      <c r="D35" s="30"/>
      <c r="G35" s="3"/>
      <c r="I35" s="2"/>
      <c r="J35" s="2"/>
      <c r="K35" s="30"/>
    </row>
    <row r="36" spans="2:13">
      <c r="K36" s="3"/>
    </row>
    <row r="38" spans="2:13">
      <c r="B38" s="12" t="str">
        <f>пр.хода!B31</f>
        <v>Гл. судья, судья ВК</v>
      </c>
      <c r="C38" s="9"/>
      <c r="D38" s="9"/>
      <c r="E38" s="9"/>
      <c r="F38" s="3"/>
      <c r="G38" s="3"/>
      <c r="H38" s="3"/>
      <c r="I38" s="13" t="str">
        <f>пр.хода!N31</f>
        <v xml:space="preserve">Н.Н.Малышев </v>
      </c>
      <c r="J38" s="3"/>
      <c r="K38" s="14" t="str">
        <f>пр.хода!R31</f>
        <v>/Дубна /</v>
      </c>
    </row>
    <row r="39" spans="2:13">
      <c r="B39" s="9"/>
      <c r="C39" s="9"/>
      <c r="D39" s="9"/>
      <c r="E39" s="9"/>
      <c r="F39" s="3"/>
      <c r="G39" s="3"/>
      <c r="H39" s="3"/>
      <c r="J39" s="3"/>
      <c r="K39" s="3"/>
    </row>
    <row r="40" spans="2:13">
      <c r="B40" s="13" t="str">
        <f>пр.хода!B33</f>
        <v>Гл. секретарь, судья ВК</v>
      </c>
      <c r="D40" s="9"/>
      <c r="E40" s="15"/>
      <c r="F40" s="39"/>
      <c r="G40" s="2"/>
      <c r="H40" s="2"/>
      <c r="I40" s="13" t="str">
        <f>пр.хода!N33</f>
        <v>А.С.Тимошин</v>
      </c>
      <c r="J40" s="3"/>
      <c r="K40" s="16" t="s">
        <v>74</v>
      </c>
    </row>
    <row r="41" spans="2:13">
      <c r="E41" s="3"/>
      <c r="F41" s="3"/>
      <c r="G41" s="11"/>
      <c r="H41" s="11"/>
      <c r="J41" s="11"/>
      <c r="K41" s="11"/>
      <c r="L41" s="33"/>
      <c r="M41" s="33"/>
    </row>
    <row r="42" spans="2:13">
      <c r="D42" s="4"/>
      <c r="E42" s="3"/>
      <c r="F42" s="3"/>
      <c r="G42" s="11"/>
      <c r="H42" s="11"/>
      <c r="I42" s="11"/>
      <c r="J42" s="11"/>
      <c r="K42" s="11"/>
      <c r="M42" s="33"/>
    </row>
    <row r="43" spans="2:13">
      <c r="E43" s="3"/>
      <c r="F43" s="3"/>
      <c r="G43" s="11"/>
      <c r="H43" s="11"/>
      <c r="I43" s="11"/>
      <c r="J43" s="11"/>
      <c r="K43" s="11"/>
      <c r="M43" s="33"/>
    </row>
    <row r="44" spans="2:13">
      <c r="E44" s="3"/>
      <c r="F44" s="3"/>
      <c r="G44" s="11"/>
      <c r="H44" s="11"/>
      <c r="I44" s="11"/>
      <c r="J44" s="11"/>
      <c r="K44" s="11"/>
      <c r="L44" s="33"/>
      <c r="M44" s="33"/>
    </row>
  </sheetData>
  <mergeCells count="37"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23:A24"/>
    <mergeCell ref="B23:B24"/>
    <mergeCell ref="C23:C24"/>
    <mergeCell ref="D23:D24"/>
    <mergeCell ref="D21:D22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2019-04-21T15:39:33Z</cp:lastPrinted>
  <dcterms:created xsi:type="dcterms:W3CDTF">1996-10-08T23:32:33Z</dcterms:created>
  <dcterms:modified xsi:type="dcterms:W3CDTF">2019-04-22T09:42:08Z</dcterms:modified>
</cp:coreProperties>
</file>