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Спортивное\"/>
    </mc:Choice>
  </mc:AlternateContent>
  <bookViews>
    <workbookView xWindow="0" yWindow="0" windowWidth="20490" windowHeight="7065" activeTab="3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62913"/>
</workbook>
</file>

<file path=xl/calcChain.xml><?xml version="1.0" encoding="utf-8"?>
<calcChain xmlns="http://schemas.openxmlformats.org/spreadsheetml/2006/main">
  <c r="H23" i="1" l="1"/>
  <c r="F23" i="1"/>
  <c r="H20" i="1"/>
  <c r="F20" i="1"/>
  <c r="G24" i="1" l="1"/>
  <c r="G23" i="1"/>
  <c r="G21" i="1"/>
  <c r="G20" i="1"/>
  <c r="A20" i="1"/>
  <c r="B33" i="3"/>
  <c r="R33" i="3"/>
  <c r="R31" i="3"/>
  <c r="N33" i="3"/>
  <c r="N31" i="3"/>
  <c r="A3" i="2"/>
  <c r="B2" i="2"/>
  <c r="J7" i="1" l="1"/>
  <c r="J8" i="1"/>
  <c r="J9" i="1"/>
  <c r="J10" i="1"/>
  <c r="J11" i="1"/>
  <c r="J12" i="1"/>
  <c r="J6" i="1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U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3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D10" i="1" s="1"/>
  <c r="Z22" i="3"/>
  <c r="B11" i="1" s="1"/>
  <c r="D11" i="1" s="1"/>
  <c r="J6" i="9"/>
  <c r="B8" i="9" s="1"/>
  <c r="C6" i="1"/>
  <c r="B23" i="3"/>
  <c r="Z23" i="3"/>
  <c r="B12" i="1" s="1"/>
  <c r="C12" i="1" s="1"/>
  <c r="S23" i="3"/>
  <c r="Z24" i="3"/>
  <c r="C20" i="7"/>
  <c r="E20" i="7"/>
  <c r="D20" i="7"/>
  <c r="F20" i="7"/>
  <c r="C34" i="5"/>
  <c r="F34" i="5"/>
  <c r="E34" i="5"/>
  <c r="D34" i="5"/>
  <c r="G6" i="1"/>
  <c r="F6" i="1"/>
  <c r="K4" i="1" s="1"/>
  <c r="E6" i="1"/>
  <c r="H6" i="1"/>
  <c r="D6" i="1"/>
  <c r="E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K10" i="1" s="1"/>
  <c r="G8" i="1"/>
  <c r="C8" i="1"/>
  <c r="D8" i="1"/>
  <c r="E8" i="1"/>
  <c r="H8" i="1"/>
  <c r="H10" i="1"/>
  <c r="G10" i="1"/>
  <c r="F10" i="1"/>
  <c r="K13" i="1" s="1"/>
  <c r="C10" i="1"/>
  <c r="M18" i="7"/>
  <c r="P18" i="7"/>
  <c r="N18" i="7"/>
  <c r="O18" i="7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K12" i="1" s="1"/>
  <c r="W1" i="1" s="1"/>
  <c r="G9" i="1"/>
  <c r="C9" i="1"/>
  <c r="H9" i="1"/>
  <c r="D9" i="1"/>
  <c r="B3" i="4"/>
  <c r="B27" i="7"/>
  <c r="B9" i="5"/>
  <c r="J16" i="9"/>
  <c r="L27" i="7"/>
  <c r="B21" i="5"/>
  <c r="B29" i="7"/>
  <c r="B7" i="1"/>
  <c r="H6" i="9" l="1"/>
  <c r="B6" i="9"/>
  <c r="J28" i="9"/>
  <c r="A28" i="9" s="1"/>
  <c r="E10" i="1"/>
  <c r="C11" i="1"/>
  <c r="E11" i="1"/>
  <c r="F11" i="1"/>
  <c r="K15" i="1" s="1"/>
  <c r="U2" i="1" s="1"/>
  <c r="H11" i="1"/>
  <c r="G11" i="1"/>
  <c r="G12" i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K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B16" i="9"/>
  <c r="E18" i="9"/>
  <c r="B18" i="9"/>
  <c r="H16" i="9"/>
  <c r="C27" i="7"/>
  <c r="F27" i="7"/>
  <c r="D27" i="7"/>
  <c r="E27" i="7"/>
  <c r="M29" i="7"/>
  <c r="P29" i="7"/>
  <c r="O29" i="7"/>
  <c r="N29" i="7"/>
  <c r="Q16" i="1"/>
  <c r="Q9" i="1"/>
  <c r="Q7" i="1"/>
  <c r="Q8" i="1"/>
  <c r="Q11" i="1"/>
  <c r="Q10" i="1"/>
  <c r="Q14" i="1"/>
  <c r="Q6" i="1"/>
  <c r="Q13" i="1"/>
  <c r="Q15" i="1"/>
  <c r="Q12" i="1"/>
  <c r="J11" i="9"/>
  <c r="O10" i="1"/>
  <c r="O8" i="1"/>
  <c r="O14" i="1"/>
  <c r="O9" i="1"/>
  <c r="O11" i="1"/>
  <c r="O6" i="1"/>
  <c r="O13" i="1"/>
  <c r="O15" i="1"/>
  <c r="O7" i="1"/>
  <c r="O16" i="1"/>
  <c r="U6" i="1"/>
  <c r="O12" i="1"/>
  <c r="R9" i="1" l="1"/>
  <c r="R12" i="1"/>
  <c r="R8" i="1"/>
  <c r="R13" i="1"/>
  <c r="R11" i="1"/>
  <c r="R7" i="1"/>
  <c r="R6" i="1"/>
  <c r="R10" i="1"/>
  <c r="R14" i="1"/>
  <c r="R16" i="1"/>
  <c r="R15" i="1"/>
  <c r="U9" i="1"/>
  <c r="X9" i="1" s="1"/>
  <c r="U10" i="1"/>
  <c r="W10" i="1" s="1"/>
  <c r="B11" i="9"/>
  <c r="E13" i="9"/>
  <c r="B13" i="9"/>
  <c r="H11" i="9"/>
  <c r="X6" i="1"/>
  <c r="V6" i="1"/>
  <c r="W6" i="1"/>
  <c r="Y6" i="1"/>
  <c r="AA6" i="1"/>
  <c r="AC6" i="1" s="1"/>
  <c r="AE6" i="1" s="1"/>
  <c r="Q17" i="1"/>
  <c r="O17" i="1"/>
  <c r="P9" i="1"/>
  <c r="P10" i="1"/>
  <c r="P12" i="1"/>
  <c r="P13" i="1"/>
  <c r="P6" i="1"/>
  <c r="P8" i="1"/>
  <c r="P15" i="1"/>
  <c r="P14" i="1"/>
  <c r="P16" i="1"/>
  <c r="U7" i="1"/>
  <c r="P7" i="1"/>
  <c r="P11" i="1"/>
  <c r="U8" i="1"/>
  <c r="U11" i="1"/>
  <c r="R17" i="1" l="1"/>
  <c r="V9" i="1"/>
  <c r="Y9" i="1"/>
  <c r="Y10" i="1"/>
  <c r="W9" i="1"/>
  <c r="X10" i="1"/>
  <c r="V10" i="1"/>
  <c r="W11" i="1"/>
  <c r="Y11" i="1"/>
  <c r="V11" i="1"/>
  <c r="X11" i="1"/>
  <c r="AL6" i="1"/>
  <c r="AF6" i="1"/>
  <c r="AI6" i="1"/>
  <c r="AH6" i="1"/>
  <c r="AG6" i="1"/>
  <c r="V8" i="1"/>
  <c r="AA8" i="1"/>
  <c r="W8" i="1"/>
  <c r="Y8" i="1"/>
  <c r="X8" i="1"/>
  <c r="Y7" i="1"/>
  <c r="V7" i="1"/>
  <c r="AB7" i="1" s="1"/>
  <c r="W7" i="1"/>
  <c r="AA7" i="1"/>
  <c r="AA10" i="1"/>
  <c r="X7" i="1"/>
  <c r="AA11" i="1"/>
  <c r="AA9" i="1"/>
  <c r="U1" i="1"/>
  <c r="P17" i="1"/>
  <c r="AC8" i="1" l="1"/>
  <c r="AM6" i="1"/>
  <c r="AC7" i="1"/>
  <c r="AC9" i="1"/>
  <c r="AC11" i="1"/>
  <c r="AC10" i="1"/>
  <c r="AN6" i="1"/>
  <c r="AO6" i="1"/>
  <c r="AP6" i="1"/>
  <c r="AE9" i="1" l="1"/>
  <c r="AE11" i="1"/>
  <c r="AE10" i="1"/>
  <c r="AE7" i="1"/>
  <c r="AE8" i="1"/>
  <c r="AF10" i="1" l="1"/>
  <c r="AM10" i="1" s="1"/>
  <c r="AL10" i="1"/>
  <c r="AG10" i="1"/>
  <c r="AN10" i="1" s="1"/>
  <c r="AH10" i="1"/>
  <c r="AO10" i="1" s="1"/>
  <c r="AI10" i="1"/>
  <c r="AP10" i="1" s="1"/>
  <c r="AH11" i="1"/>
  <c r="AO11" i="1" s="1"/>
  <c r="AF11" i="1"/>
  <c r="AM11" i="1" s="1"/>
  <c r="AL11" i="1"/>
  <c r="AG11" i="1"/>
  <c r="AN11" i="1" s="1"/>
  <c r="AI11" i="1"/>
  <c r="AP11" i="1" s="1"/>
  <c r="AG9" i="1"/>
  <c r="AN9" i="1" s="1"/>
  <c r="AI9" i="1"/>
  <c r="AP9" i="1" s="1"/>
  <c r="AL9" i="1"/>
  <c r="AH9" i="1"/>
  <c r="AO9" i="1" s="1"/>
  <c r="AF9" i="1"/>
  <c r="AM9" i="1" s="1"/>
  <c r="AL8" i="1"/>
  <c r="AF8" i="1"/>
  <c r="AM8" i="1" s="1"/>
  <c r="AI8" i="1"/>
  <c r="AP8" i="1" s="1"/>
  <c r="AH8" i="1"/>
  <c r="AO8" i="1" s="1"/>
  <c r="AG8" i="1"/>
  <c r="AN8" i="1" s="1"/>
  <c r="AG7" i="1"/>
  <c r="AI7" i="1"/>
  <c r="AF7" i="1"/>
  <c r="AH7" i="1"/>
  <c r="AL7" i="1"/>
  <c r="AN7" i="1" l="1"/>
  <c r="AN12" i="1" s="1"/>
  <c r="AG12" i="1"/>
  <c r="AM7" i="1"/>
  <c r="AM12" i="1" s="1"/>
  <c r="AF12" i="1"/>
  <c r="AO7" i="1"/>
  <c r="AO12" i="1" s="1"/>
  <c r="AH12" i="1"/>
  <c r="AP7" i="1"/>
  <c r="AP12" i="1" s="1"/>
  <c r="AI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<sst xmlns="http://schemas.openxmlformats.org/spreadsheetml/2006/main" count="250" uniqueCount="115">
  <si>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</si>
  <si>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</si>
  <si>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</si>
  <si>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</si>
  <si>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</si>
  <si>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</si>
  <si>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</si>
  <si>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</si>
  <si>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</si>
  <si>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</si>
  <si>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</si>
  <si>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</si>
  <si>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</si>
  <si>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</si>
  <si>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</si>
  <si>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</si>
  <si>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</si>
  <si>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</si>
  <si>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</si>
  <si>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</si>
  <si>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</si>
  <si>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</si>
  <si>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</si>
  <si>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</si>
  <si>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</si>
  <si>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</si>
  <si>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</si>
  <si>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</si>
  <si>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</si>
  <si>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</si>
  <si>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</si>
  <si>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</si>
  <si>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</si>
  <si>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</si>
  <si>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</si>
  <si>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</si>
  <si>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</si>
  <si>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</si>
  <si>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</si>
  <si>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</si>
  <si>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</si>
  <si>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</si>
  <si>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</si>
  <si>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</si>
  <si>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</si>
  <si>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</si>
  <si>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</si>
  <si>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</si>
  <si>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</si>
  <si>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</si>
  <si>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</si>
  <si>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</si>
  <si>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</si>
  <si>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</si>
  <si>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</si>
  <si>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</si>
  <si>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</si>
  <si>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</si>
  <si>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</si>
  <si>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</si>
  <si>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</si>
  <si>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</si>
  <si>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</si>
  <si>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</si>
  <si>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</si>
  <si>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</si>
  <si>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</si>
  <si>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</si>
  <si>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</si>
  <si>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</si>
  <si>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</si>
  <si>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</si>
  <si>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</si>
  <si>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</si>
  <si>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</si>
  <si>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</si>
  <si>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</si>
  <si>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</si>
  <si>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</si>
  <si>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</si>
  <si>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</si>
  <si>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</si>
  <si>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</si>
  <si>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</si>
  <si>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Кайтмазов Лазарь Николаевич</t>
  </si>
  <si>
    <t>15.11.99, кмс</t>
  </si>
  <si>
    <t>Москва, НИУ МГСУ</t>
  </si>
  <si>
    <t>Гарник В.С. Никишкин В.В.</t>
  </si>
  <si>
    <t>Магеррамов Кенан Бабек оглы</t>
  </si>
  <si>
    <t>06.03.99, кмс</t>
  </si>
  <si>
    <t>ЦФО</t>
  </si>
  <si>
    <t>Тверская, Тверь</t>
  </si>
  <si>
    <t>Булатов ВИ Булатов ИВ</t>
  </si>
  <si>
    <t>Шатохин Сергей Игоревич</t>
  </si>
  <si>
    <t>03.01.95, кмс</t>
  </si>
  <si>
    <t>Москва, ГБУ СШ "Битца"</t>
  </si>
  <si>
    <t>Насыров ЕГ</t>
  </si>
  <si>
    <t>Ефимов Владимир Владимирович</t>
  </si>
  <si>
    <t>28.01.95, кмс</t>
  </si>
  <si>
    <t>Гарник ВС Никишкин ВВ</t>
  </si>
  <si>
    <t>Тимченко Илья Сергеевич</t>
  </si>
  <si>
    <t>28.03.84, кмс</t>
  </si>
  <si>
    <t>Московская, Люберцы</t>
  </si>
  <si>
    <t>Худяков ВО</t>
  </si>
  <si>
    <t>Николаев Андрей Владимирович</t>
  </si>
  <si>
    <t>23.10.00, кмс</t>
  </si>
  <si>
    <t>Московская, Дмитров</t>
  </si>
  <si>
    <t>Бондарь АЮ</t>
  </si>
  <si>
    <t>Семенков Николай Андреевич</t>
  </si>
  <si>
    <t>08.07.99, кмс</t>
  </si>
  <si>
    <t>Московская, Зеленоград</t>
  </si>
  <si>
    <t>Коробков СВ</t>
  </si>
  <si>
    <t>В.к. 100+  кг.</t>
  </si>
  <si>
    <t>4/0</t>
  </si>
  <si>
    <t>3/0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</si>
</sst>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5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b/>
      <sz val="10"/>
      <color theme="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77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14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vertical="center" wrapText="1"/>
      <protection locked="0"/>
    </xf>
    <xf numFmtId="0" fontId="40" fillId="7" borderId="0" xfId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2" fillId="0" borderId="0" xfId="0" applyFont="1" applyBorder="1" applyProtection="1">
      <protection locked="0"/>
    </xf>
    <xf numFmtId="0" fontId="44" fillId="0" borderId="0" xfId="0" applyFont="1" applyBorder="1" applyAlignment="1">
      <alignment horizontal="left"/>
    </xf>
    <xf numFmtId="0" fontId="16" fillId="0" borderId="90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37" fillId="0" borderId="14" xfId="0" applyFont="1" applyBorder="1" applyAlignment="1" applyProtection="1">
      <alignment horizontal="center" vertical="center" wrapText="1"/>
      <protection locked="0"/>
    </xf>
    <xf numFmtId="0" fontId="37" fillId="0" borderId="91" xfId="0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vertical="center" wrapText="1"/>
      <protection locked="0"/>
    </xf>
    <xf numFmtId="0" fontId="6" fillId="0" borderId="78" xfId="0" applyNumberFormat="1" applyFont="1" applyBorder="1" applyAlignment="1" applyProtection="1">
      <alignment vertical="center" wrapText="1"/>
      <protection locked="0"/>
    </xf>
    <xf numFmtId="0" fontId="6" fillId="0" borderId="30" xfId="0" applyNumberFormat="1" applyFont="1" applyBorder="1" applyAlignment="1" applyProtection="1">
      <alignment vertical="center" wrapText="1"/>
      <protection locked="0"/>
    </xf>
    <xf numFmtId="0" fontId="6" fillId="0" borderId="74" xfId="0" applyNumberFormat="1" applyFont="1" applyBorder="1" applyAlignment="1" applyProtection="1">
      <alignment vertical="center" wrapText="1"/>
      <protection locked="0"/>
    </xf>
    <xf numFmtId="0" fontId="6" fillId="0" borderId="12" xfId="0" applyNumberFormat="1" applyFont="1" applyBorder="1" applyAlignment="1" applyProtection="1">
      <alignment vertical="center" wrapText="1"/>
      <protection locked="0"/>
    </xf>
    <xf numFmtId="0" fontId="6" fillId="0" borderId="87" xfId="0" applyNumberFormat="1" applyFont="1" applyBorder="1" applyAlignment="1" applyProtection="1">
      <alignment vertical="center" wrapText="1"/>
      <protection locked="0"/>
    </xf>
    <xf numFmtId="0" fontId="6" fillId="0" borderId="46" xfId="0" applyNumberFormat="1" applyFont="1" applyBorder="1" applyAlignment="1" applyProtection="1">
      <alignment vertical="center" wrapText="1"/>
      <protection locked="0"/>
    </xf>
    <xf numFmtId="0" fontId="6" fillId="0" borderId="44" xfId="0" applyNumberFormat="1" applyFont="1" applyBorder="1" applyAlignment="1" applyProtection="1">
      <alignment vertical="center" wrapText="1"/>
      <protection locked="0"/>
    </xf>
    <xf numFmtId="0" fontId="6" fillId="0" borderId="88" xfId="0" applyNumberFormat="1" applyFont="1" applyBorder="1" applyAlignment="1" applyProtection="1">
      <alignment vertical="center" wrapText="1"/>
      <protection locked="0"/>
    </xf>
    <xf numFmtId="0" fontId="6" fillId="0" borderId="55" xfId="0" applyNumberFormat="1" applyFont="1" applyBorder="1" applyAlignment="1" applyProtection="1">
      <alignment vertical="center" wrapText="1"/>
      <protection locked="0"/>
    </xf>
    <xf numFmtId="0" fontId="6" fillId="0" borderId="36" xfId="0" applyNumberFormat="1" applyFont="1" applyBorder="1" applyAlignment="1" applyProtection="1">
      <alignment vertical="center" wrapText="1"/>
      <protection locked="0"/>
    </xf>
    <xf numFmtId="0" fontId="6" fillId="0" borderId="37" xfId="0" applyNumberFormat="1" applyFont="1" applyBorder="1" applyAlignment="1" applyProtection="1">
      <alignment vertical="center" wrapText="1"/>
      <protection locked="0"/>
    </xf>
    <xf numFmtId="0" fontId="6" fillId="0" borderId="38" xfId="0" applyNumberFormat="1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43" fillId="0" borderId="17" xfId="1" applyFont="1" applyBorder="1" applyAlignment="1" applyProtection="1">
      <alignment horizontal="center" vertical="center" wrapText="1"/>
    </xf>
    <xf numFmtId="0" fontId="43" fillId="0" borderId="51" xfId="1" applyFont="1" applyBorder="1" applyAlignment="1" applyProtection="1">
      <alignment horizontal="center" vertical="center" wrapText="1"/>
    </xf>
    <xf numFmtId="0" fontId="43" fillId="0" borderId="45" xfId="1" applyFont="1" applyBorder="1" applyAlignment="1" applyProtection="1">
      <alignment horizontal="center" vertical="center" wrapText="1"/>
    </xf>
    <xf numFmtId="0" fontId="43" fillId="0" borderId="49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43" fillId="0" borderId="87" xfId="1" applyFont="1" applyBorder="1" applyAlignment="1" applyProtection="1">
      <alignment horizontal="left" vertical="center" wrapText="1"/>
    </xf>
    <xf numFmtId="0" fontId="43" fillId="0" borderId="3" xfId="1" applyFont="1" applyBorder="1" applyAlignment="1" applyProtection="1">
      <alignment horizontal="left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43" fillId="0" borderId="87" xfId="1" applyFont="1" applyBorder="1" applyAlignment="1" applyProtection="1">
      <alignment horizontal="center" vertical="center" wrapText="1"/>
    </xf>
    <xf numFmtId="0" fontId="43" fillId="0" borderId="3" xfId="1" applyFont="1" applyBorder="1" applyAlignment="1" applyProtection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5" fillId="0" borderId="55" xfId="0" applyFont="1" applyBorder="1" applyAlignment="1">
      <alignment horizontal="left" vertical="center" wrapText="1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2"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5</xdr:row>
          <xdr:rowOff>0</xdr:rowOff>
        </xdr:from>
        <xdr:to>
          <xdr:col>5</xdr:col>
          <xdr:colOff>1057275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</xdr:row>
          <xdr:rowOff>28575</xdr:rowOff>
        </xdr:from>
        <xdr:to>
          <xdr:col>1</xdr:col>
          <xdr:colOff>361950</xdr:colOff>
          <xdr:row>3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95250</xdr:rowOff>
    </xdr:from>
    <xdr:to>
      <xdr:col>29</xdr:col>
      <xdr:colOff>371549</xdr:colOff>
      <xdr:row>1</xdr:row>
      <xdr:rowOff>301718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8900" y="95250"/>
          <a:ext cx="12474649" cy="520793"/>
          <a:chOff x="9" y="4"/>
          <a:chExt cx="988" cy="3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4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18</xdr:col>
      <xdr:colOff>438150</xdr:colOff>
      <xdr:row>0</xdr:row>
      <xdr:rowOff>82550</xdr:rowOff>
    </xdr:from>
    <xdr:to>
      <xdr:col>29</xdr:col>
      <xdr:colOff>459083</xdr:colOff>
      <xdr:row>3</xdr:row>
      <xdr:rowOff>86005</xdr:rowOff>
    </xdr:to>
    <xdr:grpSp>
      <xdr:nvGrpSpPr>
        <xdr:cNvPr id="11" name="Group 322"/>
        <xdr:cNvGrpSpPr>
          <a:grpSpLocks/>
        </xdr:cNvGrpSpPr>
      </xdr:nvGrpSpPr>
      <xdr:grpSpPr bwMode="auto">
        <a:xfrm>
          <a:off x="8534400" y="82550"/>
          <a:ext cx="4116683" cy="1108355"/>
          <a:chOff x="9" y="4"/>
          <a:chExt cx="341" cy="83"/>
        </a:xfrm>
      </xdr:grpSpPr>
      <xdr:pic>
        <xdr:nvPicPr>
          <xdr:cNvPr id="12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41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7" y="57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69850</xdr:rowOff>
    </xdr:from>
    <xdr:to>
      <xdr:col>38</xdr:col>
      <xdr:colOff>45705</xdr:colOff>
      <xdr:row>1</xdr:row>
      <xdr:rowOff>385109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69850" y="69850"/>
          <a:ext cx="9891380" cy="667684"/>
          <a:chOff x="9" y="4"/>
          <a:chExt cx="807" cy="50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3" y="24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49" t="s">
        <v>79</v>
      </c>
      <c r="B1" s="249"/>
      <c r="C1" s="249"/>
      <c r="D1" s="249"/>
      <c r="E1" s="249"/>
      <c r="F1" s="249"/>
      <c r="G1" s="249"/>
      <c r="H1" s="249"/>
    </row>
    <row r="2" spans="1:35" ht="55.5" customHeight="1">
      <c r="A2" s="187"/>
      <c r="B2" s="248" t="str">
        <f>[1]реквизиты!$A$2</f>
        <v>Всероссийские соревнования по спортивному и боевому самбо среди мужчин на призы УФСИН России</v>
      </c>
      <c r="C2" s="248"/>
      <c r="D2" s="248"/>
      <c r="E2" s="248"/>
      <c r="F2" s="248"/>
      <c r="G2" s="248"/>
      <c r="H2" s="188"/>
      <c r="I2" s="151"/>
      <c r="J2" s="151"/>
      <c r="K2" s="151"/>
    </row>
    <row r="3" spans="1:35" ht="17.25" customHeight="1">
      <c r="A3" s="252" t="str">
        <f>[1]реквизиты!$A$3</f>
        <v>20-22 апреля 2019 г           г.Тверь</v>
      </c>
      <c r="B3" s="252"/>
      <c r="C3" s="252"/>
      <c r="D3" s="252"/>
      <c r="E3" s="252"/>
      <c r="F3" s="252"/>
      <c r="G3" s="252"/>
      <c r="H3" s="252"/>
    </row>
    <row r="4" spans="1:35" ht="19.5" customHeight="1">
      <c r="D4" s="8" t="s">
        <v>112</v>
      </c>
      <c r="E4" s="8"/>
      <c r="Y4" s="242" t="s">
        <v>75</v>
      </c>
      <c r="Z4" s="242"/>
      <c r="AA4" s="242"/>
      <c r="AB4" s="242"/>
      <c r="AC4" s="242"/>
      <c r="AD4" s="242"/>
      <c r="AE4" s="242"/>
    </row>
    <row r="5" spans="1:35" ht="12.75" customHeight="1" thickBot="1">
      <c r="A5" s="250" t="s">
        <v>80</v>
      </c>
      <c r="B5" s="257" t="s">
        <v>4</v>
      </c>
      <c r="C5" s="250" t="s">
        <v>5</v>
      </c>
      <c r="D5" s="250" t="s">
        <v>6</v>
      </c>
      <c r="E5" s="253" t="s">
        <v>7</v>
      </c>
      <c r="F5" s="254"/>
      <c r="G5" s="250" t="s">
        <v>9</v>
      </c>
      <c r="H5" s="250" t="s">
        <v>8</v>
      </c>
      <c r="Q5" s="243"/>
      <c r="R5" s="243"/>
      <c r="S5" s="243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51"/>
      <c r="B6" s="251"/>
      <c r="C6" s="251"/>
      <c r="D6" s="251"/>
      <c r="E6" s="255"/>
      <c r="F6" s="256"/>
      <c r="G6" s="251"/>
      <c r="H6" s="251"/>
      <c r="J6" s="111"/>
      <c r="K6" s="111"/>
      <c r="L6" s="111"/>
      <c r="M6" s="111"/>
      <c r="N6" s="111"/>
      <c r="O6" s="111"/>
      <c r="P6" s="189"/>
      <c r="Q6" s="189" t="str">
        <f>N7</f>
        <v>кмс</v>
      </c>
      <c r="R6" s="189" t="str">
        <f>N8</f>
        <v/>
      </c>
      <c r="S6" s="190" t="str">
        <f>N9</f>
        <v/>
      </c>
      <c r="T6" s="190" t="str">
        <f>N10</f>
        <v/>
      </c>
      <c r="U6" s="190" t="str">
        <f>N11</f>
        <v/>
      </c>
      <c r="V6" s="190" t="str">
        <f>N12</f>
        <v/>
      </c>
      <c r="W6" s="190" t="str">
        <f>N13</f>
        <v/>
      </c>
      <c r="X6" s="115"/>
      <c r="Y6" s="153" t="s">
        <v>76</v>
      </c>
      <c r="Z6" s="119" t="str">
        <f t="shared" ref="Z6:AF6" si="0">Q6</f>
        <v>кмс</v>
      </c>
      <c r="AA6" s="119" t="str">
        <f t="shared" si="0"/>
        <v/>
      </c>
      <c r="AB6" s="191" t="str">
        <f t="shared" si="0"/>
        <v/>
      </c>
      <c r="AC6" s="191" t="str">
        <f t="shared" si="0"/>
        <v/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2" t="s">
        <v>51</v>
      </c>
      <c r="B7" s="193">
        <v>1</v>
      </c>
      <c r="C7" s="194" t="s">
        <v>84</v>
      </c>
      <c r="D7" s="195" t="s">
        <v>85</v>
      </c>
      <c r="E7" s="196" t="s">
        <v>63</v>
      </c>
      <c r="F7" s="195" t="s">
        <v>86</v>
      </c>
      <c r="G7" s="197"/>
      <c r="H7" s="198" t="s">
        <v>87</v>
      </c>
      <c r="I7" s="32"/>
      <c r="J7" s="199">
        <v>1</v>
      </c>
      <c r="K7" s="184" t="str">
        <f>IFERROR(RIGHT(D7,LEN(D7)-FIND("*",SUBSTITUTE(D7," ","*",LEN(D7)-LEN(SUBSTITUTE(D7," ",""))))),D7)</f>
        <v>кмс</v>
      </c>
      <c r="L7" s="184" t="str">
        <f>IFERROR(LEFT(F7,FIND(",",F7)-1),F7)</f>
        <v>Москва</v>
      </c>
      <c r="M7" s="200" t="str">
        <f t="array" ref="M7">IFERROR(INDEX(субъект,MATCH(SUM(COUNTIF(M$6:M6,субъект)),COUNTIF(субъект,"&lt;"&amp;субъект),0)),"")</f>
        <v>Москва</v>
      </c>
      <c r="N7" s="200" t="str">
        <f t="array" ref="N7">IFERROR(INDEX(разряд,MATCH(SUM(COUNTIF(N$6:N6,разряд)),COUNTIF(разряд,"&lt;"&amp;разряд),0)),"")</f>
        <v>кмс</v>
      </c>
      <c r="O7" s="201">
        <v>1</v>
      </c>
      <c r="P7" s="120" t="str">
        <f t="shared" ref="P7:P14" si="1">M7</f>
        <v>Москва</v>
      </c>
      <c r="Q7" s="202">
        <f t="shared" ref="Q7:Q14" si="2">SUMIFS($J$7:$J$30,$L$7:$L$30,P7,$K$7:$K$30,Q$6)</f>
        <v>3</v>
      </c>
      <c r="R7" s="202">
        <f t="shared" ref="R7:R14" si="3">SUMIFS($J$7:$J$30,$L$7:$L$30,P7,$K$7:$K$30,R$6)</f>
        <v>0</v>
      </c>
      <c r="S7" s="203">
        <f t="shared" ref="S7:S14" si="4">SUMIFS($J$7:$J$30,$L$7:$L$30,P7,$K$7:$K$30,S$6)</f>
        <v>0</v>
      </c>
      <c r="T7" s="204">
        <f t="shared" ref="T7:T14" si="5">SUMIFS($J$7:$J$30,$L$7:$L$30,P7,$K$7:$K$30,T$6)</f>
        <v>0</v>
      </c>
      <c r="U7" s="204">
        <f t="shared" ref="U7:U14" si="6">SUMIFS($J$7:$J$30,$L$7:$L$30,P7,$K$7:$K$30,U$6)</f>
        <v>0</v>
      </c>
      <c r="V7" s="204">
        <f t="shared" ref="V7:V14" si="7">SUMIFS($J$7:$J$30,$L$7:$L$30,P7,$K$7:$K$30,V$6)</f>
        <v>0</v>
      </c>
      <c r="W7" s="204">
        <f t="shared" ref="W7:W14" si="8">SUMIFS($J$7:$J$30,$L$7:$L$30,P7,$K$7:$K$30,W$6)</f>
        <v>0</v>
      </c>
      <c r="X7" s="205"/>
      <c r="Y7" s="206" t="str">
        <f>P7</f>
        <v>Москва</v>
      </c>
      <c r="Z7" s="150">
        <f>IF(Q7=0," ",Q7)</f>
        <v>3</v>
      </c>
      <c r="AA7" s="150" t="str">
        <f>IF(R7=0," ",R7)</f>
        <v xml:space="preserve"> </v>
      </c>
      <c r="AB7" s="150" t="str">
        <f>IF(S7=0," ",S7)</f>
        <v xml:space="preserve"> </v>
      </c>
      <c r="AC7" s="150" t="str">
        <f>IF(T7=0," ",T7)</f>
        <v xml:space="preserve"> 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44">
        <f>SUM(Z7:AF14)</f>
        <v>7</v>
      </c>
      <c r="AI7" s="245"/>
    </row>
    <row r="8" spans="1:35" ht="24" customHeight="1" thickBot="1">
      <c r="A8" s="192" t="s">
        <v>52</v>
      </c>
      <c r="B8" s="193">
        <v>2</v>
      </c>
      <c r="C8" s="194" t="s">
        <v>88</v>
      </c>
      <c r="D8" s="195" t="s">
        <v>89</v>
      </c>
      <c r="E8" s="196" t="s">
        <v>90</v>
      </c>
      <c r="F8" s="195" t="s">
        <v>91</v>
      </c>
      <c r="G8" s="197"/>
      <c r="H8" s="198" t="s">
        <v>92</v>
      </c>
      <c r="I8" s="32"/>
      <c r="J8" s="199">
        <v>1</v>
      </c>
      <c r="K8" s="184" t="str">
        <f t="shared" ref="K8:K14" si="10">IFERROR(RIGHT(D8,LEN(D8)-FIND("*",SUBSTITUTE(D8," ","*",LEN(D8)-LEN(SUBSTITUTE(D8," ",""))))),D8)</f>
        <v>кмс</v>
      </c>
      <c r="L8" s="184" t="str">
        <f t="shared" ref="L8:L14" si="11">IFERROR(LEFT(F8,FIND(",",F8)-1),F8)</f>
        <v>Тверская</v>
      </c>
      <c r="M8" s="200" t="str">
        <f t="array" ref="M8">IFERROR(INDEX(субъект,MATCH(SUM(COUNTIF(M$6:M7,субъект)),COUNTIF(субъект,"&lt;"&amp;субъект),0)),"")</f>
        <v>Московская</v>
      </c>
      <c r="N8" s="200" t="str">
        <f t="array" ref="N8">IFERROR(INDEX(разряд,MATCH(SUM(COUNTIF(N$6:N7,разряд)),COUNTIF(разряд,"&lt;"&amp;разряд),0)),"")</f>
        <v/>
      </c>
      <c r="O8" s="201">
        <v>2</v>
      </c>
      <c r="P8" s="120" t="str">
        <f t="shared" si="1"/>
        <v>Московская</v>
      </c>
      <c r="Q8" s="202">
        <f t="shared" si="2"/>
        <v>3</v>
      </c>
      <c r="R8" s="202">
        <f t="shared" si="3"/>
        <v>0</v>
      </c>
      <c r="S8" s="203">
        <f t="shared" si="4"/>
        <v>0</v>
      </c>
      <c r="T8" s="204">
        <f t="shared" si="5"/>
        <v>0</v>
      </c>
      <c r="U8" s="204">
        <f t="shared" si="6"/>
        <v>0</v>
      </c>
      <c r="V8" s="204">
        <f t="shared" si="7"/>
        <v>0</v>
      </c>
      <c r="W8" s="204">
        <f t="shared" si="8"/>
        <v>0</v>
      </c>
      <c r="X8" s="121"/>
      <c r="Y8" s="118" t="str">
        <f t="shared" ref="Y8:Y14" si="12">P8</f>
        <v>Московская</v>
      </c>
      <c r="Z8" s="118">
        <f>IF($Y$8=$Y$7," ",IF(Q8=0," ",Q8))</f>
        <v>3</v>
      </c>
      <c r="AA8" s="118" t="str">
        <f>IF($Y$8=$Y$7," ",IF(R8=0," ",R8))</f>
        <v xml:space="preserve"> </v>
      </c>
      <c r="AB8" s="118" t="str">
        <f>IF($Y$8=$Y$7," ",IF(S8=0," ",S8))</f>
        <v xml:space="preserve"> </v>
      </c>
      <c r="AC8" s="118" t="str">
        <f>IF($Y$8=$Y$7," ",IF(T8=0," ",T8))</f>
        <v xml:space="preserve"> 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46"/>
      <c r="AI8" s="247"/>
    </row>
    <row r="9" spans="1:35" ht="24" customHeight="1">
      <c r="A9" s="192" t="s">
        <v>53</v>
      </c>
      <c r="B9" s="193">
        <v>3</v>
      </c>
      <c r="C9" s="194" t="s">
        <v>93</v>
      </c>
      <c r="D9" s="195" t="s">
        <v>94</v>
      </c>
      <c r="E9" s="196" t="s">
        <v>63</v>
      </c>
      <c r="F9" s="195" t="s">
        <v>95</v>
      </c>
      <c r="G9" s="197"/>
      <c r="H9" s="198" t="s">
        <v>96</v>
      </c>
      <c r="I9" s="32"/>
      <c r="J9" s="199">
        <v>1</v>
      </c>
      <c r="K9" s="184" t="str">
        <f t="shared" si="10"/>
        <v>кмс</v>
      </c>
      <c r="L9" s="184" t="str">
        <f t="shared" si="11"/>
        <v>Москва</v>
      </c>
      <c r="M9" s="200" t="str">
        <f t="array" ref="M9">IFERROR(INDEX(субъект,MATCH(SUM(COUNTIF(M$6:M8,субъект)),COUNTIF(субъект,"&lt;"&amp;субъект),0)),"")</f>
        <v>Тверская</v>
      </c>
      <c r="N9" s="200" t="str">
        <f t="array" ref="N9">IFERROR(INDEX(разряд,MATCH(SUM(COUNTIF(N$6:N8,разряд)),COUNTIF(разряд,"&lt;"&amp;разряд),0)),"")</f>
        <v/>
      </c>
      <c r="O9" s="201">
        <v>3</v>
      </c>
      <c r="P9" s="120" t="str">
        <f t="shared" si="1"/>
        <v>Тверская</v>
      </c>
      <c r="Q9" s="202">
        <f t="shared" si="2"/>
        <v>1</v>
      </c>
      <c r="R9" s="202">
        <f t="shared" si="3"/>
        <v>0</v>
      </c>
      <c r="S9" s="203">
        <f t="shared" si="4"/>
        <v>0</v>
      </c>
      <c r="T9" s="204">
        <f t="shared" si="5"/>
        <v>0</v>
      </c>
      <c r="U9" s="204">
        <f t="shared" si="6"/>
        <v>0</v>
      </c>
      <c r="V9" s="204">
        <f t="shared" si="7"/>
        <v>0</v>
      </c>
      <c r="W9" s="204">
        <f t="shared" si="8"/>
        <v>0</v>
      </c>
      <c r="X9" s="121"/>
      <c r="Y9" s="118" t="str">
        <f t="shared" si="12"/>
        <v>Тверская</v>
      </c>
      <c r="Z9" s="118">
        <f>IF(OR($Y9=$Y7,$Y9=$Y8)," ",IF(Q9=0," ",Q9))</f>
        <v>1</v>
      </c>
      <c r="AA9" s="118" t="str">
        <f>IF(OR($Y9=$Y7,$Y9=$Y8)," ",IF(R9=0," ",R9))</f>
        <v xml:space="preserve"> </v>
      </c>
      <c r="AB9" s="118" t="str">
        <f>IF(OR($Y9=$Y7,$Y9=$Y8)," ",IF(S9=0," ",S9))</f>
        <v xml:space="preserve"> </v>
      </c>
      <c r="AC9" s="118" t="str">
        <f>IF(OR($Y9=$Y7,$Y9=$Y8)," ",IF(T9=0," ",T9))</f>
        <v xml:space="preserve"> 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2" t="s">
        <v>54</v>
      </c>
      <c r="B10" s="193">
        <v>4</v>
      </c>
      <c r="C10" s="194" t="s">
        <v>97</v>
      </c>
      <c r="D10" s="195" t="s">
        <v>98</v>
      </c>
      <c r="E10" s="196" t="s">
        <v>63</v>
      </c>
      <c r="F10" s="195" t="s">
        <v>86</v>
      </c>
      <c r="G10" s="197"/>
      <c r="H10" s="198" t="s">
        <v>99</v>
      </c>
      <c r="I10" s="32"/>
      <c r="J10" s="199">
        <v>1</v>
      </c>
      <c r="K10" s="184" t="str">
        <f t="shared" si="10"/>
        <v>кмс</v>
      </c>
      <c r="L10" s="184" t="str">
        <f t="shared" si="11"/>
        <v>Москва</v>
      </c>
      <c r="M10" s="200" t="str">
        <f t="array" ref="M10">IFERROR(INDEX(субъект,MATCH(SUM(COUNTIF(M$6:M9,субъект)),COUNTIF(субъект,"&lt;"&amp;субъект),0)),"")</f>
        <v/>
      </c>
      <c r="N10" s="200" t="str">
        <f t="array" ref="N10">IFERROR(INDEX(разряд,MATCH(SUM(COUNTIF(N$6:N9,разряд)),COUNTIF(разряд,"&lt;"&amp;разряд),0)),"")</f>
        <v/>
      </c>
      <c r="O10" s="201">
        <v>4</v>
      </c>
      <c r="P10" s="120" t="str">
        <f t="shared" si="1"/>
        <v/>
      </c>
      <c r="Q10" s="202">
        <f t="shared" si="2"/>
        <v>0</v>
      </c>
      <c r="R10" s="202">
        <f t="shared" si="3"/>
        <v>0</v>
      </c>
      <c r="S10" s="203">
        <f t="shared" si="4"/>
        <v>0</v>
      </c>
      <c r="T10" s="204">
        <f t="shared" si="5"/>
        <v>0</v>
      </c>
      <c r="U10" s="204">
        <f t="shared" si="6"/>
        <v>0</v>
      </c>
      <c r="V10" s="204">
        <f t="shared" si="7"/>
        <v>0</v>
      </c>
      <c r="W10" s="204">
        <f t="shared" si="8"/>
        <v>0</v>
      </c>
      <c r="X10" s="115"/>
      <c r="Y10" s="118" t="str">
        <f t="shared" si="12"/>
        <v/>
      </c>
      <c r="Z10" s="118" t="str">
        <f>IF(OR($Y10=$Y8,$Y10=$Y9,$Y10=$Y7)," ",IF(Q10=0," ",Q10))</f>
        <v xml:space="preserve"> </v>
      </c>
      <c r="AA10" s="118" t="str">
        <f>IF(OR($Y10=$Y8,$Y10=$Y9,$Y10=$Y7)," ",IF(R10=0," ",R10))</f>
        <v xml:space="preserve"> </v>
      </c>
      <c r="AB10" s="118" t="str">
        <f>IF(OR($Y10=$Y8,$Y10=$Y9,$Y10=$Y7)," ",IF(S10=0," ",S10))</f>
        <v xml:space="preserve"> </v>
      </c>
      <c r="AC10" s="118" t="str">
        <f>IF(OR($Y10=$Y8,$Y10=$Y9,$Y10=$Y7)," ",IF(T10=0," ",T10))</f>
        <v xml:space="preserve"> 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2" t="s">
        <v>55</v>
      </c>
      <c r="B11" s="193">
        <v>5</v>
      </c>
      <c r="C11" s="194" t="s">
        <v>100</v>
      </c>
      <c r="D11" s="195" t="s">
        <v>101</v>
      </c>
      <c r="E11" s="196" t="s">
        <v>90</v>
      </c>
      <c r="F11" s="195" t="s">
        <v>102</v>
      </c>
      <c r="G11" s="197"/>
      <c r="H11" s="198" t="s">
        <v>103</v>
      </c>
      <c r="I11" s="32"/>
      <c r="J11" s="199">
        <v>1</v>
      </c>
      <c r="K11" s="184" t="str">
        <f t="shared" si="10"/>
        <v>кмс</v>
      </c>
      <c r="L11" s="184" t="str">
        <f t="shared" si="11"/>
        <v>Московская</v>
      </c>
      <c r="M11" s="200" t="str">
        <f t="array" ref="M11">IFERROR(INDEX(субъект,MATCH(SUM(COUNTIF(M$6:M10,субъект)),COUNTIF(субъект,"&lt;"&amp;субъект),0)),"")</f>
        <v/>
      </c>
      <c r="N11" s="200" t="str">
        <f t="array" ref="N11">IFERROR(INDEX(разряд,MATCH(SUM(COUNTIF(N$6:N10,разряд)),COUNTIF(разряд,"&lt;"&amp;разряд),0)),"")</f>
        <v/>
      </c>
      <c r="O11" s="201">
        <v>5</v>
      </c>
      <c r="P11" s="120" t="str">
        <f t="shared" si="1"/>
        <v/>
      </c>
      <c r="Q11" s="202">
        <f t="shared" si="2"/>
        <v>0</v>
      </c>
      <c r="R11" s="202">
        <f t="shared" si="3"/>
        <v>0</v>
      </c>
      <c r="S11" s="203">
        <f t="shared" si="4"/>
        <v>0</v>
      </c>
      <c r="T11" s="204">
        <f t="shared" si="5"/>
        <v>0</v>
      </c>
      <c r="U11" s="204">
        <f t="shared" si="6"/>
        <v>0</v>
      </c>
      <c r="V11" s="204">
        <f t="shared" si="7"/>
        <v>0</v>
      </c>
      <c r="W11" s="204">
        <f t="shared" si="8"/>
        <v>0</v>
      </c>
      <c r="X11" s="121"/>
      <c r="Y11" s="118" t="str">
        <f t="shared" si="12"/>
        <v/>
      </c>
      <c r="Z11" s="118" t="str">
        <f>IF(OR($Y11=$Y9,$Y11=$Y10,$Y11=$Y8,$Y11=$Y7)," ",IF(Q11=0," ",Q11))</f>
        <v xml:space="preserve"> </v>
      </c>
      <c r="AA11" s="118" t="str">
        <f>IF(OR($Y11=$Y9,$Y11=$Y10,$Y11=$Y8,$Y11=$Y7)," ",IF(R11=0," ",R11))</f>
        <v xml:space="preserve"> </v>
      </c>
      <c r="AB11" s="118" t="str">
        <f>IF(OR($Y11=$Y9,$Y11=$Y10,$Y11=$Y8,$Y11=$Y7)," ",IF(S11=0," ",S11))</f>
        <v xml:space="preserve"> </v>
      </c>
      <c r="AC11" s="118" t="str">
        <f>IF(OR($Y11=$Y9,$Y11=$Y10,$Y11=$Y8,$Y11=$Y7)," ",IF(T11=0," ",T11))</f>
        <v xml:space="preserve"> 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2" t="s">
        <v>56</v>
      </c>
      <c r="B12" s="193">
        <v>6</v>
      </c>
      <c r="C12" s="194" t="s">
        <v>104</v>
      </c>
      <c r="D12" s="195" t="s">
        <v>105</v>
      </c>
      <c r="E12" s="194" t="s">
        <v>90</v>
      </c>
      <c r="F12" s="195" t="s">
        <v>106</v>
      </c>
      <c r="G12" s="194"/>
      <c r="H12" s="198" t="s">
        <v>107</v>
      </c>
      <c r="I12" s="32"/>
      <c r="J12" s="199">
        <v>1</v>
      </c>
      <c r="K12" s="184" t="str">
        <f t="shared" si="10"/>
        <v>кмс</v>
      </c>
      <c r="L12" s="184" t="str">
        <f t="shared" si="11"/>
        <v>Московская</v>
      </c>
      <c r="M12" s="200" t="str">
        <f t="array" ref="M12">IFERROR(INDEX(субъект,MATCH(SUM(COUNTIF(M$6:M11,субъект)),COUNTIF(субъект,"&lt;"&amp;субъект),0)),"")</f>
        <v/>
      </c>
      <c r="N12" s="200" t="str">
        <f t="array" ref="N12">IFERROR(INDEX(разряд,MATCH(SUM(COUNTIF(N$6:N11,разряд)),COUNTIF(разряд,"&lt;"&amp;разряд),0)),"")</f>
        <v/>
      </c>
      <c r="O12" s="201">
        <v>6</v>
      </c>
      <c r="P12" s="120" t="str">
        <f t="shared" si="1"/>
        <v/>
      </c>
      <c r="Q12" s="202">
        <f t="shared" si="2"/>
        <v>0</v>
      </c>
      <c r="R12" s="202">
        <f t="shared" si="3"/>
        <v>0</v>
      </c>
      <c r="S12" s="203">
        <f t="shared" si="4"/>
        <v>0</v>
      </c>
      <c r="T12" s="204">
        <f t="shared" si="5"/>
        <v>0</v>
      </c>
      <c r="U12" s="204">
        <f t="shared" si="6"/>
        <v>0</v>
      </c>
      <c r="V12" s="204">
        <f t="shared" si="7"/>
        <v>0</v>
      </c>
      <c r="W12" s="204">
        <f t="shared" si="8"/>
        <v>0</v>
      </c>
      <c r="X12" s="115"/>
      <c r="Y12" s="118" t="str">
        <f t="shared" si="12"/>
        <v/>
      </c>
      <c r="Z12" s="118" t="str">
        <f>IF(OR($Y12=$Y10,$Y12=$Y11,$Y12=$Y9,$Y12=$Y8,$Y12=$Y7)," ",IF(Q12=0," ",Q12))</f>
        <v xml:space="preserve"> </v>
      </c>
      <c r="AA12" s="118" t="str">
        <f>IF(OR($Y12=$Y10,$Y12=$Y11,$Y12=$Y9,$Y12=$Y8,$Y12=$Y7)," ",IF(R12=0," ",R12))</f>
        <v xml:space="preserve"> 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2" t="s">
        <v>57</v>
      </c>
      <c r="B13" s="207">
        <v>7</v>
      </c>
      <c r="C13" s="183" t="s">
        <v>108</v>
      </c>
      <c r="D13" s="183" t="s">
        <v>109</v>
      </c>
      <c r="E13" s="183" t="s">
        <v>90</v>
      </c>
      <c r="F13" s="195" t="s">
        <v>110</v>
      </c>
      <c r="G13" s="208"/>
      <c r="H13" s="209" t="s">
        <v>111</v>
      </c>
      <c r="I13" s="32"/>
      <c r="J13" s="199">
        <v>1</v>
      </c>
      <c r="K13" s="184" t="str">
        <f t="shared" si="10"/>
        <v>кмс</v>
      </c>
      <c r="L13" s="184" t="str">
        <f t="shared" si="11"/>
        <v>Московская</v>
      </c>
      <c r="M13" s="200" t="str">
        <f t="array" ref="M13">IFERROR(INDEX(субъект,MATCH(SUM(COUNTIF(M$6:M12,субъект)),COUNTIF(субъект,"&lt;"&amp;субъект),0)),"")</f>
        <v/>
      </c>
      <c r="N13" s="200" t="str">
        <f t="array" ref="N13">IFERROR(INDEX(разряд,MATCH(SUM(COUNTIF(N$6:N12,разряд)),COUNTIF(разряд,"&lt;"&amp;разряд),0)),"")</f>
        <v/>
      </c>
      <c r="O13" s="201">
        <v>7</v>
      </c>
      <c r="P13" s="120" t="str">
        <f t="shared" si="1"/>
        <v/>
      </c>
      <c r="Q13" s="202">
        <f t="shared" si="2"/>
        <v>0</v>
      </c>
      <c r="R13" s="202">
        <f t="shared" si="3"/>
        <v>0</v>
      </c>
      <c r="S13" s="203">
        <f t="shared" si="4"/>
        <v>0</v>
      </c>
      <c r="T13" s="204">
        <f t="shared" si="5"/>
        <v>0</v>
      </c>
      <c r="U13" s="204">
        <f t="shared" si="6"/>
        <v>0</v>
      </c>
      <c r="V13" s="204">
        <f t="shared" si="7"/>
        <v>0</v>
      </c>
      <c r="W13" s="204">
        <f t="shared" si="8"/>
        <v>0</v>
      </c>
      <c r="X13" s="121"/>
      <c r="Y13" s="118" t="str">
        <f t="shared" si="12"/>
        <v/>
      </c>
      <c r="Z13" s="118" t="str">
        <f>IF(OR($Y13=$Y11,$Y13=$Y12,$Y13=$Y10,$Y13=$Y9,$Y13=$Y8,$Y13=$Y7)," ",IF(Q13=0," ",Q13))</f>
        <v xml:space="preserve"> </v>
      </c>
      <c r="AA13" s="118" t="str">
        <f>IF(OR($Y13=$Y11,$Y13=$Y12,$Y13=$Y10,$Y13=$Y9,$Y13=$Y8,$Y13=$Y7)," ",IF(R13=0," ",R13))</f>
        <v xml:space="preserve"> 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2" t="s">
        <v>58</v>
      </c>
      <c r="B14" s="207">
        <v>8</v>
      </c>
      <c r="C14" s="183"/>
      <c r="D14" s="183"/>
      <c r="E14" s="183"/>
      <c r="F14" s="183"/>
      <c r="G14" s="208"/>
      <c r="H14" s="209"/>
      <c r="I14" s="32"/>
      <c r="J14" s="199">
        <v>1</v>
      </c>
      <c r="K14" s="184">
        <f t="shared" si="10"/>
        <v>0</v>
      </c>
      <c r="L14" s="184">
        <f t="shared" si="11"/>
        <v>0</v>
      </c>
      <c r="M14" s="200" t="str">
        <f t="array" ref="M14">IFERROR(INDEX(субъект,MATCH(SUM(COUNTIF(M$6:M13,субъект)),COUNTIF(субъект,"&lt;"&amp;субъект),0)),"")</f>
        <v/>
      </c>
      <c r="N14" s="200" t="str">
        <f t="array" ref="N14">IFERROR(INDEX(разряд,MATCH(SUM(COUNTIF(N$6:N13,разряд)),COUNTIF(разряд,"&lt;"&amp;разряд),0)),"")</f>
        <v/>
      </c>
      <c r="O14" s="201">
        <v>8</v>
      </c>
      <c r="P14" s="120" t="str">
        <f t="shared" si="1"/>
        <v/>
      </c>
      <c r="Q14" s="202">
        <f t="shared" si="2"/>
        <v>0</v>
      </c>
      <c r="R14" s="202">
        <f t="shared" si="3"/>
        <v>0</v>
      </c>
      <c r="S14" s="203">
        <f t="shared" si="4"/>
        <v>0</v>
      </c>
      <c r="T14" s="204">
        <f t="shared" si="5"/>
        <v>0</v>
      </c>
      <c r="U14" s="204">
        <f t="shared" si="6"/>
        <v>0</v>
      </c>
      <c r="V14" s="204">
        <f t="shared" si="7"/>
        <v>0</v>
      </c>
      <c r="W14" s="204">
        <f t="shared" si="8"/>
        <v>0</v>
      </c>
      <c r="X14" s="121"/>
      <c r="Y14" s="118" t="str">
        <f t="shared" si="12"/>
        <v/>
      </c>
      <c r="Z14" s="118" t="str">
        <f>IF(OR($Y14=$Y12,$Y14=$Y13,$Y14=$Y11,$Y14=$Y10,$Y14=$Y9,$Y14=$Y7)," ",IF(Q14=0," ",Q14))</f>
        <v xml:space="preserve"> </v>
      </c>
      <c r="AA14" s="118" t="str">
        <f>IF(OR($Y14=$Y12,$Y14=$Y13,$Y14=$Y11,$Y14=$Y10,$Y14=$Y9,$Y14=$Y7)," ",IF(R14=0," ",R14))</f>
        <v xml:space="preserve"> 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>
      <c r="A15" s="5" t="s">
        <v>40</v>
      </c>
      <c r="D15" s="157"/>
      <c r="E15" s="157"/>
      <c r="F15" s="157"/>
      <c r="G15" s="157"/>
      <c r="H15" s="157"/>
      <c r="I15" s="3"/>
      <c r="J15" s="258"/>
      <c r="K15" s="259"/>
      <c r="L15" s="260"/>
      <c r="M15" s="156"/>
      <c r="N15" s="156"/>
      <c r="O15" s="3"/>
    </row>
    <row r="16" spans="1:35">
      <c r="D16" s="157"/>
      <c r="E16" s="157"/>
      <c r="F16" s="157"/>
      <c r="G16" s="157"/>
      <c r="H16" s="157"/>
      <c r="J16" s="258"/>
      <c r="K16" s="259"/>
      <c r="L16" s="260"/>
      <c r="M16" s="156"/>
      <c r="N16" s="156"/>
      <c r="O16" s="3"/>
    </row>
    <row r="17" spans="1:15">
      <c r="A17" s="5" t="s">
        <v>41</v>
      </c>
      <c r="D17" s="157"/>
      <c r="E17" s="157"/>
      <c r="F17" s="157"/>
      <c r="G17" s="157"/>
      <c r="H17" s="157"/>
      <c r="J17" s="258"/>
      <c r="K17" s="259"/>
      <c r="L17" s="260"/>
      <c r="M17" s="156"/>
      <c r="N17" s="156"/>
      <c r="O17" s="3"/>
    </row>
    <row r="18" spans="1:15">
      <c r="D18" s="157"/>
      <c r="E18" s="157"/>
      <c r="F18" s="157"/>
      <c r="G18" s="157"/>
      <c r="H18" s="157"/>
      <c r="J18" s="258"/>
      <c r="K18" s="259"/>
      <c r="L18" s="260"/>
      <c r="M18" s="156"/>
      <c r="N18" s="156"/>
      <c r="O18" s="3"/>
    </row>
    <row r="19" spans="1:15">
      <c r="A19" s="5" t="s">
        <v>42</v>
      </c>
      <c r="D19" s="157"/>
      <c r="E19" s="157"/>
      <c r="F19" s="157"/>
      <c r="G19" s="157"/>
      <c r="H19" s="157"/>
      <c r="J19" s="258"/>
      <c r="K19" s="259"/>
      <c r="L19" s="260"/>
      <c r="M19" s="156"/>
      <c r="N19" s="156"/>
      <c r="O19" s="3"/>
    </row>
    <row r="20" spans="1:15">
      <c r="D20" s="157"/>
      <c r="E20" s="157"/>
      <c r="F20" s="157"/>
      <c r="G20" s="157"/>
      <c r="H20" s="157"/>
      <c r="J20" s="258"/>
      <c r="K20" s="259"/>
      <c r="L20" s="260"/>
      <c r="M20" s="156"/>
      <c r="N20" s="156"/>
      <c r="O20" s="3"/>
    </row>
    <row r="21" spans="1:15">
      <c r="A21" s="5" t="s">
        <v>43</v>
      </c>
      <c r="D21" s="157"/>
      <c r="E21" s="157"/>
      <c r="F21" s="157"/>
      <c r="G21" s="157"/>
      <c r="H21" s="157"/>
      <c r="J21" s="258"/>
      <c r="K21" s="259"/>
      <c r="L21" s="260"/>
      <c r="M21" s="156"/>
      <c r="N21" s="156"/>
      <c r="O21" s="3"/>
    </row>
    <row r="22" spans="1:15">
      <c r="A22" s="157"/>
      <c r="B22" s="157"/>
      <c r="C22" s="157"/>
      <c r="D22" s="157"/>
      <c r="E22" s="157"/>
      <c r="F22" s="157"/>
      <c r="G22" s="157"/>
      <c r="H22" s="157"/>
      <c r="J22" s="258"/>
      <c r="K22" s="259"/>
      <c r="L22" s="260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885825</xdr:colOff>
                    <xdr:row>5</xdr:row>
                    <xdr:rowOff>0</xdr:rowOff>
                  </from>
                  <to>
                    <xdr:col>5</xdr:col>
                    <xdr:colOff>1057275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200025</xdr:colOff>
                    <xdr:row>3</xdr:row>
                    <xdr:rowOff>28575</xdr:rowOff>
                  </from>
                  <to>
                    <xdr:col>1</xdr:col>
                    <xdr:colOff>361950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B37"/>
  <sheetViews>
    <sheetView topLeftCell="A14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97" t="s">
        <v>24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X1" s="116"/>
      <c r="Y1" s="116"/>
      <c r="Z1" s="116"/>
      <c r="AA1" s="116"/>
    </row>
    <row r="2" spans="1:28" ht="26.25" customHeight="1" thickBot="1">
      <c r="A2" s="88"/>
      <c r="B2" s="88"/>
      <c r="C2" s="298" t="s">
        <v>23</v>
      </c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88"/>
      <c r="T2" s="88"/>
      <c r="U2" s="88"/>
      <c r="X2" s="116"/>
      <c r="Y2" s="116"/>
      <c r="Z2" s="116"/>
      <c r="AA2" s="116"/>
    </row>
    <row r="3" spans="1:28" ht="36" customHeight="1" thickBot="1">
      <c r="A3" s="88"/>
      <c r="B3" s="88"/>
      <c r="C3" s="276" t="str">
        <f>пр.взв!B2</f>
        <v>Всероссийские соревнования по спортивному и боевому самбо среди мужчин на призы УФСИН России</v>
      </c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8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79" t="str">
        <f>пр.взв!A3</f>
        <v>20-22 апреля 2019 г           г.Тверь</v>
      </c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270" t="str">
        <f>HYPERLINK(пр.взв!D4)</f>
        <v>В.к. 100+  кг.</v>
      </c>
      <c r="I5" s="271"/>
      <c r="J5" s="271"/>
      <c r="K5" s="271"/>
      <c r="L5" s="271"/>
      <c r="M5" s="271"/>
      <c r="N5" s="272"/>
      <c r="O5" s="294" t="str">
        <f>W5&amp;" "&amp;AB5</f>
        <v>7 участников</v>
      </c>
      <c r="P5" s="295"/>
      <c r="Q5" s="296"/>
      <c r="R5" s="159"/>
      <c r="S5" s="88"/>
      <c r="T5" s="88"/>
      <c r="U5" s="88"/>
      <c r="W5">
        <f>пр.взв!AH7</f>
        <v>7</v>
      </c>
      <c r="X5" s="116"/>
      <c r="Y5" s="116"/>
      <c r="Z5" s="116"/>
      <c r="AA5" s="116"/>
      <c r="AB5" s="5" t="s">
        <v>81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307" t="s">
        <v>0</v>
      </c>
      <c r="B7" s="307"/>
      <c r="C7" s="88"/>
      <c r="D7" s="88"/>
      <c r="E7" s="80"/>
      <c r="F7" s="80"/>
      <c r="G7" s="80"/>
      <c r="H7" s="80"/>
      <c r="I7" s="273" t="s">
        <v>18</v>
      </c>
      <c r="J7" s="273"/>
      <c r="K7" s="273"/>
      <c r="L7" s="273"/>
      <c r="M7" s="273"/>
      <c r="N7" s="80"/>
      <c r="O7" s="80"/>
      <c r="P7" s="80"/>
      <c r="Q7" s="65"/>
      <c r="R7" s="26"/>
      <c r="S7" s="89"/>
      <c r="T7" s="302" t="s">
        <v>1</v>
      </c>
      <c r="U7" s="302"/>
      <c r="X7" s="116"/>
      <c r="Y7" s="116"/>
      <c r="Z7" s="116"/>
      <c r="AA7" s="116"/>
    </row>
    <row r="8" spans="1:28" ht="12.75" customHeight="1" thickBot="1">
      <c r="A8" s="308">
        <v>1</v>
      </c>
      <c r="B8" s="305" t="str">
        <f>IFERROR(VLOOKUP(пр.хода!A8,пр.взв!$B$7:$H$14,2,0),"")</f>
        <v>Кайтмазов Лазарь Николаевич</v>
      </c>
      <c r="C8" s="303" t="str">
        <f>IFERROR(VLOOKUP(A8,пр.взв!$B$7:$H$14,3,0),"")</f>
        <v>15.11.99, кмс</v>
      </c>
      <c r="D8" s="303" t="str">
        <f>IFERROR(VLOOKUP(A8,пр.взв!$B$7:$H$14,5,0),"")</f>
        <v>Москва, НИУ МГСУ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305" t="str">
        <f>IFERROR(VLOOKUP(U8,пр.взв!$B$7:$H$14,2,0),"")</f>
        <v>Магеррамов Кенан Бабек оглы</v>
      </c>
      <c r="S8" s="303" t="str">
        <f>IFERROR(VLOOKUP(U8,пр.взв!$B$7:$H$14,3,0),"")</f>
        <v>06.03.99, кмс</v>
      </c>
      <c r="T8" s="303" t="str">
        <f>IFERROR(VLOOKUP(U8,пр.взв!$B$7:$H$14,5,0),"")</f>
        <v>Тверская, Тверь</v>
      </c>
      <c r="U8" s="299">
        <v>2</v>
      </c>
      <c r="X8" s="116"/>
      <c r="Y8" s="116"/>
      <c r="Z8" s="116"/>
      <c r="AA8" s="116"/>
    </row>
    <row r="9" spans="1:28" ht="12.75" customHeight="1">
      <c r="A9" s="309"/>
      <c r="B9" s="306"/>
      <c r="C9" s="304"/>
      <c r="D9" s="304"/>
      <c r="E9" s="66">
        <v>5</v>
      </c>
      <c r="F9" s="80"/>
      <c r="G9" s="81"/>
      <c r="H9" s="53">
        <v>2</v>
      </c>
      <c r="I9" s="310" t="str">
        <f>IFERROR(VLOOKUP(H9,пр.взв!$B$7:$H$14,2,0),"")</f>
        <v>Магеррамов Кенан Бабек оглы</v>
      </c>
      <c r="J9" s="311"/>
      <c r="K9" s="311"/>
      <c r="L9" s="311"/>
      <c r="M9" s="312"/>
      <c r="N9" s="80"/>
      <c r="O9" s="80"/>
      <c r="P9" s="80"/>
      <c r="Q9" s="66">
        <v>2</v>
      </c>
      <c r="R9" s="306"/>
      <c r="S9" s="304"/>
      <c r="T9" s="304"/>
      <c r="U9" s="300"/>
      <c r="X9" s="116"/>
      <c r="Y9" s="116"/>
      <c r="Z9" s="116"/>
      <c r="AA9" s="116"/>
    </row>
    <row r="10" spans="1:28" ht="12.75" customHeight="1" thickBot="1">
      <c r="A10" s="320">
        <v>5</v>
      </c>
      <c r="B10" s="290" t="str">
        <f>IFERROR(VLOOKUP(пр.хода!A10,пр.взв!$B$7:$H$14,2,0),"")</f>
        <v>Тимченко Илья Сергеевич</v>
      </c>
      <c r="C10" s="274" t="str">
        <f>IFERROR(VLOOKUP(A10,пр.взв!$B$7:$H$14,3,0),"")</f>
        <v>28.03.84, кмс</v>
      </c>
      <c r="D10" s="274" t="str">
        <f>IFERROR(VLOOKUP(A10,пр.взв!$B$7:$H$14,5,0),"")</f>
        <v>Московская, Люберцы</v>
      </c>
      <c r="E10" s="72" t="s">
        <v>113</v>
      </c>
      <c r="F10" s="82"/>
      <c r="G10" s="83"/>
      <c r="H10" s="84"/>
      <c r="I10" s="313"/>
      <c r="J10" s="314"/>
      <c r="K10" s="314"/>
      <c r="L10" s="314"/>
      <c r="M10" s="315"/>
      <c r="N10" s="80"/>
      <c r="O10" s="85"/>
      <c r="P10" s="82"/>
      <c r="Q10" s="72" t="s">
        <v>113</v>
      </c>
      <c r="R10" s="290" t="str">
        <f>IFERROR(VLOOKUP(U10,пр.взв!$B$7:$H$14,2,0),"")</f>
        <v>Николаев Андрей Владимирович</v>
      </c>
      <c r="S10" s="274" t="str">
        <f>IFERROR(VLOOKUP(U10,пр.взв!$B$7:$H$14,3,0),"")</f>
        <v>23.10.00, кмс</v>
      </c>
      <c r="T10" s="274" t="str">
        <f>IFERROR(VLOOKUP(U10,пр.взв!$B$7:$H$14,5,0),"")</f>
        <v>Московская, Дмитров</v>
      </c>
      <c r="U10" s="299">
        <v>6</v>
      </c>
      <c r="X10" s="116"/>
      <c r="Y10" s="116"/>
      <c r="Z10" s="116"/>
      <c r="AA10" s="116"/>
    </row>
    <row r="11" spans="1:28" ht="12.75" customHeight="1" thickBot="1">
      <c r="A11" s="309"/>
      <c r="B11" s="291"/>
      <c r="C11" s="275"/>
      <c r="D11" s="275"/>
      <c r="E11" s="80"/>
      <c r="F11" s="84"/>
      <c r="G11" s="66">
        <v>7</v>
      </c>
      <c r="H11" s="86"/>
      <c r="I11" s="80"/>
      <c r="J11" s="80"/>
      <c r="K11" s="73"/>
      <c r="L11" s="80"/>
      <c r="M11" s="80"/>
      <c r="N11" s="84"/>
      <c r="O11" s="66">
        <v>2</v>
      </c>
      <c r="P11" s="84"/>
      <c r="Q11" s="80"/>
      <c r="R11" s="291"/>
      <c r="S11" s="275"/>
      <c r="T11" s="275"/>
      <c r="U11" s="300"/>
      <c r="X11" s="116"/>
      <c r="Y11" s="116"/>
      <c r="Z11" s="116"/>
      <c r="AA11" s="116"/>
    </row>
    <row r="12" spans="1:28" ht="12.75" customHeight="1" thickBot="1">
      <c r="A12" s="308">
        <v>3</v>
      </c>
      <c r="B12" s="280" t="str">
        <f>IFERROR(VLOOKUP(пр.хода!A12,пр.взв!$B$7:$H$14,2,0),"")</f>
        <v>Шатохин Сергей Игоревич</v>
      </c>
      <c r="C12" s="292" t="str">
        <f>IFERROR(VLOOKUP(A12,пр.взв!$B$7:$H$14,3,0),"")</f>
        <v>03.01.95, кмс</v>
      </c>
      <c r="D12" s="292" t="str">
        <f>IFERROR(VLOOKUP(A12,пр.взв!$B$7:$H$14,5,0),"")</f>
        <v>Москва, ГБУ СШ "Битца"</v>
      </c>
      <c r="E12" s="80"/>
      <c r="F12" s="84"/>
      <c r="G12" s="72" t="s">
        <v>113</v>
      </c>
      <c r="H12" s="86"/>
      <c r="I12" s="80"/>
      <c r="J12" s="80"/>
      <c r="K12" s="80"/>
      <c r="L12" s="80"/>
      <c r="M12" s="80"/>
      <c r="N12" s="84"/>
      <c r="O12" s="72" t="s">
        <v>113</v>
      </c>
      <c r="P12" s="84"/>
      <c r="Q12" s="80"/>
      <c r="R12" s="280" t="str">
        <f>IFERROR(VLOOKUP(U12,пр.взв!$B$7:$H$14,2,0),"")</f>
        <v>Ефимов Владимир Владимирович</v>
      </c>
      <c r="S12" s="292" t="str">
        <f>IFERROR(VLOOKUP(U12,пр.взв!$B$7:$H$14,3,0),"")</f>
        <v>28.01.95, кмс</v>
      </c>
      <c r="T12" s="292" t="str">
        <f>IFERROR(VLOOKUP(U12,пр.взв!$B$7:$H$14,5,0),"")</f>
        <v>Москва, НИУ МГСУ</v>
      </c>
      <c r="U12" s="301">
        <v>4</v>
      </c>
      <c r="X12" s="116"/>
      <c r="Y12" s="116"/>
      <c r="Z12" s="116"/>
      <c r="AA12" s="116"/>
    </row>
    <row r="13" spans="1:28" ht="12.75" customHeight="1" thickBot="1">
      <c r="A13" s="309"/>
      <c r="B13" s="281"/>
      <c r="C13" s="293"/>
      <c r="D13" s="293"/>
      <c r="E13" s="66">
        <v>7</v>
      </c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>
        <v>4</v>
      </c>
      <c r="R13" s="281"/>
      <c r="S13" s="293"/>
      <c r="T13" s="293"/>
      <c r="U13" s="300"/>
      <c r="X13" s="116"/>
      <c r="Y13" s="116"/>
      <c r="Z13" s="116"/>
      <c r="AA13" s="116"/>
    </row>
    <row r="14" spans="1:28" ht="12.75" customHeight="1" thickBot="1">
      <c r="A14" s="320">
        <v>7</v>
      </c>
      <c r="B14" s="290" t="str">
        <f>IFERROR(VLOOKUP(пр.хода!A14,пр.взв!$B$7:$H$14,2,0),"")</f>
        <v>Семенков Николай Андреевич</v>
      </c>
      <c r="C14" s="274" t="str">
        <f>IFERROR(VLOOKUP(A14,пр.взв!$B$7:$H$14,3,0),"")</f>
        <v>08.07.99, кмс</v>
      </c>
      <c r="D14" s="274" t="str">
        <f>IFERROR(VLOOKUP(A14,пр.взв!$B$7:$H$14,5,0),"")</f>
        <v>Московская, Зеленоград</v>
      </c>
      <c r="E14" s="72" t="s">
        <v>114</v>
      </c>
      <c r="F14" s="80"/>
      <c r="G14" s="81"/>
      <c r="H14" s="53">
        <f>Y25</f>
        <v>7</v>
      </c>
      <c r="I14" s="284" t="str">
        <f>IFERROR(VLOOKUP(H14,пр.взв!$B$7:$H$14,2,0),"")</f>
        <v>Семенков Николай Андреевич</v>
      </c>
      <c r="J14" s="285"/>
      <c r="K14" s="285"/>
      <c r="L14" s="285"/>
      <c r="M14" s="286"/>
      <c r="N14" s="80"/>
      <c r="O14" s="80"/>
      <c r="P14" s="80"/>
      <c r="Q14" s="72"/>
      <c r="R14" s="282">
        <f>IFERROR(VLOOKUP(U14,пр.взв!$B$7:$H$14,2,0),"")</f>
        <v>0</v>
      </c>
      <c r="S14" s="317">
        <f>IFERROR(VLOOKUP(U14,пр.взв!$B$7:$H$14,3,0),"")</f>
        <v>0</v>
      </c>
      <c r="T14" s="317">
        <f>IFERROR(VLOOKUP(U14,пр.взв!$B$7:$H$14,5,0),"")</f>
        <v>0</v>
      </c>
      <c r="U14" s="299">
        <v>8</v>
      </c>
      <c r="X14" s="116"/>
      <c r="Y14" s="116"/>
      <c r="Z14" s="116"/>
      <c r="AA14" s="116"/>
    </row>
    <row r="15" spans="1:28" ht="12.75" customHeight="1" thickBot="1">
      <c r="A15" s="331"/>
      <c r="B15" s="291"/>
      <c r="C15" s="275"/>
      <c r="D15" s="275"/>
      <c r="E15" s="80"/>
      <c r="F15" s="80"/>
      <c r="G15" s="81"/>
      <c r="H15" s="84"/>
      <c r="I15" s="287"/>
      <c r="J15" s="288"/>
      <c r="K15" s="288"/>
      <c r="L15" s="288"/>
      <c r="M15" s="289"/>
      <c r="N15" s="80"/>
      <c r="O15" s="80"/>
      <c r="P15" s="80"/>
      <c r="Q15" s="80"/>
      <c r="R15" s="283"/>
      <c r="S15" s="318"/>
      <c r="T15" s="318"/>
      <c r="U15" s="319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12" customHeight="1">
      <c r="A17" s="330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316" t="s">
        <v>3</v>
      </c>
      <c r="X17" s="116"/>
      <c r="Y17" s="116"/>
      <c r="Z17" s="116"/>
      <c r="AA17" s="116"/>
    </row>
    <row r="18" spans="1:27" ht="12.75" customHeight="1">
      <c r="A18" s="330"/>
      <c r="B18" s="88"/>
      <c r="C18" s="88"/>
      <c r="D18" s="88"/>
      <c r="E18" s="88"/>
      <c r="F18" s="88"/>
      <c r="G18" s="269" t="s">
        <v>25</v>
      </c>
      <c r="H18" s="269"/>
      <c r="I18" s="269"/>
      <c r="J18" s="269"/>
      <c r="K18" s="269"/>
      <c r="L18" s="269"/>
      <c r="M18" s="269"/>
      <c r="N18" s="269"/>
      <c r="O18" s="269"/>
      <c r="P18" s="88"/>
      <c r="Q18" s="88"/>
      <c r="R18" s="89"/>
      <c r="S18" s="89"/>
      <c r="T18" s="89"/>
      <c r="U18" s="316"/>
      <c r="X18" s="116"/>
      <c r="Y18" s="116" t="s">
        <v>62</v>
      </c>
      <c r="Z18" s="116" t="s">
        <v>63</v>
      </c>
      <c r="AA18" s="116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>
        <f>IF(G11="","",IF(G11=E9,E13,E9))</f>
        <v>5</v>
      </c>
      <c r="Z19" s="113"/>
      <c r="AA19" s="111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>
        <f>IF(O11="","",IF(O11=Q9,Q13,Q9))</f>
        <v>4</v>
      </c>
      <c r="Z20" s="113"/>
      <c r="AA20" s="111"/>
    </row>
    <row r="21" spans="1:27" ht="12.75" customHeight="1">
      <c r="A21" s="68">
        <f>Y21</f>
        <v>1</v>
      </c>
      <c r="B21" s="292" t="str">
        <f>IFERROR(VLOOKUP(A21,пр.взв!$B$7:$H$14,2,0),"")</f>
        <v>Кайтмазов Лазарь Николаевич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61" t="str">
        <f>IFERROR(VLOOKUP(U21,пр.взв!$B$7:$H$14,2,0),"")</f>
        <v>Николаев Андрей Владимирович</v>
      </c>
      <c r="T21" s="262"/>
      <c r="U21" s="69">
        <f>Y22</f>
        <v>6</v>
      </c>
      <c r="V21" s="88"/>
      <c r="X21" s="111"/>
      <c r="Y21" s="112">
        <f>IF(A10=""," ",IF(E9=""," ",IF(E9=A8,A10,IF(E9=A10,A8,"Х"))))</f>
        <v>1</v>
      </c>
      <c r="Z21" s="113">
        <f>IF(C22=""," ",IF(C22=E25,B27,C22))</f>
        <v>1</v>
      </c>
      <c r="AA21" s="111"/>
    </row>
    <row r="22" spans="1:27" ht="12.75" customHeight="1">
      <c r="A22" s="68"/>
      <c r="B22" s="293"/>
      <c r="C22" s="163">
        <v>1</v>
      </c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>
        <v>6</v>
      </c>
      <c r="S22" s="263"/>
      <c r="T22" s="264"/>
      <c r="U22" s="69"/>
      <c r="V22" s="88"/>
      <c r="X22" s="111"/>
      <c r="Y22" s="112">
        <f>IF(U10=""," ",IF(Q9=""," ",IF(Q9=U8,U10,IF(Q9=U10,U8,"Х"))))</f>
        <v>6</v>
      </c>
      <c r="Z22" s="113">
        <f>IF(R22=""," ",IF(R22=Q25,S27,R22))</f>
        <v>6</v>
      </c>
      <c r="AA22" s="111"/>
    </row>
    <row r="23" spans="1:27" ht="12.75" customHeight="1">
      <c r="A23" s="68">
        <f>Y23</f>
        <v>3</v>
      </c>
      <c r="B23" s="274" t="str">
        <f>IFERROR(VLOOKUP(A23,пр.взв!$B$7:$H$14,2,0),"")</f>
        <v>Шатохин Сергей Игоревич</v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265">
        <f>IFERROR(VLOOKUP(U23,пр.взв!$B$7:$H$14,2,0),"")</f>
        <v>0</v>
      </c>
      <c r="T23" s="266"/>
      <c r="U23" s="224">
        <f>Y24</f>
        <v>8</v>
      </c>
      <c r="V23" s="88"/>
      <c r="X23" s="111"/>
      <c r="Y23" s="112">
        <f>IF(A14=""," ",IF(E13=""," ",IF(E13=A12,A14,IF(E13=A14,A12,"Х"))))</f>
        <v>3</v>
      </c>
      <c r="Z23" s="113">
        <f>IF(A23="","",IF(A23=C22,A21,A23))</f>
        <v>3</v>
      </c>
      <c r="AA23" s="111"/>
    </row>
    <row r="24" spans="1:27" ht="13.5" thickBot="1">
      <c r="A24" s="90"/>
      <c r="B24" s="275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67"/>
      <c r="T24" s="268"/>
      <c r="U24" s="69"/>
      <c r="V24" s="88"/>
      <c r="X24" s="111"/>
      <c r="Y24" s="112">
        <f>IF(U14=""," ",IF(Q13=""," ",IF(Q13=U12,U14,IF(Q13=U14,U12,"Х"))))</f>
        <v>8</v>
      </c>
      <c r="Z24" s="113">
        <f>IF(U23="","",IF(U23=R22,U21,U23))</f>
        <v>8</v>
      </c>
      <c r="AA24" s="111"/>
    </row>
    <row r="25" spans="1:27">
      <c r="A25" s="88"/>
      <c r="B25" s="88"/>
      <c r="C25" s="91"/>
      <c r="D25" s="167"/>
      <c r="E25" s="170">
        <v>4</v>
      </c>
      <c r="F25" s="323" t="str">
        <f>IFERROR(VLOOKUP(E25,пр.взв!$B$7:$H$14,2,0),"")</f>
        <v>Ефимов Владимир Владимирович</v>
      </c>
      <c r="G25" s="323"/>
      <c r="H25" s="323"/>
      <c r="I25" s="324"/>
      <c r="J25" s="88"/>
      <c r="K25" s="88"/>
      <c r="L25" s="88"/>
      <c r="M25" s="322" t="str">
        <f>IFERROR(VLOOKUP(Q25,пр.взв!$B$7:$H$14,2,0),"")</f>
        <v>Тимченко Илья Сергеевич</v>
      </c>
      <c r="N25" s="323"/>
      <c r="O25" s="323"/>
      <c r="P25" s="324"/>
      <c r="Q25" s="171">
        <v>5</v>
      </c>
      <c r="R25" s="169"/>
      <c r="S25" s="88"/>
      <c r="T25" s="88"/>
      <c r="U25" s="88"/>
      <c r="V25" s="88"/>
      <c r="X25" s="111"/>
      <c r="Y25" s="111">
        <f>IF(H9="","",IF(H9=G11,O11,G11))</f>
        <v>7</v>
      </c>
      <c r="Z25" s="111"/>
      <c r="AA25" s="111"/>
    </row>
    <row r="26" spans="1:27" ht="13.5" thickBot="1">
      <c r="A26" s="92"/>
      <c r="B26" s="88"/>
      <c r="C26" s="91"/>
      <c r="D26" s="167"/>
      <c r="E26" s="172"/>
      <c r="F26" s="325"/>
      <c r="G26" s="326"/>
      <c r="H26" s="326"/>
      <c r="I26" s="327"/>
      <c r="J26" s="8"/>
      <c r="K26" s="8"/>
      <c r="L26" s="8"/>
      <c r="M26" s="325"/>
      <c r="N26" s="326"/>
      <c r="O26" s="326"/>
      <c r="P26" s="327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>
      <c r="A27" s="28"/>
      <c r="B27" s="8">
        <f>Y20</f>
        <v>4</v>
      </c>
      <c r="C27" s="261" t="str">
        <f>IFERROR(VLOOKUP(B27,пр.взв!$B$7:$H$14,2,0),"")</f>
        <v>Ефимов Владимир Владимирович</v>
      </c>
      <c r="D27" s="262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303" t="str">
        <f>IFERROR(VLOOKUP(S27,пр.взв!$B$7:$H$14,2,0),"")</f>
        <v>Тимченко Илья Сергеевич</v>
      </c>
      <c r="S27" s="174">
        <f>Y19</f>
        <v>5</v>
      </c>
      <c r="T27" s="88"/>
      <c r="U27" s="88"/>
      <c r="V27" s="88"/>
      <c r="X27" s="111"/>
      <c r="Y27" s="111"/>
      <c r="Z27" s="111"/>
      <c r="AA27" s="111"/>
    </row>
    <row r="28" spans="1:27" ht="13.5" thickBot="1">
      <c r="A28" s="91"/>
      <c r="B28" s="88"/>
      <c r="C28" s="328"/>
      <c r="D28" s="329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321"/>
      <c r="S28" s="88"/>
      <c r="T28" s="88"/>
      <c r="U28" s="88"/>
      <c r="V28" s="88"/>
      <c r="X28" s="114"/>
      <c r="Y28" s="111"/>
      <c r="Z28" s="111"/>
      <c r="AA28" s="111"/>
    </row>
    <row r="29" spans="1:27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9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6.5">
      <c r="A31" s="88"/>
      <c r="B31" s="182" t="s">
        <v>83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216" t="str">
        <f>[1]реквизиты!$G$6</f>
        <v xml:space="preserve">Н.Н.Малышев </v>
      </c>
      <c r="O31" s="88"/>
      <c r="P31" s="91"/>
      <c r="Q31" s="91"/>
      <c r="R31" s="181" t="str">
        <f>[1]реквизиты!$G$7</f>
        <v>/Дубна 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6.5">
      <c r="A33" s="88"/>
      <c r="B33" s="182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216" t="str">
        <f>[1]реквизиты!$G$8</f>
        <v>А.С.Тимошин</v>
      </c>
      <c r="O33" s="88"/>
      <c r="P33" s="179"/>
      <c r="Q33" s="179"/>
      <c r="R33" s="181" t="str">
        <f>[1]реквизиты!$G$9</f>
        <v>/Рыбинск/</v>
      </c>
      <c r="S33" s="88"/>
      <c r="T33" s="88"/>
      <c r="U33" s="88"/>
      <c r="X33" s="111"/>
      <c r="Y33" s="111"/>
      <c r="Z33" s="111"/>
      <c r="AA33" s="111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scale="76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topLeftCell="C1" workbookViewId="0">
      <selection activeCell="P3" sqref="P1:P1048576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hidden="1" customWidth="1"/>
    <col min="6" max="6" width="21.5703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hidden="1" customWidth="1"/>
    <col min="16" max="16" width="23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32" t="s">
        <v>32</v>
      </c>
      <c r="C1" s="332"/>
      <c r="D1" s="332"/>
      <c r="E1" s="332"/>
      <c r="F1" s="332"/>
      <c r="G1" s="332"/>
      <c r="H1" s="332"/>
      <c r="I1" s="332"/>
      <c r="J1" s="332"/>
      <c r="L1" s="332" t="s">
        <v>32</v>
      </c>
      <c r="M1" s="332"/>
      <c r="N1" s="332"/>
      <c r="O1" s="332"/>
      <c r="P1" s="332"/>
      <c r="Q1" s="332"/>
      <c r="R1" s="332"/>
      <c r="S1" s="332"/>
      <c r="T1" s="332"/>
    </row>
    <row r="2" spans="1:20" ht="15.75" customHeight="1">
      <c r="B2" s="214">
        <v>0</v>
      </c>
      <c r="C2" s="215" t="s">
        <v>82</v>
      </c>
      <c r="D2" s="215"/>
      <c r="E2" s="351" t="str">
        <f>пр.взв!D4</f>
        <v>В.к. 100+  кг.</v>
      </c>
      <c r="F2" s="351"/>
      <c r="G2" s="215"/>
      <c r="H2" s="215"/>
      <c r="I2" s="215"/>
      <c r="J2" s="215"/>
      <c r="L2" s="214">
        <f>B2</f>
        <v>0</v>
      </c>
      <c r="M2" s="215" t="s">
        <v>82</v>
      </c>
      <c r="N2" s="215"/>
      <c r="O2" s="351" t="str">
        <f>E2</f>
        <v>В.к. 100+  кг.</v>
      </c>
      <c r="P2" s="351"/>
      <c r="Q2" s="215"/>
      <c r="R2" s="215"/>
      <c r="S2" s="215"/>
      <c r="T2" s="215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33" t="s">
        <v>38</v>
      </c>
      <c r="B4" s="335" t="s">
        <v>4</v>
      </c>
      <c r="C4" s="337" t="s">
        <v>5</v>
      </c>
      <c r="D4" s="339" t="s">
        <v>13</v>
      </c>
      <c r="E4" s="341" t="s">
        <v>14</v>
      </c>
      <c r="F4" s="342"/>
      <c r="G4" s="337" t="s">
        <v>15</v>
      </c>
      <c r="H4" s="345" t="s">
        <v>34</v>
      </c>
      <c r="I4" s="349" t="s">
        <v>16</v>
      </c>
      <c r="J4" s="347" t="s">
        <v>17</v>
      </c>
      <c r="K4" s="333" t="s">
        <v>38</v>
      </c>
      <c r="L4" s="335" t="s">
        <v>4</v>
      </c>
      <c r="M4" s="337" t="s">
        <v>5</v>
      </c>
      <c r="N4" s="339" t="s">
        <v>13</v>
      </c>
      <c r="O4" s="341" t="s">
        <v>14</v>
      </c>
      <c r="P4" s="342"/>
      <c r="Q4" s="337" t="s">
        <v>15</v>
      </c>
      <c r="R4" s="345" t="s">
        <v>34</v>
      </c>
      <c r="S4" s="349" t="s">
        <v>16</v>
      </c>
      <c r="T4" s="347" t="s">
        <v>17</v>
      </c>
    </row>
    <row r="5" spans="1:20" ht="13.5" customHeight="1" thickBot="1">
      <c r="A5" s="334"/>
      <c r="B5" s="336" t="s">
        <v>29</v>
      </c>
      <c r="C5" s="338"/>
      <c r="D5" s="340"/>
      <c r="E5" s="343"/>
      <c r="F5" s="344"/>
      <c r="G5" s="338"/>
      <c r="H5" s="346"/>
      <c r="I5" s="350"/>
      <c r="J5" s="348" t="s">
        <v>30</v>
      </c>
      <c r="K5" s="334"/>
      <c r="L5" s="336" t="s">
        <v>29</v>
      </c>
      <c r="M5" s="338"/>
      <c r="N5" s="340"/>
      <c r="O5" s="343"/>
      <c r="P5" s="344"/>
      <c r="Q5" s="338"/>
      <c r="R5" s="346"/>
      <c r="S5" s="350"/>
      <c r="T5" s="348" t="s">
        <v>30</v>
      </c>
    </row>
    <row r="6" spans="1:20">
      <c r="A6" s="352">
        <v>1</v>
      </c>
      <c r="B6" s="355">
        <v>1</v>
      </c>
      <c r="C6" s="357" t="str">
        <f>IFERROR(VLOOKUP(B6,пр.взв!$B$7:$H$14,2,0),"")</f>
        <v>Кайтмазов Лазарь Николаевич</v>
      </c>
      <c r="D6" s="359" t="str">
        <f>IFERROR(VLOOKUP(B6,пр.взв!$B$7:$H$14,3,0),"")</f>
        <v>15.11.99, кмс</v>
      </c>
      <c r="E6" s="371" t="str">
        <f>IFERROR(VLOOKUP(B6,пр.взв!$B$7:$H$14,4,0),"")</f>
        <v>М</v>
      </c>
      <c r="F6" s="359" t="str">
        <f>IFERROR(VLOOKUP(B6,пр.взв!$B$7:$H$14,5,0),"")</f>
        <v>Москва, НИУ МГСУ</v>
      </c>
      <c r="G6" s="361"/>
      <c r="H6" s="373"/>
      <c r="I6" s="369"/>
      <c r="J6" s="339"/>
      <c r="K6" s="352">
        <v>3</v>
      </c>
      <c r="L6" s="355">
        <v>2</v>
      </c>
      <c r="M6" s="357" t="str">
        <f>IFERROR(VLOOKUP(L6,пр.взв!$B$7:$H$14,2,0),"")</f>
        <v>Магеррамов Кенан Бабек оглы</v>
      </c>
      <c r="N6" s="359" t="str">
        <f>IFERROR(VLOOKUP(L6,пр.взв!$B$7:$H$14,3,0),"")</f>
        <v>06.03.99, кмс</v>
      </c>
      <c r="O6" s="371" t="str">
        <f>IFERROR(VLOOKUP(L6,пр.взв!$B$7:$H$14,4,0),"")</f>
        <v>ЦФО</v>
      </c>
      <c r="P6" s="359" t="str">
        <f>IFERROR(VLOOKUP(L6,пр.взв!$B$7:$H$14,5,0),"")</f>
        <v>Тверская, Тверь</v>
      </c>
      <c r="Q6" s="361"/>
      <c r="R6" s="373"/>
      <c r="S6" s="369"/>
      <c r="T6" s="339"/>
    </row>
    <row r="7" spans="1:20">
      <c r="A7" s="353"/>
      <c r="B7" s="356"/>
      <c r="C7" s="358"/>
      <c r="D7" s="360"/>
      <c r="E7" s="372"/>
      <c r="F7" s="360"/>
      <c r="G7" s="360"/>
      <c r="H7" s="360"/>
      <c r="I7" s="370"/>
      <c r="J7" s="250"/>
      <c r="K7" s="353"/>
      <c r="L7" s="356"/>
      <c r="M7" s="358"/>
      <c r="N7" s="360"/>
      <c r="O7" s="372"/>
      <c r="P7" s="360"/>
      <c r="Q7" s="360"/>
      <c r="R7" s="360"/>
      <c r="S7" s="370"/>
      <c r="T7" s="250"/>
    </row>
    <row r="8" spans="1:20">
      <c r="A8" s="353"/>
      <c r="B8" s="356">
        <v>5</v>
      </c>
      <c r="C8" s="363" t="str">
        <f>IFERROR(VLOOKUP(B8,пр.взв!$B$7:$H$14,2,0),"")</f>
        <v>Тимченко Илья Сергеевич</v>
      </c>
      <c r="D8" s="365" t="str">
        <f>IFERROR(VLOOKUP(B8,пр.взв!$B$7:$H$14,3,0),"")</f>
        <v>28.03.84, кмс</v>
      </c>
      <c r="E8" s="365" t="str">
        <f>IFERROR(VLOOKUP(B8,пр.взв!$B$7:$H$14,4,0),"")</f>
        <v>ЦФО</v>
      </c>
      <c r="F8" s="365" t="str">
        <f>IFERROR(VLOOKUP(B8,пр.взв!$B$7:$H$14,5,0),"")</f>
        <v>Московская, Люберцы</v>
      </c>
      <c r="G8" s="367"/>
      <c r="H8" s="367"/>
      <c r="I8" s="251"/>
      <c r="J8" s="251"/>
      <c r="K8" s="353"/>
      <c r="L8" s="356">
        <v>6</v>
      </c>
      <c r="M8" s="363" t="str">
        <f>IFERROR(VLOOKUP(L8,пр.взв!$B$7:$H$14,2,0),"")</f>
        <v>Николаев Андрей Владимирович</v>
      </c>
      <c r="N8" s="365" t="str">
        <f>IFERROR(VLOOKUP(L8,пр.взв!$B$7:$H$14,3,0),"")</f>
        <v>23.10.00, кмс</v>
      </c>
      <c r="O8" s="365" t="str">
        <f>IFERROR(VLOOKUP(L8,пр.взв!$B$7:$H$14,4,0),"")</f>
        <v>ЦФО</v>
      </c>
      <c r="P8" s="365" t="str">
        <f>IFERROR(VLOOKUP(L8,пр.взв!$B$7:$H$14,5,0),"")</f>
        <v>Московская, Дмитров</v>
      </c>
      <c r="Q8" s="367"/>
      <c r="R8" s="367"/>
      <c r="S8" s="251"/>
      <c r="T8" s="251"/>
    </row>
    <row r="9" spans="1:20" ht="12.95" customHeight="1" thickBot="1">
      <c r="A9" s="354"/>
      <c r="B9" s="362"/>
      <c r="C9" s="364"/>
      <c r="D9" s="366"/>
      <c r="E9" s="366"/>
      <c r="F9" s="366"/>
      <c r="G9" s="368"/>
      <c r="H9" s="368"/>
      <c r="I9" s="350"/>
      <c r="J9" s="350"/>
      <c r="K9" s="354"/>
      <c r="L9" s="362"/>
      <c r="M9" s="364"/>
      <c r="N9" s="366"/>
      <c r="O9" s="366"/>
      <c r="P9" s="366"/>
      <c r="Q9" s="368"/>
      <c r="R9" s="368"/>
      <c r="S9" s="350"/>
      <c r="T9" s="350"/>
    </row>
    <row r="10" spans="1:20">
      <c r="A10" s="352">
        <v>2</v>
      </c>
      <c r="B10" s="355">
        <v>3</v>
      </c>
      <c r="C10" s="374" t="str">
        <f>IFERROR(VLOOKUP(B10,пр.взв!$B$7:$H$14,2,0),"")</f>
        <v>Шатохин Сергей Игоревич</v>
      </c>
      <c r="D10" s="371" t="str">
        <f>IFERROR(VLOOKUP(B10,пр.взв!$B$7:$H$14,3,0),"")</f>
        <v>03.01.95, кмс</v>
      </c>
      <c r="E10" s="371" t="str">
        <f>IFERROR(VLOOKUP(B10,пр.взв!$B$7:$H$14,4,0),"")</f>
        <v>М</v>
      </c>
      <c r="F10" s="371" t="str">
        <f>IFERROR(VLOOKUP(B10,пр.взв!$B$7:$H$14,5,0),"")</f>
        <v>Москва, ГБУ СШ "Битца"</v>
      </c>
      <c r="G10" s="361"/>
      <c r="H10" s="373"/>
      <c r="I10" s="369"/>
      <c r="J10" s="359"/>
      <c r="K10" s="352">
        <v>4</v>
      </c>
      <c r="L10" s="355">
        <v>4</v>
      </c>
      <c r="M10" s="374" t="str">
        <f>IFERROR(VLOOKUP(L10,пр.взв!$B$7:$H$14,2,0),"")</f>
        <v>Ефимов Владимир Владимирович</v>
      </c>
      <c r="N10" s="371" t="str">
        <f>IFERROR(VLOOKUP(L10,пр.взв!$B$7:$H$14,3,0),"")</f>
        <v>28.01.95, кмс</v>
      </c>
      <c r="O10" s="371" t="str">
        <f>IFERROR(VLOOKUP(L10,пр.взв!$B$7:$H$14,4,0),"")</f>
        <v>М</v>
      </c>
      <c r="P10" s="371" t="str">
        <f>IFERROR(VLOOKUP(L10,пр.взв!$B$7:$H$14,5,0),"")</f>
        <v>Москва, НИУ МГСУ</v>
      </c>
      <c r="Q10" s="361"/>
      <c r="R10" s="373"/>
      <c r="S10" s="369"/>
      <c r="T10" s="359"/>
    </row>
    <row r="11" spans="1:20" ht="12.6" customHeight="1">
      <c r="A11" s="353"/>
      <c r="B11" s="356"/>
      <c r="C11" s="375"/>
      <c r="D11" s="372"/>
      <c r="E11" s="372"/>
      <c r="F11" s="372"/>
      <c r="G11" s="360"/>
      <c r="H11" s="360"/>
      <c r="I11" s="370"/>
      <c r="J11" s="250"/>
      <c r="K11" s="353"/>
      <c r="L11" s="356"/>
      <c r="M11" s="375"/>
      <c r="N11" s="372"/>
      <c r="O11" s="372"/>
      <c r="P11" s="372"/>
      <c r="Q11" s="360"/>
      <c r="R11" s="360"/>
      <c r="S11" s="370"/>
      <c r="T11" s="250"/>
    </row>
    <row r="12" spans="1:20">
      <c r="A12" s="353"/>
      <c r="B12" s="356">
        <v>7</v>
      </c>
      <c r="C12" s="363" t="str">
        <f>IFERROR(VLOOKUP(B12,пр.взв!$B$7:$H$14,2,0),"")</f>
        <v>Семенков Николай Андреевич</v>
      </c>
      <c r="D12" s="365" t="str">
        <f>IFERROR(VLOOKUP(B12,пр.взв!$B$7:$H$14,3,0),"")</f>
        <v>08.07.99, кмс</v>
      </c>
      <c r="E12" s="365" t="str">
        <f>IFERROR(VLOOKUP(B12,пр.взв!$B$7:$H$14,4,0),"")</f>
        <v>ЦФО</v>
      </c>
      <c r="F12" s="365" t="str">
        <f>IFERROR(VLOOKUP(B12,пр.взв!$B$7:$H$14,5,0),"")</f>
        <v>Московская, Зеленоград</v>
      </c>
      <c r="G12" s="367"/>
      <c r="H12" s="367"/>
      <c r="I12" s="251"/>
      <c r="J12" s="251"/>
      <c r="K12" s="353"/>
      <c r="L12" s="356">
        <v>8</v>
      </c>
      <c r="M12" s="363">
        <f>IFERROR(VLOOKUP(L12,пр.взв!$B$7:$H$14,2,0),"")</f>
        <v>0</v>
      </c>
      <c r="N12" s="365">
        <f>IFERROR(VLOOKUP(L12,пр.взв!$B$7:$H$14,3,0),"")</f>
        <v>0</v>
      </c>
      <c r="O12" s="365">
        <f>IFERROR(VLOOKUP(L12,пр.взв!$B$7:$H$14,4,0),"")</f>
        <v>0</v>
      </c>
      <c r="P12" s="365">
        <f>IFERROR(VLOOKUP(L12,пр.взв!$B$7:$H$14,5,0),"")</f>
        <v>0</v>
      </c>
      <c r="Q12" s="367"/>
      <c r="R12" s="367"/>
      <c r="S12" s="251"/>
      <c r="T12" s="251"/>
    </row>
    <row r="13" spans="1:20" ht="12.95" customHeight="1" thickBot="1">
      <c r="A13" s="354"/>
      <c r="B13" s="362"/>
      <c r="C13" s="364"/>
      <c r="D13" s="366"/>
      <c r="E13" s="366"/>
      <c r="F13" s="366"/>
      <c r="G13" s="368"/>
      <c r="H13" s="368"/>
      <c r="I13" s="350"/>
      <c r="J13" s="350"/>
      <c r="K13" s="354"/>
      <c r="L13" s="362"/>
      <c r="M13" s="364"/>
      <c r="N13" s="366"/>
      <c r="O13" s="366"/>
      <c r="P13" s="366"/>
      <c r="Q13" s="368"/>
      <c r="R13" s="368"/>
      <c r="S13" s="350"/>
      <c r="T13" s="350"/>
    </row>
    <row r="14" spans="1:20" ht="15.75">
      <c r="B14" s="214">
        <f>B2</f>
        <v>0</v>
      </c>
      <c r="C14" s="215" t="s">
        <v>82</v>
      </c>
      <c r="D14" s="215"/>
      <c r="E14" s="351" t="str">
        <f>E2</f>
        <v>В.к. 100+  кг.</v>
      </c>
      <c r="F14" s="351"/>
      <c r="G14" s="215"/>
      <c r="H14" s="215"/>
      <c r="I14" s="215"/>
      <c r="J14" s="215"/>
      <c r="L14" s="214">
        <f>L2</f>
        <v>0</v>
      </c>
      <c r="M14" s="215" t="s">
        <v>82</v>
      </c>
      <c r="N14" s="215"/>
      <c r="O14" s="351" t="str">
        <f>O2</f>
        <v>В.к. 100+  кг.</v>
      </c>
      <c r="P14" s="351"/>
      <c r="Q14" s="215"/>
      <c r="R14" s="215"/>
      <c r="S14" s="215"/>
      <c r="T14" s="215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33" t="s">
        <v>38</v>
      </c>
      <c r="B16" s="335" t="s">
        <v>4</v>
      </c>
      <c r="C16" s="337" t="s">
        <v>5</v>
      </c>
      <c r="D16" s="339" t="s">
        <v>13</v>
      </c>
      <c r="E16" s="341" t="s">
        <v>14</v>
      </c>
      <c r="F16" s="342"/>
      <c r="G16" s="337" t="s">
        <v>15</v>
      </c>
      <c r="H16" s="345" t="s">
        <v>34</v>
      </c>
      <c r="I16" s="349" t="s">
        <v>16</v>
      </c>
      <c r="J16" s="347" t="s">
        <v>17</v>
      </c>
      <c r="K16" s="333" t="s">
        <v>38</v>
      </c>
      <c r="L16" s="335" t="s">
        <v>4</v>
      </c>
      <c r="M16" s="337" t="s">
        <v>5</v>
      </c>
      <c r="N16" s="339" t="s">
        <v>13</v>
      </c>
      <c r="O16" s="341" t="s">
        <v>14</v>
      </c>
      <c r="P16" s="342"/>
      <c r="Q16" s="337" t="s">
        <v>15</v>
      </c>
      <c r="R16" s="345" t="s">
        <v>34</v>
      </c>
      <c r="S16" s="349" t="s">
        <v>16</v>
      </c>
      <c r="T16" s="347" t="s">
        <v>17</v>
      </c>
    </row>
    <row r="17" spans="1:20" ht="13.5" customHeight="1" thickBot="1">
      <c r="A17" s="334"/>
      <c r="B17" s="336" t="s">
        <v>29</v>
      </c>
      <c r="C17" s="338"/>
      <c r="D17" s="340"/>
      <c r="E17" s="343"/>
      <c r="F17" s="344"/>
      <c r="G17" s="338"/>
      <c r="H17" s="346"/>
      <c r="I17" s="350"/>
      <c r="J17" s="348" t="s">
        <v>30</v>
      </c>
      <c r="K17" s="334"/>
      <c r="L17" s="336" t="s">
        <v>29</v>
      </c>
      <c r="M17" s="338"/>
      <c r="N17" s="340"/>
      <c r="O17" s="343"/>
      <c r="P17" s="344"/>
      <c r="Q17" s="338"/>
      <c r="R17" s="346"/>
      <c r="S17" s="350"/>
      <c r="T17" s="348" t="s">
        <v>30</v>
      </c>
    </row>
    <row r="18" spans="1:20">
      <c r="A18" s="376">
        <v>1</v>
      </c>
      <c r="B18" s="379">
        <f>пр.хода!E9</f>
        <v>5</v>
      </c>
      <c r="C18" s="374" t="str">
        <f>IFERROR(VLOOKUP(B18,пр.взв!$B$7:$H$14,2,0),"")</f>
        <v>Тимченко Илья Сергеевич</v>
      </c>
      <c r="D18" s="371" t="str">
        <f>IFERROR(VLOOKUP(B18,пр.взв!$B$7:$H$14,3,0),"")</f>
        <v>28.03.84, кмс</v>
      </c>
      <c r="E18" s="371" t="str">
        <f>IFERROR(VLOOKUP(B18,пр.взв!$B$7:$H$14,4,0),"")</f>
        <v>ЦФО</v>
      </c>
      <c r="F18" s="371" t="str">
        <f>IFERROR(VLOOKUP(B18,пр.взв!$B$7:$H$14,5,0),"")</f>
        <v>Московская, Люберцы</v>
      </c>
      <c r="G18" s="361"/>
      <c r="H18" s="373"/>
      <c r="I18" s="369"/>
      <c r="J18" s="339"/>
      <c r="K18" s="376">
        <v>2</v>
      </c>
      <c r="L18" s="379">
        <f>пр.хода!Q9</f>
        <v>2</v>
      </c>
      <c r="M18" s="374" t="str">
        <f>IFERROR(VLOOKUP(L18,пр.взв!$B$7:$H$14,2,0),"")</f>
        <v>Магеррамов Кенан Бабек оглы</v>
      </c>
      <c r="N18" s="371" t="str">
        <f>IFERROR(VLOOKUP(L18,пр.взв!$B$7:$H$14,3,0),"")</f>
        <v>06.03.99, кмс</v>
      </c>
      <c r="O18" s="371" t="str">
        <f>IFERROR(VLOOKUP(L18,пр.взв!$B$7:$H$14,4,0),"")</f>
        <v>ЦФО</v>
      </c>
      <c r="P18" s="371" t="str">
        <f>IFERROR(VLOOKUP(L18,пр.взв!$B$7:$H$14,5,0),"")</f>
        <v>Тверская, Тверь</v>
      </c>
      <c r="Q18" s="361"/>
      <c r="R18" s="373"/>
      <c r="S18" s="369"/>
      <c r="T18" s="339"/>
    </row>
    <row r="19" spans="1:20" ht="12.6" customHeight="1">
      <c r="A19" s="377"/>
      <c r="B19" s="380"/>
      <c r="C19" s="375"/>
      <c r="D19" s="372"/>
      <c r="E19" s="372"/>
      <c r="F19" s="372"/>
      <c r="G19" s="360"/>
      <c r="H19" s="360"/>
      <c r="I19" s="370"/>
      <c r="J19" s="250"/>
      <c r="K19" s="377"/>
      <c r="L19" s="380"/>
      <c r="M19" s="375"/>
      <c r="N19" s="372"/>
      <c r="O19" s="372"/>
      <c r="P19" s="372"/>
      <c r="Q19" s="360"/>
      <c r="R19" s="360"/>
      <c r="S19" s="370"/>
      <c r="T19" s="250"/>
    </row>
    <row r="20" spans="1:20">
      <c r="A20" s="377"/>
      <c r="B20" s="381">
        <f>пр.хода!E13</f>
        <v>7</v>
      </c>
      <c r="C20" s="363" t="str">
        <f>IFERROR(VLOOKUP(B20,пр.взв!$B$7:$H$14,2,0),"")</f>
        <v>Семенков Николай Андреевич</v>
      </c>
      <c r="D20" s="365" t="str">
        <f>IFERROR(VLOOKUP(B20,пр.взв!$B$7:$H$14,3,0),"")</f>
        <v>08.07.99, кмс</v>
      </c>
      <c r="E20" s="365" t="str">
        <f>IFERROR(VLOOKUP(B20,пр.взв!$B$7:$H$14,4,0),"")</f>
        <v>ЦФО</v>
      </c>
      <c r="F20" s="365" t="str">
        <f>IFERROR(VLOOKUP(B20,пр.взв!$B$7:$H$14,5,0),"")</f>
        <v>Московская, Зеленоград</v>
      </c>
      <c r="G20" s="367"/>
      <c r="H20" s="367"/>
      <c r="I20" s="251"/>
      <c r="J20" s="251"/>
      <c r="K20" s="377"/>
      <c r="L20" s="381">
        <f>пр.хода!Q13</f>
        <v>4</v>
      </c>
      <c r="M20" s="363" t="str">
        <f>IFERROR(VLOOKUP(L20,пр.взв!$B$7:$H$14,2,0),"")</f>
        <v>Ефимов Владимир Владимирович</v>
      </c>
      <c r="N20" s="365" t="str">
        <f>IFERROR(VLOOKUP(L20,пр.взв!$B$7:$H$14,3,0),"")</f>
        <v>28.01.95, кмс</v>
      </c>
      <c r="O20" s="365" t="str">
        <f>IFERROR(VLOOKUP(L20,пр.взв!$B$7:$H$14,4,0),"")</f>
        <v>М</v>
      </c>
      <c r="P20" s="365" t="str">
        <f>IFERROR(VLOOKUP(L20,пр.взв!$B$7:$H$14,5,0),"")</f>
        <v>Москва, НИУ МГСУ</v>
      </c>
      <c r="Q20" s="367"/>
      <c r="R20" s="367"/>
      <c r="S20" s="251"/>
      <c r="T20" s="251"/>
    </row>
    <row r="21" spans="1:20" ht="12.95" customHeight="1" thickBot="1">
      <c r="A21" s="378"/>
      <c r="B21" s="382"/>
      <c r="C21" s="364"/>
      <c r="D21" s="366"/>
      <c r="E21" s="366"/>
      <c r="F21" s="366"/>
      <c r="G21" s="368"/>
      <c r="H21" s="368"/>
      <c r="I21" s="350"/>
      <c r="J21" s="350"/>
      <c r="K21" s="378"/>
      <c r="L21" s="382"/>
      <c r="M21" s="364"/>
      <c r="N21" s="366"/>
      <c r="O21" s="366"/>
      <c r="P21" s="366"/>
      <c r="Q21" s="368"/>
      <c r="R21" s="368"/>
      <c r="S21" s="350"/>
      <c r="T21" s="350"/>
    </row>
    <row r="22" spans="1:20" ht="15.75">
      <c r="B22" s="214">
        <f>B14</f>
        <v>0</v>
      </c>
      <c r="C22" s="215" t="s">
        <v>82</v>
      </c>
      <c r="D22" s="215"/>
      <c r="E22" s="351" t="str">
        <f>E14</f>
        <v>В.к. 100+  кг.</v>
      </c>
      <c r="F22" s="351"/>
      <c r="G22" s="215"/>
      <c r="H22" s="215"/>
      <c r="I22" s="215"/>
      <c r="J22" s="215"/>
      <c r="L22" s="214">
        <f>L14</f>
        <v>0</v>
      </c>
      <c r="M22" s="215" t="s">
        <v>82</v>
      </c>
      <c r="N22" s="215"/>
      <c r="O22" s="351" t="str">
        <f>O14</f>
        <v>В.к. 100+  кг.</v>
      </c>
      <c r="P22" s="351"/>
      <c r="Q22" s="215"/>
      <c r="R22" s="215"/>
      <c r="S22" s="215"/>
      <c r="T22" s="215"/>
    </row>
    <row r="23" spans="1:20" ht="15">
      <c r="A23" s="383" t="s">
        <v>36</v>
      </c>
      <c r="B23" s="383"/>
      <c r="C23" s="383"/>
      <c r="D23" s="383"/>
      <c r="E23" s="383"/>
      <c r="F23" s="383"/>
      <c r="G23" s="383"/>
      <c r="H23" s="383"/>
      <c r="I23" s="383"/>
      <c r="J23" s="383"/>
      <c r="K23" s="383" t="s">
        <v>37</v>
      </c>
      <c r="L23" s="383"/>
      <c r="M23" s="383"/>
      <c r="N23" s="383"/>
      <c r="O23" s="383"/>
      <c r="P23" s="383"/>
      <c r="Q23" s="383"/>
      <c r="R23" s="383"/>
      <c r="S23" s="383"/>
      <c r="T23" s="383"/>
    </row>
    <row r="24" spans="1:20" ht="16.5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33" t="s">
        <v>38</v>
      </c>
      <c r="B25" s="335" t="s">
        <v>4</v>
      </c>
      <c r="C25" s="337" t="s">
        <v>5</v>
      </c>
      <c r="D25" s="339" t="s">
        <v>13</v>
      </c>
      <c r="E25" s="341" t="s">
        <v>14</v>
      </c>
      <c r="F25" s="342"/>
      <c r="G25" s="337" t="s">
        <v>15</v>
      </c>
      <c r="H25" s="345" t="s">
        <v>34</v>
      </c>
      <c r="I25" s="349" t="s">
        <v>16</v>
      </c>
      <c r="J25" s="347" t="s">
        <v>17</v>
      </c>
      <c r="K25" s="333" t="s">
        <v>38</v>
      </c>
      <c r="L25" s="335" t="s">
        <v>4</v>
      </c>
      <c r="M25" s="337" t="s">
        <v>5</v>
      </c>
      <c r="N25" s="339" t="s">
        <v>13</v>
      </c>
      <c r="O25" s="341" t="s">
        <v>14</v>
      </c>
      <c r="P25" s="342"/>
      <c r="Q25" s="337" t="s">
        <v>15</v>
      </c>
      <c r="R25" s="345" t="s">
        <v>34</v>
      </c>
      <c r="S25" s="349" t="s">
        <v>16</v>
      </c>
      <c r="T25" s="347" t="s">
        <v>17</v>
      </c>
    </row>
    <row r="26" spans="1:20" ht="13.5" customHeight="1" thickBot="1">
      <c r="A26" s="334"/>
      <c r="B26" s="336" t="s">
        <v>29</v>
      </c>
      <c r="C26" s="338"/>
      <c r="D26" s="340"/>
      <c r="E26" s="343"/>
      <c r="F26" s="344"/>
      <c r="G26" s="338"/>
      <c r="H26" s="346"/>
      <c r="I26" s="350"/>
      <c r="J26" s="348" t="s">
        <v>30</v>
      </c>
      <c r="K26" s="334"/>
      <c r="L26" s="336" t="s">
        <v>29</v>
      </c>
      <c r="M26" s="338"/>
      <c r="N26" s="340"/>
      <c r="O26" s="343"/>
      <c r="P26" s="344"/>
      <c r="Q26" s="338"/>
      <c r="R26" s="346"/>
      <c r="S26" s="350"/>
      <c r="T26" s="348" t="s">
        <v>30</v>
      </c>
    </row>
    <row r="27" spans="1:20">
      <c r="A27" s="352">
        <v>1</v>
      </c>
      <c r="B27" s="384">
        <f>пр.хода!A21</f>
        <v>1</v>
      </c>
      <c r="C27" s="374" t="str">
        <f>IFERROR(VLOOKUP(B27,пр.взв!$B$7:$H$14,2,0),"")</f>
        <v>Кайтмазов Лазарь Николаевич</v>
      </c>
      <c r="D27" s="371" t="str">
        <f>IFERROR(VLOOKUP(B27,пр.взв!$B$7:$H$14,3,0),"")</f>
        <v>15.11.99, кмс</v>
      </c>
      <c r="E27" s="371" t="str">
        <f>IFERROR(VLOOKUP(B27,пр.взв!$B$7:$H$14,4,0),"")</f>
        <v>М</v>
      </c>
      <c r="F27" s="371" t="str">
        <f>IFERROR(VLOOKUP(B27,пр.взв!$B$7:$H$14,5,0),"")</f>
        <v>Москва, НИУ МГСУ</v>
      </c>
      <c r="G27" s="361"/>
      <c r="H27" s="373"/>
      <c r="I27" s="369"/>
      <c r="J27" s="339"/>
      <c r="K27" s="352">
        <v>2</v>
      </c>
      <c r="L27" s="384">
        <f>пр.хода!U21</f>
        <v>6</v>
      </c>
      <c r="M27" s="374" t="str">
        <f>IFERROR(VLOOKUP(L27,пр.взв!$B$7:$H$14,2,0),"")</f>
        <v>Николаев Андрей Владимирович</v>
      </c>
      <c r="N27" s="371" t="str">
        <f>IFERROR(VLOOKUP(L27,пр.взв!$B$7:$H$14,3,0),"")</f>
        <v>23.10.00, кмс</v>
      </c>
      <c r="O27" s="371" t="str">
        <f>IFERROR(VLOOKUP(L27,пр.взв!$B$7:$H$14,4,0),"")</f>
        <v>ЦФО</v>
      </c>
      <c r="P27" s="371" t="str">
        <f>IFERROR(VLOOKUP(L27,пр.взв!$B$7:$H$14,5,0),"")</f>
        <v>Московская, Дмитров</v>
      </c>
      <c r="Q27" s="361"/>
      <c r="R27" s="373"/>
      <c r="S27" s="369"/>
      <c r="T27" s="339"/>
    </row>
    <row r="28" spans="1:20" ht="12.6" customHeight="1">
      <c r="A28" s="353"/>
      <c r="B28" s="380"/>
      <c r="C28" s="375"/>
      <c r="D28" s="372"/>
      <c r="E28" s="372"/>
      <c r="F28" s="372"/>
      <c r="G28" s="360"/>
      <c r="H28" s="360"/>
      <c r="I28" s="370"/>
      <c r="J28" s="250"/>
      <c r="K28" s="353"/>
      <c r="L28" s="380"/>
      <c r="M28" s="375"/>
      <c r="N28" s="372"/>
      <c r="O28" s="372"/>
      <c r="P28" s="372"/>
      <c r="Q28" s="360"/>
      <c r="R28" s="360"/>
      <c r="S28" s="370"/>
      <c r="T28" s="250"/>
    </row>
    <row r="29" spans="1:20">
      <c r="A29" s="353"/>
      <c r="B29" s="385">
        <f>пр.хода!A23</f>
        <v>3</v>
      </c>
      <c r="C29" s="363" t="str">
        <f>IFERROR(VLOOKUP(B29,пр.взв!$B$7:$H$14,2,0),"")</f>
        <v>Шатохин Сергей Игоревич</v>
      </c>
      <c r="D29" s="365" t="str">
        <f>IFERROR(VLOOKUP(B29,пр.взв!$B$7:$H$14,3,0),"")</f>
        <v>03.01.95, кмс</v>
      </c>
      <c r="E29" s="365" t="str">
        <f>IFERROR(VLOOKUP(B29,пр.взв!$B$7:$H$14,4,0),"")</f>
        <v>М</v>
      </c>
      <c r="F29" s="365" t="str">
        <f>IFERROR(VLOOKUP(B29,пр.взв!$B$7:$H$14,5,0),"")</f>
        <v>Москва, ГБУ СШ "Битца"</v>
      </c>
      <c r="G29" s="367"/>
      <c r="H29" s="367"/>
      <c r="I29" s="251"/>
      <c r="J29" s="251"/>
      <c r="K29" s="353"/>
      <c r="L29" s="385">
        <f>пр.хода!U23</f>
        <v>8</v>
      </c>
      <c r="M29" s="363">
        <f>IFERROR(VLOOKUP(L29,пр.взв!$B$7:$H$14,2,0),"")</f>
        <v>0</v>
      </c>
      <c r="N29" s="365">
        <f>IFERROR(VLOOKUP(L29,пр.взв!$B$7:$H$14,3,0),"")</f>
        <v>0</v>
      </c>
      <c r="O29" s="365">
        <f>IFERROR(VLOOKUP(L29,пр.взв!$B$7:$H$14,4,0),"")</f>
        <v>0</v>
      </c>
      <c r="P29" s="365">
        <f>IFERROR(VLOOKUP(L29,пр.взв!$B$7:$H$14,5,0),"")</f>
        <v>0</v>
      </c>
      <c r="Q29" s="367"/>
      <c r="R29" s="367"/>
      <c r="S29" s="251"/>
      <c r="T29" s="251"/>
    </row>
    <row r="30" spans="1:20" ht="12.95" customHeight="1" thickBot="1">
      <c r="A30" s="354"/>
      <c r="B30" s="382"/>
      <c r="C30" s="364"/>
      <c r="D30" s="366"/>
      <c r="E30" s="366"/>
      <c r="F30" s="366"/>
      <c r="G30" s="368"/>
      <c r="H30" s="368"/>
      <c r="I30" s="350"/>
      <c r="J30" s="350"/>
      <c r="K30" s="354"/>
      <c r="L30" s="382"/>
      <c r="M30" s="364"/>
      <c r="N30" s="366"/>
      <c r="O30" s="366"/>
      <c r="P30" s="366"/>
      <c r="Q30" s="368"/>
      <c r="R30" s="368"/>
      <c r="S30" s="350"/>
      <c r="T30" s="350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P36"/>
  <sheetViews>
    <sheetView tabSelected="1" topLeftCell="A11" workbookViewId="0">
      <selection sqref="A1:H24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22.140625" customWidth="1"/>
    <col min="7" max="7" width="10.140625" hidden="1" customWidth="1"/>
    <col min="8" max="8" width="19.7109375" customWidth="1"/>
    <col min="9" max="9" width="6.28515625" customWidth="1"/>
    <col min="10" max="10" width="3.85546875" customWidth="1"/>
    <col min="11" max="11" width="15.7109375" customWidth="1"/>
    <col min="12" max="12" width="4.85546875" customWidth="1"/>
    <col min="13" max="13" width="3.42578125" hidden="1" customWidth="1"/>
    <col min="14" max="14" width="17" hidden="1" customWidth="1"/>
    <col min="15" max="18" width="9.140625" hidden="1" customWidth="1"/>
    <col min="19" max="36" width="0" hidden="1" customWidth="1"/>
  </cols>
  <sheetData>
    <row r="1" spans="1:42" ht="27.75" customHeight="1" thickBot="1">
      <c r="A1" s="397" t="s">
        <v>24</v>
      </c>
      <c r="B1" s="397"/>
      <c r="C1" s="397"/>
      <c r="D1" s="397"/>
      <c r="E1" s="397"/>
      <c r="F1" s="397"/>
      <c r="G1" s="397"/>
      <c r="H1" s="397"/>
      <c r="I1" s="217"/>
      <c r="J1" s="124"/>
      <c r="K1" s="48"/>
      <c r="L1" s="48"/>
      <c r="M1" s="48"/>
      <c r="N1" s="48"/>
      <c r="O1" s="48"/>
      <c r="P1" s="48"/>
      <c r="Q1" s="48"/>
      <c r="R1" s="48"/>
      <c r="S1" s="48"/>
      <c r="T1" s="48"/>
      <c r="U1" s="48">
        <f ca="1">SUMIF(U6:U11,W1,$L$13:$L$16)</f>
        <v>0</v>
      </c>
      <c r="V1" s="48"/>
      <c r="W1" s="48" t="str">
        <f>K12</f>
        <v>Московская</v>
      </c>
    </row>
    <row r="2" spans="1:42" ht="54" customHeight="1" thickBot="1">
      <c r="A2" s="122"/>
      <c r="B2" s="403" t="s">
        <v>77</v>
      </c>
      <c r="C2" s="403"/>
      <c r="D2" s="404" t="str">
        <f>пр.взв!B2</f>
        <v>Всероссийские соревнования по спортивному и боевому самбо среди мужчин на призы УФСИН России</v>
      </c>
      <c r="E2" s="405"/>
      <c r="F2" s="405"/>
      <c r="G2" s="405"/>
      <c r="H2" s="406"/>
      <c r="I2" s="221"/>
      <c r="J2" s="122"/>
      <c r="U2" s="243">
        <f>SUMIF(K13:K15,W1,$L$13:$L$16)</f>
        <v>1</v>
      </c>
      <c r="V2" s="243"/>
      <c r="W2" s="243"/>
      <c r="X2" s="243"/>
      <c r="Y2" s="243"/>
    </row>
    <row r="3" spans="1:42" ht="31.5" customHeight="1" thickBot="1">
      <c r="A3" s="122"/>
      <c r="B3" s="407" t="str">
        <f>пр.взв!A3</f>
        <v>20-22 апреля 2019 г           г.Тверь</v>
      </c>
      <c r="C3" s="407"/>
      <c r="D3" s="407"/>
      <c r="E3" s="407"/>
      <c r="F3" s="407"/>
      <c r="G3" s="408" t="str">
        <f>пр.взв!D4</f>
        <v>В.к. 100+  кг.</v>
      </c>
      <c r="H3" s="409"/>
      <c r="I3" s="218"/>
      <c r="J3" s="122"/>
    </row>
    <row r="4" spans="1:42" ht="12.75" customHeight="1" thickBot="1">
      <c r="A4" s="393" t="s">
        <v>10</v>
      </c>
      <c r="B4" s="395" t="s">
        <v>4</v>
      </c>
      <c r="C4" s="410" t="s">
        <v>5</v>
      </c>
      <c r="D4" s="412" t="s">
        <v>6</v>
      </c>
      <c r="E4" s="414" t="s">
        <v>7</v>
      </c>
      <c r="F4" s="412"/>
      <c r="G4" s="416" t="s">
        <v>9</v>
      </c>
      <c r="H4" s="398" t="s">
        <v>8</v>
      </c>
      <c r="I4" s="219"/>
      <c r="J4" s="122"/>
      <c r="K4" s="421" t="str">
        <f>IFERROR(LEFT(F6,FIND(",",F6)-1),F6)</f>
        <v>Тверская</v>
      </c>
      <c r="L4" s="418">
        <v>1</v>
      </c>
      <c r="M4" s="419" t="s">
        <v>60</v>
      </c>
      <c r="N4" s="388" t="s">
        <v>59</v>
      </c>
      <c r="O4" s="400"/>
      <c r="P4" s="401"/>
      <c r="Q4" s="401"/>
      <c r="R4" s="402"/>
      <c r="T4" s="386" t="s">
        <v>60</v>
      </c>
      <c r="U4" s="388" t="s">
        <v>59</v>
      </c>
      <c r="V4" s="390"/>
      <c r="W4" s="391"/>
      <c r="X4" s="391"/>
      <c r="Y4" s="392"/>
      <c r="AD4" s="386" t="s">
        <v>60</v>
      </c>
      <c r="AE4" s="388" t="s">
        <v>59</v>
      </c>
      <c r="AF4" s="390"/>
      <c r="AG4" s="391"/>
      <c r="AH4" s="391"/>
      <c r="AI4" s="392"/>
      <c r="AK4" s="386" t="s">
        <v>60</v>
      </c>
      <c r="AL4" s="388" t="s">
        <v>59</v>
      </c>
      <c r="AM4" s="390"/>
      <c r="AN4" s="391"/>
      <c r="AO4" s="391"/>
      <c r="AP4" s="392"/>
    </row>
    <row r="5" spans="1:42" ht="16.5" thickBot="1">
      <c r="A5" s="394"/>
      <c r="B5" s="396"/>
      <c r="C5" s="411"/>
      <c r="D5" s="413"/>
      <c r="E5" s="415"/>
      <c r="F5" s="413"/>
      <c r="G5" s="417"/>
      <c r="H5" s="399"/>
      <c r="I5" s="219"/>
      <c r="J5" s="122"/>
      <c r="K5" s="421"/>
      <c r="L5" s="418"/>
      <c r="M5" s="420"/>
      <c r="N5" s="389"/>
      <c r="O5" s="96">
        <v>1</v>
      </c>
      <c r="P5" s="97">
        <v>2</v>
      </c>
      <c r="Q5" s="97">
        <v>3</v>
      </c>
      <c r="R5" s="98">
        <v>5</v>
      </c>
      <c r="T5" s="387"/>
      <c r="U5" s="389"/>
      <c r="V5" s="96">
        <v>1</v>
      </c>
      <c r="W5" s="97">
        <v>2</v>
      </c>
      <c r="X5" s="97">
        <v>3</v>
      </c>
      <c r="Y5" s="98">
        <v>5</v>
      </c>
      <c r="AA5" s="131">
        <v>1</v>
      </c>
      <c r="AC5" s="131">
        <v>2</v>
      </c>
      <c r="AD5" s="387"/>
      <c r="AE5" s="389"/>
      <c r="AF5" s="132">
        <v>1</v>
      </c>
      <c r="AG5" s="133">
        <v>2</v>
      </c>
      <c r="AH5" s="133">
        <v>3</v>
      </c>
      <c r="AI5" s="134">
        <v>5</v>
      </c>
      <c r="AK5" s="387"/>
      <c r="AL5" s="389"/>
      <c r="AM5" s="132">
        <v>1</v>
      </c>
      <c r="AN5" s="133">
        <v>2</v>
      </c>
      <c r="AO5" s="133">
        <v>3</v>
      </c>
      <c r="AP5" s="134">
        <v>5</v>
      </c>
    </row>
    <row r="6" spans="1:42" ht="24" customHeight="1">
      <c r="A6" s="213">
        <v>1</v>
      </c>
      <c r="B6" s="225">
        <f>пр.хода!H9</f>
        <v>2</v>
      </c>
      <c r="C6" s="229" t="str">
        <f>IFERROR(VLOOKUP(B6,пр.взв!$B$7:$H$14,2,0),"")</f>
        <v>Магеррамов Кенан Бабек оглы</v>
      </c>
      <c r="D6" s="230" t="str">
        <f>IFERROR(VLOOKUP(B6,пр.взв!$B$7:$H$14,3,0),"")</f>
        <v>06.03.99, кмс</v>
      </c>
      <c r="E6" s="230" t="str">
        <f>IFERROR(VLOOKUP(B6,пр.взв!$B$7:$H$14,4,0),"")</f>
        <v>ЦФО</v>
      </c>
      <c r="F6" s="231" t="str">
        <f>IFERROR(VLOOKUP(B6,пр.взв!$B$7:$H$14,5,0),"")</f>
        <v>Тверская, Тверь</v>
      </c>
      <c r="G6" s="232">
        <f>IFERROR(VLOOKUP(B6,пр.взв!$B$7:$H$14,6,0),"")</f>
        <v>0</v>
      </c>
      <c r="H6" s="233" t="str">
        <f>IFERROR(VLOOKUP(B6,пр.взв!$B$7:$H$14,7,0),"")</f>
        <v>Булатов ВИ Булатов ИВ</v>
      </c>
      <c r="I6" s="220">
        <v>100</v>
      </c>
      <c r="J6" s="122">
        <f>A6</f>
        <v>1</v>
      </c>
      <c r="K6" s="421" t="s">
        <v>61</v>
      </c>
      <c r="L6" s="418">
        <v>1</v>
      </c>
      <c r="M6" s="99">
        <v>1</v>
      </c>
      <c r="N6" s="95" t="s">
        <v>64</v>
      </c>
      <c r="O6" s="100">
        <f>SUMIF($K$4:$K$7,K4,$L$4:$L$7)</f>
        <v>1</v>
      </c>
      <c r="P6" s="100">
        <f ca="1">SUMIF($J$8:$K$9,"алт",$L$6:$L$9)</f>
        <v>0</v>
      </c>
      <c r="Q6" s="101">
        <f>SUMIF($K$10:$K$12,"Алт",$L$10:$L$12)</f>
        <v>0</v>
      </c>
      <c r="R6" s="101">
        <f>SUMIF($K$13:$K$16,"Алт",$L$13:$L$16)</f>
        <v>0</v>
      </c>
      <c r="T6" s="99">
        <v>1</v>
      </c>
      <c r="U6" s="95" t="str">
        <f>K4</f>
        <v>Тверская</v>
      </c>
      <c r="V6" s="100">
        <f t="shared" ref="V6:V11" si="0">SUMIF($K$4:$K$7,U6,$L$4:$L$7)</f>
        <v>1</v>
      </c>
      <c r="W6" s="100">
        <f t="shared" ref="W6:W11" ca="1" si="1">SUMIF($J$8:$K$9,U6,$L$6:$L$9)</f>
        <v>0</v>
      </c>
      <c r="X6" s="101">
        <f t="shared" ref="X6:X11" si="2">SUMIF($K$10:$K$12,U6,$L$10:$L$12)</f>
        <v>0</v>
      </c>
      <c r="Y6" s="101">
        <f>SUMIF($K$13:$K$16,U6,$L$13:$L$16)</f>
        <v>0</v>
      </c>
      <c r="AA6" t="str">
        <f>U6</f>
        <v>Тверская</v>
      </c>
      <c r="AC6" t="str">
        <f>AA6</f>
        <v>Тверская</v>
      </c>
      <c r="AD6" s="135">
        <v>1</v>
      </c>
      <c r="AE6" s="136" t="str">
        <f>AC6</f>
        <v>Тверская</v>
      </c>
      <c r="AF6" s="137">
        <f t="shared" ref="AF6:AF11" si="3">SUMIF($K$4:$K$7,AE6,$L$4:$L$7)</f>
        <v>1</v>
      </c>
      <c r="AG6" s="137">
        <f t="shared" ref="AG6:AG11" ca="1" si="4">SUMIF($J$8:$K$9,AE6,$L$6:$L$9)</f>
        <v>0</v>
      </c>
      <c r="AH6" s="137">
        <f t="shared" ref="AH6:AH11" si="5">SUMIF($K$10:$K$12,AE6,$L$10:$L$12)</f>
        <v>0</v>
      </c>
      <c r="AI6" s="138">
        <f t="shared" ref="AI6:AI11" si="6">SUMIF($K$13:$K$16,AE6,$L$13:$L$16)</f>
        <v>0</v>
      </c>
      <c r="AK6" s="135">
        <v>1</v>
      </c>
      <c r="AL6" s="136" t="str">
        <f t="shared" ref="AL6:AP11" si="7">IF(AE6=0," ",AE6)</f>
        <v>Тверская</v>
      </c>
      <c r="AM6" s="137">
        <f t="shared" si="7"/>
        <v>1</v>
      </c>
      <c r="AN6" s="137" t="str">
        <f t="shared" ca="1" si="7"/>
        <v xml:space="preserve"> </v>
      </c>
      <c r="AO6" s="137" t="str">
        <f t="shared" si="7"/>
        <v xml:space="preserve"> </v>
      </c>
      <c r="AP6" s="138" t="str">
        <f t="shared" si="7"/>
        <v xml:space="preserve"> </v>
      </c>
    </row>
    <row r="7" spans="1:42" ht="24" customHeight="1">
      <c r="A7" s="212">
        <v>2</v>
      </c>
      <c r="B7" s="226">
        <f>пр.хода!H14</f>
        <v>7</v>
      </c>
      <c r="C7" s="234" t="str">
        <f>IFERROR(VLOOKUP(B7,пр.взв!$B$7:$H$14,2,0),"")</f>
        <v>Семенков Николай Андреевич</v>
      </c>
      <c r="D7" s="235" t="str">
        <f>IFERROR(VLOOKUP(B7,пр.взв!$B$7:$H$14,3,0),"")</f>
        <v>08.07.99, кмс</v>
      </c>
      <c r="E7" s="236" t="str">
        <f>IFERROR(VLOOKUP(B7,пр.взв!$B$7:$H$14,4,0),"")</f>
        <v>ЦФО</v>
      </c>
      <c r="F7" s="236" t="str">
        <f>IFERROR(VLOOKUP(B7,пр.взв!$B$7:$H$14,5,0),"")</f>
        <v>Московская, Зеленоград</v>
      </c>
      <c r="G7" s="236">
        <f>IFERROR(VLOOKUP(B7,пр.взв!$B$7:$H$14,6,0),"")</f>
        <v>0</v>
      </c>
      <c r="H7" s="237" t="str">
        <f>IFERROR(VLOOKUP(B7,пр.взв!$B$7:$H$14,7,0),"")</f>
        <v>Коробков СВ</v>
      </c>
      <c r="I7" s="220">
        <v>80</v>
      </c>
      <c r="J7" s="122">
        <f t="shared" ref="J7:J12" si="8">A7</f>
        <v>2</v>
      </c>
      <c r="K7" s="421"/>
      <c r="L7" s="418"/>
      <c r="M7" s="94">
        <v>2</v>
      </c>
      <c r="N7" s="95" t="s">
        <v>65</v>
      </c>
      <c r="O7" s="100">
        <f>SUMIF($K$4:$K$7,"заб",$L$4:$L$7)</f>
        <v>0</v>
      </c>
      <c r="P7" s="100">
        <f ca="1">SUMIF($J$8:$K$9,"заб",$L$6:$L$9)</f>
        <v>0</v>
      </c>
      <c r="Q7" s="101">
        <f>SUMIF($K$10:$K$12,"заб",$L$10:$L$12)</f>
        <v>0</v>
      </c>
      <c r="R7" s="101">
        <f>SUMIF($K$13:$K$16,"заб",$L$13:$L$16)</f>
        <v>0</v>
      </c>
      <c r="T7" s="94">
        <v>2</v>
      </c>
      <c r="U7" s="95" t="str">
        <f>IF(K8=K4," ",K8)</f>
        <v>Московская</v>
      </c>
      <c r="V7" s="100">
        <f t="shared" si="0"/>
        <v>0</v>
      </c>
      <c r="W7" s="100">
        <f t="shared" ca="1" si="1"/>
        <v>1</v>
      </c>
      <c r="X7" s="101">
        <f t="shared" si="2"/>
        <v>1</v>
      </c>
      <c r="Y7" s="101">
        <f>SUMIF($K$13:$K$16,U7,$L$13:$L$16)</f>
        <v>1</v>
      </c>
      <c r="AA7" t="str">
        <f>IF(OR(U7=" "),U8,U7)</f>
        <v>Московская</v>
      </c>
      <c r="AB7">
        <f>IF(V7=V6," ",V7)</f>
        <v>0</v>
      </c>
      <c r="AC7" t="str">
        <f>IF(OR(AA7=" "),AA8,AA7)</f>
        <v>Московская</v>
      </c>
      <c r="AD7" s="139">
        <v>2</v>
      </c>
      <c r="AE7" s="140" t="str">
        <f>IF(OR(AC7=" "),AC8,AC7)</f>
        <v>Московская</v>
      </c>
      <c r="AF7" s="141">
        <f t="shared" si="3"/>
        <v>0</v>
      </c>
      <c r="AG7" s="141">
        <f t="shared" ca="1" si="4"/>
        <v>1</v>
      </c>
      <c r="AH7" s="141">
        <f t="shared" si="5"/>
        <v>1</v>
      </c>
      <c r="AI7" s="142">
        <f t="shared" si="6"/>
        <v>1</v>
      </c>
      <c r="AK7" s="139">
        <v>2</v>
      </c>
      <c r="AL7" s="140" t="str">
        <f t="shared" si="7"/>
        <v>Московская</v>
      </c>
      <c r="AM7" s="141" t="str">
        <f t="shared" si="7"/>
        <v xml:space="preserve"> </v>
      </c>
      <c r="AN7" s="141">
        <f t="shared" ca="1" si="7"/>
        <v>1</v>
      </c>
      <c r="AO7" s="141">
        <f t="shared" si="7"/>
        <v>1</v>
      </c>
      <c r="AP7" s="142">
        <f t="shared" si="7"/>
        <v>1</v>
      </c>
    </row>
    <row r="8" spans="1:42" ht="24" customHeight="1">
      <c r="A8" s="212">
        <v>3</v>
      </c>
      <c r="B8" s="226">
        <f>пр.хода!E25</f>
        <v>4</v>
      </c>
      <c r="C8" s="234" t="str">
        <f>IFERROR(VLOOKUP(B8,пр.взв!$B$7:$H$14,2,0),"")</f>
        <v>Ефимов Владимир Владимирович</v>
      </c>
      <c r="D8" s="235" t="str">
        <f>IFERROR(VLOOKUP(B8,пр.взв!$B$7:$H$14,3,0),"")</f>
        <v>28.01.95, кмс</v>
      </c>
      <c r="E8" s="236" t="str">
        <f>IFERROR(VLOOKUP(B8,пр.взв!$B$7:$H$14,4,0),"")</f>
        <v>М</v>
      </c>
      <c r="F8" s="236" t="str">
        <f>IFERROR(VLOOKUP(B8,пр.взв!$B$7:$H$14,5,0),"")</f>
        <v>Москва, НИУ МГСУ</v>
      </c>
      <c r="G8" s="236">
        <f>IFERROR(VLOOKUP(B8,пр.взв!$B$7:$H$14,6,0),"")</f>
        <v>0</v>
      </c>
      <c r="H8" s="237" t="str">
        <f>IFERROR(VLOOKUP(B8,пр.взв!$B$7:$H$14,7,0),"")</f>
        <v>Гарник ВС Никишкин ВВ</v>
      </c>
      <c r="I8" s="220">
        <v>70</v>
      </c>
      <c r="J8" s="122">
        <f t="shared" si="8"/>
        <v>3</v>
      </c>
      <c r="K8" s="418" t="str">
        <f>IFERROR(LEFT(F7,FIND(",",F7)-1),F7)</f>
        <v>Московская</v>
      </c>
      <c r="L8" s="418">
        <v>1</v>
      </c>
      <c r="M8" s="93">
        <v>3</v>
      </c>
      <c r="N8" s="95" t="s">
        <v>66</v>
      </c>
      <c r="O8" s="100">
        <f>SUMIF($K$4:$K$7,"ирк",$L$4:$L$7)</f>
        <v>0</v>
      </c>
      <c r="P8" s="100">
        <f ca="1">SUMIF($J$8:$K$9,"ирк",$L$6:$L$9)</f>
        <v>0</v>
      </c>
      <c r="Q8" s="101">
        <f>SUMIF($K$10:$K$12,"ирк",$L$10:$L$12)</f>
        <v>0</v>
      </c>
      <c r="R8" s="101">
        <f>SUMIF($K$13:$K$16,"ирк",$L$13:$L$16)</f>
        <v>0</v>
      </c>
      <c r="T8" s="93">
        <v>3</v>
      </c>
      <c r="U8" s="95" t="str">
        <f>IF(OR(K10=K4,K10=K8)," ",K10)</f>
        <v>Москва</v>
      </c>
      <c r="V8" s="100">
        <f t="shared" si="0"/>
        <v>0</v>
      </c>
      <c r="W8" s="100">
        <f t="shared" ca="1" si="1"/>
        <v>0</v>
      </c>
      <c r="X8" s="101">
        <f t="shared" si="2"/>
        <v>1</v>
      </c>
      <c r="Y8" s="101">
        <f>SUMIF($K$13:$K$16,U8,$L$13:$L$16)</f>
        <v>1</v>
      </c>
      <c r="AA8" t="str">
        <f>IF(OR(U8=" ",U7=" "),U9,U8)</f>
        <v>Москва</v>
      </c>
      <c r="AC8" t="str">
        <f>IF(OR(AA8=" ",AA7=" "),AA9,AA8)</f>
        <v>Москва</v>
      </c>
      <c r="AD8" s="143">
        <v>3</v>
      </c>
      <c r="AE8" s="140" t="str">
        <f>IF(OR(AC8=" ",AC7=" "),AC9,AC8)</f>
        <v>Москва</v>
      </c>
      <c r="AF8" s="141">
        <f t="shared" si="3"/>
        <v>0</v>
      </c>
      <c r="AG8" s="141">
        <f t="shared" ca="1" si="4"/>
        <v>0</v>
      </c>
      <c r="AH8" s="141">
        <f t="shared" si="5"/>
        <v>1</v>
      </c>
      <c r="AI8" s="142">
        <f t="shared" si="6"/>
        <v>1</v>
      </c>
      <c r="AK8" s="143">
        <v>3</v>
      </c>
      <c r="AL8" s="140" t="str">
        <f t="shared" si="7"/>
        <v>Москва</v>
      </c>
      <c r="AM8" s="141" t="str">
        <f t="shared" si="7"/>
        <v xml:space="preserve"> </v>
      </c>
      <c r="AN8" s="141" t="str">
        <f t="shared" ca="1" si="7"/>
        <v xml:space="preserve"> </v>
      </c>
      <c r="AO8" s="141">
        <f t="shared" si="7"/>
        <v>1</v>
      </c>
      <c r="AP8" s="142">
        <f t="shared" si="7"/>
        <v>1</v>
      </c>
    </row>
    <row r="9" spans="1:42" ht="24" customHeight="1">
      <c r="A9" s="212">
        <v>3</v>
      </c>
      <c r="B9" s="227">
        <f>пр.хода!Q25</f>
        <v>5</v>
      </c>
      <c r="C9" s="234" t="str">
        <f>IFERROR(VLOOKUP(B9,пр.взв!$B$7:$H$14,2,0),"")</f>
        <v>Тимченко Илья Сергеевич</v>
      </c>
      <c r="D9" s="235" t="str">
        <f>IFERROR(VLOOKUP(B9,пр.взв!$B$7:$H$14,3,0),"")</f>
        <v>28.03.84, кмс</v>
      </c>
      <c r="E9" s="236" t="str">
        <f>IFERROR(VLOOKUP(B9,пр.взв!$B$7:$H$14,4,0),"")</f>
        <v>ЦФО</v>
      </c>
      <c r="F9" s="236" t="str">
        <f>IFERROR(VLOOKUP(B9,пр.взв!$B$7:$H$14,5,0),"")</f>
        <v>Московская, Люберцы</v>
      </c>
      <c r="G9" s="236">
        <f>IFERROR(VLOOKUP(B9,пр.взв!$B$7:$H$14,6,0),"")</f>
        <v>0</v>
      </c>
      <c r="H9" s="237" t="str">
        <f>IFERROR(VLOOKUP(B9,пр.взв!$B$7:$H$14,7,0),"")</f>
        <v>Худяков ВО</v>
      </c>
      <c r="I9" s="220">
        <v>70</v>
      </c>
      <c r="J9" s="122">
        <f t="shared" si="8"/>
        <v>3</v>
      </c>
      <c r="K9" s="418"/>
      <c r="L9" s="418"/>
      <c r="M9" s="94">
        <v>4</v>
      </c>
      <c r="N9" s="95" t="s">
        <v>67</v>
      </c>
      <c r="O9" s="100">
        <f>SUMIF($K$4:$K$7,"кем",$L$4:$L$7)</f>
        <v>0</v>
      </c>
      <c r="P9" s="100">
        <f ca="1">SUMIF($J$8:$K$9,"кем",$L$6:$L$9)</f>
        <v>0</v>
      </c>
      <c r="Q9" s="101">
        <f>SUMIF($K$10:$K$12,"кем",$L$10:$L$12)</f>
        <v>0</v>
      </c>
      <c r="R9" s="101">
        <f>SUMIF($K$13:$K$16,"кем",$L$13:$L$16)</f>
        <v>0</v>
      </c>
      <c r="T9" s="94">
        <v>4</v>
      </c>
      <c r="U9" s="95" t="str">
        <f>IF(OR(K12=K4,K12=K8,K12=K10)," ",K12)</f>
        <v xml:space="preserve"> </v>
      </c>
      <c r="V9" s="100">
        <f t="shared" si="0"/>
        <v>0</v>
      </c>
      <c r="W9" s="100">
        <f t="shared" ca="1" si="1"/>
        <v>0</v>
      </c>
      <c r="X9" s="101">
        <f t="shared" si="2"/>
        <v>0</v>
      </c>
      <c r="Y9" s="101">
        <f>SUMIF($K$13:$K$16,U9,$L$13:$L$16)</f>
        <v>0</v>
      </c>
      <c r="AA9" t="str">
        <f>IF(OR(U7=" ",U8=" ",U9=" "),U10,U9)</f>
        <v xml:space="preserve"> </v>
      </c>
      <c r="AC9" t="str">
        <f>IF(OR(AA7=" ",AA8=" ",AA9=" "),AA10,AA9)</f>
        <v xml:space="preserve"> </v>
      </c>
      <c r="AD9" s="139">
        <v>4</v>
      </c>
      <c r="AE9" s="140" t="str">
        <f>IF(OR(AC7=" ",AC8=" ",AC9=" "),AC10,AC9)</f>
        <v xml:space="preserve"> </v>
      </c>
      <c r="AF9" s="141">
        <f t="shared" si="3"/>
        <v>0</v>
      </c>
      <c r="AG9" s="141">
        <f t="shared" ca="1" si="4"/>
        <v>0</v>
      </c>
      <c r="AH9" s="141">
        <f t="shared" si="5"/>
        <v>0</v>
      </c>
      <c r="AI9" s="142">
        <f t="shared" si="6"/>
        <v>0</v>
      </c>
      <c r="AK9" s="139">
        <v>4</v>
      </c>
      <c r="AL9" s="140" t="str">
        <f t="shared" si="7"/>
        <v xml:space="preserve"> </v>
      </c>
      <c r="AM9" s="141" t="str">
        <f t="shared" si="7"/>
        <v xml:space="preserve"> </v>
      </c>
      <c r="AN9" s="141" t="str">
        <f t="shared" ca="1" si="7"/>
        <v xml:space="preserve"> </v>
      </c>
      <c r="AO9" s="141" t="str">
        <f t="shared" si="7"/>
        <v xml:space="preserve"> </v>
      </c>
      <c r="AP9" s="142" t="str">
        <f t="shared" si="7"/>
        <v xml:space="preserve"> </v>
      </c>
    </row>
    <row r="10" spans="1:42" ht="24" customHeight="1">
      <c r="A10" s="210" t="s">
        <v>50</v>
      </c>
      <c r="B10" s="227">
        <f>пр.хода!Z21</f>
        <v>1</v>
      </c>
      <c r="C10" s="234" t="str">
        <f>IFERROR(VLOOKUP(B10,пр.взв!$B$7:$H$14,2,0),"")</f>
        <v>Кайтмазов Лазарь Николаевич</v>
      </c>
      <c r="D10" s="235" t="str">
        <f>IFERROR(VLOOKUP(B10,пр.взв!$B$7:$H$14,3,0),"")</f>
        <v>15.11.99, кмс</v>
      </c>
      <c r="E10" s="236" t="str">
        <f>IFERROR(VLOOKUP(B10,пр.взв!$B$7:$H$14,4,0),"")</f>
        <v>М</v>
      </c>
      <c r="F10" s="236" t="str">
        <f>IFERROR(VLOOKUP(B10,пр.взв!$B$7:$H$14,5,0),"")</f>
        <v>Москва, НИУ МГСУ</v>
      </c>
      <c r="G10" s="236">
        <f>IFERROR(VLOOKUP(B10,пр.взв!$B$7:$H$14,6,0),"")</f>
        <v>0</v>
      </c>
      <c r="H10" s="237" t="str">
        <f>IFERROR(VLOOKUP(B10,пр.взв!$B$7:$H$14,7,0),"")</f>
        <v>Гарник В.С. Никишкин В.В.</v>
      </c>
      <c r="I10" s="220">
        <v>50</v>
      </c>
      <c r="J10" s="122" t="str">
        <f t="shared" si="8"/>
        <v>5-6</v>
      </c>
      <c r="K10" s="418" t="str">
        <f>IFERROR(LEFT(F8,FIND(",",F8)-1),F8)</f>
        <v>Москва</v>
      </c>
      <c r="L10" s="418">
        <v>1</v>
      </c>
      <c r="M10" s="93">
        <v>5</v>
      </c>
      <c r="N10" s="95" t="s">
        <v>68</v>
      </c>
      <c r="O10" s="100">
        <f>SUMIF($K$4:$K$7,"кра",$L$4:$L$7)</f>
        <v>0</v>
      </c>
      <c r="P10" s="100">
        <f ca="1">SUMIF($J$8:$K$9,"кра",$L$6:$L$9)</f>
        <v>0</v>
      </c>
      <c r="Q10" s="101">
        <f>SUMIF($K$10:$K$12,"кра",$L$10:$L$12)</f>
        <v>0</v>
      </c>
      <c r="R10" s="101">
        <f>SUMIF($K$13:$K$16,"кра",$L$13:$L$16)</f>
        <v>0</v>
      </c>
      <c r="T10" s="93">
        <v>5</v>
      </c>
      <c r="U10" s="95" t="str">
        <f>IF(OR(K13=K4,K13=K8,K13=K10,K13=K12)," ",K13)</f>
        <v xml:space="preserve"> </v>
      </c>
      <c r="V10" s="100">
        <f t="shared" si="0"/>
        <v>0</v>
      </c>
      <c r="W10" s="100">
        <f t="shared" ca="1" si="1"/>
        <v>0</v>
      </c>
      <c r="X10" s="101">
        <f t="shared" si="2"/>
        <v>0</v>
      </c>
      <c r="Y10" s="101">
        <f>SUMIF($K$13:$K$16,U10,$L$13:$L$16)</f>
        <v>0</v>
      </c>
      <c r="AA10" t="str">
        <f>IF(OR(U7=" ",U8=" ",U9=" ",U10=" "),U11,U10)</f>
        <v xml:space="preserve"> </v>
      </c>
      <c r="AC10" t="str">
        <f>IF(OR(AA7=" ",AA8=" ",AA9=" ")," ",AA10)</f>
        <v xml:space="preserve"> </v>
      </c>
      <c r="AD10" s="143">
        <v>5</v>
      </c>
      <c r="AE10" s="140" t="str">
        <f>IF(OR(AC7=" ",AC8=" ",AC9=" ")," ",AC10)</f>
        <v xml:space="preserve"> </v>
      </c>
      <c r="AF10" s="141">
        <f t="shared" si="3"/>
        <v>0</v>
      </c>
      <c r="AG10" s="141">
        <f t="shared" ca="1" si="4"/>
        <v>0</v>
      </c>
      <c r="AH10" s="141">
        <f t="shared" si="5"/>
        <v>0</v>
      </c>
      <c r="AI10" s="142">
        <f t="shared" si="6"/>
        <v>0</v>
      </c>
      <c r="AK10" s="143">
        <v>5</v>
      </c>
      <c r="AL10" s="140" t="str">
        <f t="shared" si="7"/>
        <v xml:space="preserve"> </v>
      </c>
      <c r="AM10" s="141" t="str">
        <f t="shared" si="7"/>
        <v xml:space="preserve"> </v>
      </c>
      <c r="AN10" s="141" t="str">
        <f t="shared" ca="1" si="7"/>
        <v xml:space="preserve"> </v>
      </c>
      <c r="AO10" s="141" t="str">
        <f t="shared" si="7"/>
        <v xml:space="preserve"> </v>
      </c>
      <c r="AP10" s="142" t="str">
        <f t="shared" si="7"/>
        <v xml:space="preserve"> </v>
      </c>
    </row>
    <row r="11" spans="1:42" ht="24" customHeight="1" thickBot="1">
      <c r="A11" s="210" t="s">
        <v>50</v>
      </c>
      <c r="B11" s="227">
        <f>пр.хода!Z22</f>
        <v>6</v>
      </c>
      <c r="C11" s="234" t="str">
        <f>IFERROR(VLOOKUP(B11,пр.взв!$B$7:$H$14,2,0),"")</f>
        <v>Николаев Андрей Владимирович</v>
      </c>
      <c r="D11" s="235" t="str">
        <f>IFERROR(VLOOKUP(B11,пр.взв!$B$7:$H$14,3,0),"")</f>
        <v>23.10.00, кмс</v>
      </c>
      <c r="E11" s="236" t="str">
        <f>IFERROR(VLOOKUP(B11,пр.взв!$B$7:$H$14,4,0),"")</f>
        <v>ЦФО</v>
      </c>
      <c r="F11" s="236" t="str">
        <f>IFERROR(VLOOKUP(B11,пр.взв!$B$7:$H$14,5,0),"")</f>
        <v>Московская, Дмитров</v>
      </c>
      <c r="G11" s="236">
        <f>IFERROR(VLOOKUP(B11,пр.взв!$B$7:$H$14,6,0),"")</f>
        <v>0</v>
      </c>
      <c r="H11" s="237" t="str">
        <f>IFERROR(VLOOKUP(B11,пр.взв!$B$7:$H$14,7,0),"")</f>
        <v>Бондарь АЮ</v>
      </c>
      <c r="I11" s="220">
        <v>50</v>
      </c>
      <c r="J11" s="122" t="str">
        <f t="shared" si="8"/>
        <v>5-6</v>
      </c>
      <c r="K11" s="418"/>
      <c r="L11" s="418"/>
      <c r="M11" s="94">
        <v>6</v>
      </c>
      <c r="N11" s="95" t="s">
        <v>69</v>
      </c>
      <c r="O11" s="100">
        <f>SUMIF($K$4:$K$7,"нов",$L$4:$L$7)</f>
        <v>0</v>
      </c>
      <c r="P11" s="100">
        <f ca="1">SUMIF($J$8:$K$9,"нов",$L$6:$L$9)</f>
        <v>0</v>
      </c>
      <c r="Q11" s="101">
        <f>SUMIF($K$10:$K$12,"нов",$L$10:$L$12)</f>
        <v>0</v>
      </c>
      <c r="R11" s="101">
        <f>SUMIF($K$13:$K$16,"нов",$L$13:$L$16)</f>
        <v>0</v>
      </c>
      <c r="T11" s="94">
        <v>6</v>
      </c>
      <c r="U11" s="95" t="str">
        <f>IF(OR(K15=K4,K15=K8,K15=K10,K15=K12,K15=K13)," ",K15)</f>
        <v xml:space="preserve"> </v>
      </c>
      <c r="V11" s="100">
        <f t="shared" si="0"/>
        <v>0</v>
      </c>
      <c r="W11" s="100">
        <f t="shared" ca="1" si="1"/>
        <v>0</v>
      </c>
      <c r="X11" s="101">
        <f t="shared" si="2"/>
        <v>0</v>
      </c>
      <c r="Y11" s="101">
        <f>SUMIF($K$13:$K$16,U11,$L$8:$L$16)</f>
        <v>0</v>
      </c>
      <c r="AA11" t="str">
        <f>IF(OR(U7=" ",U8=" ",U9=" ",U10=" ")," ",U11)</f>
        <v xml:space="preserve"> </v>
      </c>
      <c r="AC11" t="str">
        <f>IF(OR(AA7=" ",AA8=" ",AA9=" ",AA10=" ")," ",AA11)</f>
        <v xml:space="preserve"> </v>
      </c>
      <c r="AD11" s="144">
        <v>6</v>
      </c>
      <c r="AE11" s="145" t="str">
        <f>IF(OR(AC7=" ",AC8=" ",AC9=" ",AC10=" ")," ",AC11)</f>
        <v xml:space="preserve"> </v>
      </c>
      <c r="AF11" s="146">
        <f t="shared" si="3"/>
        <v>0</v>
      </c>
      <c r="AG11" s="146">
        <f t="shared" ca="1" si="4"/>
        <v>0</v>
      </c>
      <c r="AH11" s="146">
        <f t="shared" si="5"/>
        <v>0</v>
      </c>
      <c r="AI11" s="147">
        <f t="shared" si="6"/>
        <v>0</v>
      </c>
      <c r="AK11" s="144">
        <v>6</v>
      </c>
      <c r="AL11" s="145" t="str">
        <f t="shared" si="7"/>
        <v xml:space="preserve"> </v>
      </c>
      <c r="AM11" s="146" t="str">
        <f t="shared" si="7"/>
        <v xml:space="preserve"> </v>
      </c>
      <c r="AN11" s="146" t="str">
        <f t="shared" ca="1" si="7"/>
        <v xml:space="preserve"> </v>
      </c>
      <c r="AO11" s="146" t="str">
        <f t="shared" si="7"/>
        <v xml:space="preserve"> </v>
      </c>
      <c r="AP11" s="147" t="str">
        <f t="shared" si="7"/>
        <v xml:space="preserve"> </v>
      </c>
    </row>
    <row r="12" spans="1:42" ht="24" customHeight="1" thickBot="1">
      <c r="A12" s="211" t="s">
        <v>57</v>
      </c>
      <c r="B12" s="228">
        <f>пр.хода!Z23</f>
        <v>3</v>
      </c>
      <c r="C12" s="238" t="str">
        <f>IFERROR(VLOOKUP(B12,пр.взв!$B$7:$H$14,2,0),"")</f>
        <v>Шатохин Сергей Игоревич</v>
      </c>
      <c r="D12" s="239" t="str">
        <f>IFERROR(VLOOKUP(B12,пр.взв!$B$7:$H$14,3,0),"")</f>
        <v>03.01.95, кмс</v>
      </c>
      <c r="E12" s="240" t="str">
        <f>IFERROR(VLOOKUP(B12,пр.взв!$B$7:$H$14,4,0),"")</f>
        <v>М</v>
      </c>
      <c r="F12" s="240" t="str">
        <f>IFERROR(VLOOKUP(B12,пр.взв!$B$7:$H$14,5,0),"")</f>
        <v>Москва, ГБУ СШ "Битца"</v>
      </c>
      <c r="G12" s="240">
        <f>IFERROR(VLOOKUP(B12,пр.взв!$B$7:$H$14,6,0),"")</f>
        <v>0</v>
      </c>
      <c r="H12" s="241" t="str">
        <f>IFERROR(VLOOKUP(B12,пр.взв!$B$7:$H$14,7,0),"")</f>
        <v>Насыров ЕГ</v>
      </c>
      <c r="I12" s="220">
        <v>35</v>
      </c>
      <c r="J12" s="122" t="str">
        <f t="shared" si="8"/>
        <v>7</v>
      </c>
      <c r="K12" s="222" t="str">
        <f>IFERROR(LEFT(F9,FIND(",",F9)-1),F9)</f>
        <v>Московская</v>
      </c>
      <c r="L12" s="222">
        <v>1</v>
      </c>
      <c r="M12" s="93">
        <v>7</v>
      </c>
      <c r="N12" s="95" t="s">
        <v>70</v>
      </c>
      <c r="O12" s="100">
        <f>SUMIF($K$4:$K$7,"омс",$L$4:$L$7)</f>
        <v>0</v>
      </c>
      <c r="P12" s="100">
        <f ca="1">SUMIF($J$8:$K$9,"омс",$L$6:$L$9)</f>
        <v>0</v>
      </c>
      <c r="Q12" s="101">
        <f>SUMIF($K$10:$K$12,"омс",$L$10:$L$12)</f>
        <v>0</v>
      </c>
      <c r="R12" s="101">
        <f>SUMIF($K$13:$K$16,"омс",$L$13:$L$16)</f>
        <v>0</v>
      </c>
      <c r="T12" s="105"/>
      <c r="U12" s="95" t="e">
        <f>IF(OR(K14=K7,K14=K11,K14=#REF!)," ",K14)</f>
        <v>#REF!</v>
      </c>
      <c r="V12" s="107"/>
      <c r="W12" s="107"/>
      <c r="X12" s="108"/>
      <c r="Y12" s="108"/>
      <c r="AD12" s="102"/>
      <c r="AE12" s="103"/>
      <c r="AF12" s="148">
        <f>SUM(AF6:AF11)</f>
        <v>1</v>
      </c>
      <c r="AG12" s="148">
        <f ca="1">SUM(AG6:AG11)</f>
        <v>1</v>
      </c>
      <c r="AH12" s="148">
        <f>SUM(AH6:AH11)</f>
        <v>2</v>
      </c>
      <c r="AI12" s="148">
        <f>SUM(AI6:AI11)</f>
        <v>2</v>
      </c>
      <c r="AK12" s="102"/>
      <c r="AL12" s="103"/>
      <c r="AM12" s="148">
        <f>SUM(AM6:AM11)</f>
        <v>1</v>
      </c>
      <c r="AN12" s="148">
        <f ca="1">SUM(AN6:AN11)</f>
        <v>1</v>
      </c>
      <c r="AO12" s="148">
        <f>SUM(AO6:AO11)</f>
        <v>2</v>
      </c>
      <c r="AP12" s="148">
        <f>SUM(AP6:AP11)</f>
        <v>2</v>
      </c>
    </row>
    <row r="13" spans="1:42" ht="12.75" customHeight="1">
      <c r="A13" s="122"/>
      <c r="B13" s="122"/>
      <c r="C13" s="122"/>
      <c r="D13" s="122"/>
      <c r="E13" s="122"/>
      <c r="F13" s="122"/>
      <c r="G13" s="122"/>
      <c r="H13" s="122"/>
      <c r="I13" s="122"/>
      <c r="J13" s="122"/>
      <c r="K13" s="418" t="str">
        <f>IFERROR(LEFT(F10,FIND(",",F10)-1),F10)</f>
        <v>Москва</v>
      </c>
      <c r="L13" s="418">
        <v>1</v>
      </c>
      <c r="M13" s="93">
        <v>9</v>
      </c>
      <c r="N13" s="95" t="s">
        <v>71</v>
      </c>
      <c r="O13" s="100">
        <f>SUMIF($K$4:$K$7,"р.б",$L$4:$L$7)</f>
        <v>0</v>
      </c>
      <c r="P13" s="100">
        <f ca="1">SUMIF($J$8:$K$9,"р.б",$L$6:$L$9)</f>
        <v>0</v>
      </c>
      <c r="Q13" s="101">
        <f>SUMIF($K$10:$K$12,"р.б",$L$10:$L$12)</f>
        <v>0</v>
      </c>
      <c r="R13" s="101">
        <f>SUMIF($K$13:$K$16,"р.б",$L$13:$L$16)</f>
        <v>0</v>
      </c>
      <c r="T13" s="105"/>
      <c r="U13" s="106"/>
      <c r="V13" s="107"/>
      <c r="W13" s="107"/>
      <c r="X13" s="108"/>
      <c r="Y13" s="108"/>
    </row>
    <row r="14" spans="1:42" ht="15.75">
      <c r="A14" s="122"/>
      <c r="B14" s="122"/>
      <c r="C14" s="122"/>
      <c r="D14" s="122"/>
      <c r="E14" s="122"/>
      <c r="F14" s="122"/>
      <c r="G14" s="122"/>
      <c r="H14" s="122"/>
      <c r="I14" s="122"/>
      <c r="J14" s="122"/>
      <c r="K14" s="418"/>
      <c r="L14" s="418"/>
      <c r="M14" s="94">
        <v>10</v>
      </c>
      <c r="N14" s="95" t="s">
        <v>72</v>
      </c>
      <c r="O14" s="100">
        <f>SUMIF($K$4:$K$7,"р.х",$L$4:$L$7)</f>
        <v>0</v>
      </c>
      <c r="P14" s="100">
        <f ca="1">SUMIF($J$8:$K$9,"р.х",$L$6:$L$9)</f>
        <v>0</v>
      </c>
      <c r="Q14" s="101">
        <f>SUMIF($K$10:$K$12,"р.х",$L$10:$L$12)</f>
        <v>0</v>
      </c>
      <c r="R14" s="101">
        <f>SUMIF($K$13:$K$16,"р.х",$L$13:$L$16)</f>
        <v>0</v>
      </c>
      <c r="T14" s="109"/>
      <c r="U14" s="106"/>
      <c r="V14" s="107"/>
      <c r="W14" s="107"/>
      <c r="X14" s="108"/>
      <c r="Y14" s="108"/>
    </row>
    <row r="15" spans="1:42" ht="12.75" customHeight="1">
      <c r="A15" s="122"/>
      <c r="B15" s="122"/>
      <c r="C15" s="122"/>
      <c r="D15" s="122"/>
      <c r="E15" s="122"/>
      <c r="F15" s="122"/>
      <c r="G15" s="122"/>
      <c r="H15" s="122"/>
      <c r="I15" s="122"/>
      <c r="J15" s="122"/>
      <c r="K15" s="418" t="str">
        <f>IFERROR(LEFT(F11,FIND(",",F11)-1),F11)</f>
        <v>Московская</v>
      </c>
      <c r="L15" s="418">
        <v>1</v>
      </c>
      <c r="M15" s="93">
        <v>11</v>
      </c>
      <c r="N15" s="149" t="s">
        <v>73</v>
      </c>
      <c r="O15" s="100">
        <f>SUMIF($K$4:$K$7,"том",$L$4:$L$7)</f>
        <v>0</v>
      </c>
      <c r="P15" s="100">
        <f ca="1">SUMIF($J$8:$K$9,"том",$L$6:$L$9)</f>
        <v>0</v>
      </c>
      <c r="Q15" s="101">
        <f>SUMIF($K$10:$K$12,"том",$L$10:$L$12)</f>
        <v>0</v>
      </c>
      <c r="R15" s="101">
        <f>SUMIF($K$13:$K$16,"том",$L$13:$L$16)</f>
        <v>0</v>
      </c>
      <c r="T15" s="105"/>
      <c r="U15" s="110"/>
      <c r="V15" s="107"/>
      <c r="W15" s="107"/>
      <c r="X15" s="108"/>
      <c r="Y15" s="108"/>
    </row>
    <row r="16" spans="1:42" ht="4.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122"/>
      <c r="K16" s="418"/>
      <c r="L16" s="418"/>
      <c r="M16" s="94">
        <v>12</v>
      </c>
      <c r="N16" s="149" t="s">
        <v>74</v>
      </c>
      <c r="O16" s="100">
        <f>SUMIF($K$4:$K$7,"Мос",$L$4:$L$7)</f>
        <v>0</v>
      </c>
      <c r="P16" s="100">
        <f ca="1">SUMIF($J$8:$K$9,"Мос",$L$6:$L$9)</f>
        <v>0</v>
      </c>
      <c r="Q16" s="101">
        <f>SUMIF($K$10:$K$12,"Мос",$L$10:$L$12)</f>
        <v>0</v>
      </c>
      <c r="R16" s="101">
        <f>SUMIF($K$13:$K$16,"Мос",$L$13:$L$16)</f>
        <v>0</v>
      </c>
      <c r="T16" s="109"/>
      <c r="U16" s="110"/>
      <c r="V16" s="107"/>
      <c r="W16" s="107"/>
      <c r="X16" s="108"/>
      <c r="Y16" s="108"/>
    </row>
    <row r="17" spans="1:18" ht="12.75" hidden="1" customHeight="1" thickBot="1">
      <c r="A17" s="122"/>
      <c r="B17" s="122"/>
      <c r="C17" s="122"/>
      <c r="D17" s="122"/>
      <c r="E17" s="122"/>
      <c r="F17" s="122"/>
      <c r="G17" s="122"/>
      <c r="H17" s="122"/>
      <c r="I17" s="122"/>
      <c r="J17" s="122"/>
      <c r="M17" s="102"/>
      <c r="N17" s="103"/>
      <c r="O17" s="104">
        <f>SUM(O6:O16)</f>
        <v>1</v>
      </c>
      <c r="P17" s="104">
        <f ca="1">SUM(P6:P16)</f>
        <v>0</v>
      </c>
      <c r="Q17" s="104">
        <f>SUM(Q6:Q16)</f>
        <v>0</v>
      </c>
      <c r="R17" s="104">
        <f>SUM(R6:R16)</f>
        <v>0</v>
      </c>
    </row>
    <row r="18" spans="1:18" ht="12" hidden="1" customHeight="1">
      <c r="A18" s="125"/>
      <c r="B18" s="125"/>
      <c r="C18" s="125"/>
      <c r="D18" s="125"/>
      <c r="E18" s="125"/>
      <c r="F18" s="125"/>
      <c r="G18" s="125"/>
      <c r="H18" s="125"/>
      <c r="I18" s="125"/>
      <c r="J18" s="122"/>
    </row>
    <row r="19" spans="1:18" ht="12.75" hidden="1" customHeight="1">
      <c r="A19" s="126"/>
      <c r="B19" s="126"/>
      <c r="C19" s="126"/>
      <c r="D19" s="125"/>
      <c r="E19" s="125"/>
      <c r="F19" s="125"/>
      <c r="G19" s="125"/>
      <c r="H19" s="125"/>
      <c r="I19" s="125"/>
      <c r="J19" s="122"/>
    </row>
    <row r="20" spans="1:18" ht="19.5" customHeight="1">
      <c r="A20" s="127" t="str">
        <f>[1]реквизиты!$A$6</f>
        <v>Гл. судья, судья ВК</v>
      </c>
      <c r="B20" s="126"/>
      <c r="C20" s="128"/>
      <c r="D20" s="129"/>
      <c r="E20" s="129"/>
      <c r="F20" s="223" t="str">
        <f>[1]реквизиты!$G$6</f>
        <v xml:space="preserve">Н.Н.Малышев </v>
      </c>
      <c r="G20" s="130" t="str">
        <f>[1]реквизиты!$G$6</f>
        <v xml:space="preserve">Н.Н.Малышев </v>
      </c>
      <c r="H20" s="122" t="str">
        <f>[1]реквизиты!$G$7</f>
        <v>/Дубна /</v>
      </c>
      <c r="I20" s="122"/>
      <c r="J20" s="122"/>
    </row>
    <row r="21" spans="1:18" ht="15">
      <c r="A21" s="126"/>
      <c r="B21" s="126"/>
      <c r="C21" s="128"/>
      <c r="D21" s="185"/>
      <c r="E21" s="129"/>
      <c r="F21" s="129"/>
      <c r="G21" s="158" t="str">
        <f>[1]реквизиты!$G$7</f>
        <v>/Дубна /</v>
      </c>
      <c r="H21" s="122"/>
      <c r="I21" s="122"/>
      <c r="J21" s="122"/>
    </row>
    <row r="22" spans="1:18" ht="15">
      <c r="A22" s="126"/>
      <c r="B22" s="126"/>
      <c r="C22" s="128"/>
      <c r="D22" s="129"/>
      <c r="E22" s="129"/>
      <c r="F22" s="129"/>
      <c r="G22" s="125"/>
      <c r="H22" s="122"/>
      <c r="I22" s="122"/>
      <c r="J22" s="122"/>
    </row>
    <row r="23" spans="1:18" ht="15.75">
      <c r="A23" s="127" t="str">
        <f>пр.хода!B33</f>
        <v>Гл. секретарь, судья ВК</v>
      </c>
      <c r="B23" s="126"/>
      <c r="C23" s="128"/>
      <c r="D23" s="186"/>
      <c r="E23" s="129"/>
      <c r="F23" s="223" t="str">
        <f>[1]реквизиты!$G$8</f>
        <v>А.С.Тимошин</v>
      </c>
      <c r="G23" s="130" t="str">
        <f>[1]реквизиты!$G$8</f>
        <v>А.С.Тимошин</v>
      </c>
      <c r="H23" s="122" t="str">
        <f>[1]реквизиты!$G$9</f>
        <v>/Рыбинск/</v>
      </c>
      <c r="I23" s="122"/>
      <c r="J23" s="122"/>
    </row>
    <row r="24" spans="1:18" ht="15">
      <c r="A24" s="126"/>
      <c r="B24" s="126"/>
      <c r="C24" s="126"/>
      <c r="D24" s="129"/>
      <c r="E24" s="129"/>
      <c r="F24" s="129"/>
      <c r="G24" s="158" t="str">
        <f>[1]реквизиты!$G$9</f>
        <v>/Рыбинск/</v>
      </c>
      <c r="H24" s="125"/>
      <c r="I24" s="125"/>
      <c r="J24" s="122"/>
    </row>
    <row r="25" spans="1:18">
      <c r="A25" s="125"/>
      <c r="B25" s="125"/>
      <c r="C25" s="125"/>
      <c r="D25" s="129"/>
      <c r="E25" s="129"/>
      <c r="F25" s="129"/>
      <c r="G25" s="125"/>
      <c r="H25" s="125"/>
      <c r="I25" s="125"/>
      <c r="J25" s="122"/>
    </row>
    <row r="26" spans="1:18">
      <c r="A26" s="122"/>
      <c r="B26" s="122"/>
      <c r="C26" s="122"/>
      <c r="D26" s="123"/>
      <c r="E26" s="123"/>
      <c r="F26" s="123"/>
      <c r="G26" s="122"/>
      <c r="H26" s="122"/>
      <c r="I26" s="122"/>
      <c r="J26" s="122"/>
    </row>
    <row r="27" spans="1:18">
      <c r="A27" s="122"/>
      <c r="B27" s="122"/>
      <c r="C27" s="122"/>
      <c r="D27" s="123"/>
      <c r="E27" s="123"/>
      <c r="F27" s="123"/>
      <c r="G27" s="122"/>
      <c r="H27" s="122"/>
      <c r="I27" s="122"/>
      <c r="J27" s="122"/>
    </row>
    <row r="28" spans="1:18">
      <c r="A28" s="122"/>
      <c r="B28" s="122"/>
      <c r="C28" s="122"/>
      <c r="D28" s="123"/>
      <c r="E28" s="123"/>
      <c r="F28" s="123"/>
      <c r="G28" s="122"/>
      <c r="H28" s="122"/>
      <c r="I28" s="122"/>
      <c r="J28" s="125"/>
      <c r="K28" s="3"/>
      <c r="L28" s="3"/>
    </row>
    <row r="29" spans="1:18">
      <c r="J29" s="125"/>
      <c r="K29" s="3"/>
      <c r="L29" s="3"/>
    </row>
    <row r="30" spans="1:18">
      <c r="J30" s="125"/>
      <c r="K30" s="3"/>
      <c r="L30" s="3"/>
    </row>
    <row r="31" spans="1:18">
      <c r="J31" s="125"/>
      <c r="K31" s="11"/>
      <c r="L31" s="11"/>
    </row>
    <row r="32" spans="1:18">
      <c r="J32" s="122"/>
    </row>
    <row r="33" spans="10:10">
      <c r="J33" s="122"/>
    </row>
    <row r="34" spans="10:10">
      <c r="J34" s="122"/>
    </row>
    <row r="35" spans="10:10">
      <c r="J35" s="122"/>
    </row>
    <row r="36" spans="10:10">
      <c r="J36" s="122"/>
    </row>
  </sheetData>
  <sheetProtection formatCells="0" formatColumns="0" formatRows="0" insertColumns="0" insertRows="0" insertHyperlinks="0" deleteColumns="0" deleteRows="0" sort="0" autoFilter="0" pivotTables="0"/>
  <mergeCells count="37">
    <mergeCell ref="K15:K16"/>
    <mergeCell ref="L15:L16"/>
    <mergeCell ref="M4:M5"/>
    <mergeCell ref="N4:N5"/>
    <mergeCell ref="K8:K9"/>
    <mergeCell ref="L8:L9"/>
    <mergeCell ref="K10:K11"/>
    <mergeCell ref="L10:L11"/>
    <mergeCell ref="K4:K5"/>
    <mergeCell ref="L4:L5"/>
    <mergeCell ref="K6:K7"/>
    <mergeCell ref="L6:L7"/>
    <mergeCell ref="K13:K14"/>
    <mergeCell ref="L13:L14"/>
    <mergeCell ref="A4:A5"/>
    <mergeCell ref="B4:B5"/>
    <mergeCell ref="A1:H1"/>
    <mergeCell ref="H4:H5"/>
    <mergeCell ref="AF4:AI4"/>
    <mergeCell ref="O4:R4"/>
    <mergeCell ref="B2:C2"/>
    <mergeCell ref="D2:H2"/>
    <mergeCell ref="B3:F3"/>
    <mergeCell ref="G3:H3"/>
    <mergeCell ref="C4:C5"/>
    <mergeCell ref="D4:D5"/>
    <mergeCell ref="E4:F5"/>
    <mergeCell ref="G4:G5"/>
    <mergeCell ref="AK4:AK5"/>
    <mergeCell ref="AL4:AL5"/>
    <mergeCell ref="AM4:AP4"/>
    <mergeCell ref="U2:Y2"/>
    <mergeCell ref="T4:T5"/>
    <mergeCell ref="U4:U5"/>
    <mergeCell ref="V4:Y4"/>
    <mergeCell ref="AD4:AD5"/>
    <mergeCell ref="AE4:AE5"/>
  </mergeCells>
  <phoneticPr fontId="0" type="noConversion"/>
  <conditionalFormatting sqref="G6:G12">
    <cfRule type="cellIs" dxfId="1" priority="2" operator="equal">
      <formula>0</formula>
    </cfRule>
  </conditionalFormatting>
  <conditionalFormatting sqref="F6:F12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5" orientation="portrait" verticalDpi="300" r:id="rId1"/>
  <headerFooter alignWithMargins="0"/>
  <ignoredErrors>
    <ignoredError sqref="B7:H12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  <pageSetUpPr fitToPage="1"/>
  </sheetPr>
  <dimension ref="A1:J47"/>
  <sheetViews>
    <sheetView topLeftCell="A22" workbookViewId="0">
      <selection activeCell="A29" sqref="A29:I38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hidden="1" customWidth="1"/>
    <col min="6" max="6" width="18.42578125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41" t="str">
        <f>пр.хода!C3</f>
        <v>Всероссийские соревнования по спортивному и боевому самбо среди мужчин на призы УФСИН России</v>
      </c>
      <c r="B1" s="442"/>
      <c r="C1" s="442"/>
      <c r="D1" s="442"/>
      <c r="E1" s="442"/>
      <c r="F1" s="442"/>
      <c r="G1" s="442"/>
      <c r="H1" s="442"/>
      <c r="I1" s="442"/>
    </row>
    <row r="2" spans="1:9" ht="27.75" customHeight="1">
      <c r="D2" s="44"/>
      <c r="E2" s="44"/>
      <c r="F2" s="51" t="str">
        <f>HYPERLINK(пр.взв!D4)</f>
        <v>В.к. 100+  кг.</v>
      </c>
    </row>
    <row r="3" spans="1:9">
      <c r="C3" s="10" t="s">
        <v>21</v>
      </c>
    </row>
    <row r="4" spans="1:9">
      <c r="C4" s="42" t="s">
        <v>11</v>
      </c>
    </row>
    <row r="5" spans="1:9">
      <c r="A5" s="250" t="s">
        <v>12</v>
      </c>
      <c r="B5" s="250" t="s">
        <v>4</v>
      </c>
      <c r="C5" s="434" t="s">
        <v>5</v>
      </c>
      <c r="D5" s="250" t="s">
        <v>13</v>
      </c>
      <c r="E5" s="422" t="s">
        <v>14</v>
      </c>
      <c r="F5" s="423"/>
      <c r="G5" s="250" t="s">
        <v>15</v>
      </c>
      <c r="H5" s="250" t="s">
        <v>16</v>
      </c>
      <c r="I5" s="250" t="s">
        <v>17</v>
      </c>
    </row>
    <row r="6" spans="1:9">
      <c r="A6" s="251"/>
      <c r="B6" s="251"/>
      <c r="C6" s="251"/>
      <c r="D6" s="251"/>
      <c r="E6" s="424"/>
      <c r="F6" s="425"/>
      <c r="G6" s="251"/>
      <c r="H6" s="251"/>
      <c r="I6" s="251"/>
    </row>
    <row r="7" spans="1:9">
      <c r="A7" s="435"/>
      <c r="B7" s="436">
        <f>пр.хода!C22</f>
        <v>1</v>
      </c>
      <c r="C7" s="437" t="str">
        <f>IFERROR(VLOOKUP(B7,пр.взв!$B$7:$H$14,2,0),"")</f>
        <v>Кайтмазов Лазарь Николаевич</v>
      </c>
      <c r="D7" s="426" t="str">
        <f>IFERROR(VLOOKUP(B7,пр.взв!$B$7:$H$14,3,0),"")</f>
        <v>15.11.99, кмс</v>
      </c>
      <c r="E7" s="430" t="str">
        <f>IFERROR(VLOOKUP(B7,пр.взв!$B$7:$H$14,4,0),"")</f>
        <v>М</v>
      </c>
      <c r="F7" s="426" t="str">
        <f>IFERROR(VLOOKUP(B7,пр.взв!$B$7:$H$14,5,0),"")</f>
        <v>Москва, НИУ МГСУ</v>
      </c>
      <c r="G7" s="433"/>
      <c r="H7" s="370"/>
      <c r="I7" s="250"/>
    </row>
    <row r="8" spans="1:9">
      <c r="A8" s="435"/>
      <c r="B8" s="250"/>
      <c r="C8" s="438"/>
      <c r="D8" s="427"/>
      <c r="E8" s="431"/>
      <c r="F8" s="432"/>
      <c r="G8" s="433"/>
      <c r="H8" s="370"/>
      <c r="I8" s="250"/>
    </row>
    <row r="9" spans="1:9" ht="12.6" customHeight="1">
      <c r="A9" s="439"/>
      <c r="B9" s="436">
        <f>пр.хода!B27</f>
        <v>4</v>
      </c>
      <c r="C9" s="437" t="str">
        <f>IFERROR(VLOOKUP(B9,пр.взв!$B$7:$H$14,2,0),"")</f>
        <v>Ефимов Владимир Владимирович</v>
      </c>
      <c r="D9" s="426" t="str">
        <f>IFERROR(VLOOKUP(B9,пр.взв!$B$7:$H$14,3,0),"")</f>
        <v>28.01.95, кмс</v>
      </c>
      <c r="E9" s="426" t="str">
        <f>IFERROR(VLOOKUP(B9,пр.взв!$B$7:$H$14,4,0),"")</f>
        <v>М</v>
      </c>
      <c r="F9" s="426" t="str">
        <f>IFERROR(VLOOKUP(B9,пр.взв!$B$7:$H$14,5,0),"")</f>
        <v>Москва, НИУ МГСУ</v>
      </c>
      <c r="G9" s="433"/>
      <c r="H9" s="250"/>
      <c r="I9" s="250"/>
    </row>
    <row r="10" spans="1:9" ht="12.6" customHeight="1">
      <c r="A10" s="439"/>
      <c r="B10" s="250"/>
      <c r="C10" s="438"/>
      <c r="D10" s="427"/>
      <c r="E10" s="427"/>
      <c r="F10" s="427"/>
      <c r="G10" s="433"/>
      <c r="H10" s="250"/>
      <c r="I10" s="250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100+  кг.</v>
      </c>
    </row>
    <row r="17" spans="1:10">
      <c r="A17" s="250" t="s">
        <v>12</v>
      </c>
      <c r="B17" s="250" t="s">
        <v>4</v>
      </c>
      <c r="C17" s="434" t="s">
        <v>5</v>
      </c>
      <c r="D17" s="250" t="s">
        <v>13</v>
      </c>
      <c r="E17" s="422" t="s">
        <v>14</v>
      </c>
      <c r="F17" s="423"/>
      <c r="G17" s="250" t="s">
        <v>15</v>
      </c>
      <c r="H17" s="250" t="s">
        <v>16</v>
      </c>
      <c r="I17" s="250" t="s">
        <v>17</v>
      </c>
    </row>
    <row r="18" spans="1:10">
      <c r="A18" s="251"/>
      <c r="B18" s="251"/>
      <c r="C18" s="251"/>
      <c r="D18" s="251"/>
      <c r="E18" s="424"/>
      <c r="F18" s="425"/>
      <c r="G18" s="251"/>
      <c r="H18" s="251"/>
      <c r="I18" s="251"/>
    </row>
    <row r="19" spans="1:10" ht="12.75" customHeight="1">
      <c r="A19" s="435"/>
      <c r="B19" s="440">
        <f>пр.хода!R22</f>
        <v>6</v>
      </c>
      <c r="C19" s="437" t="str">
        <f>IFERROR(VLOOKUP(B19,пр.взв!$B$7:$H$14,2,0),"")</f>
        <v>Николаев Андрей Владимирович</v>
      </c>
      <c r="D19" s="426" t="str">
        <f>IFERROR(VLOOKUP(B19,пр.взв!$B$7:$H$14,3,0),"")</f>
        <v>23.10.00, кмс</v>
      </c>
      <c r="E19" s="430" t="str">
        <f>IFERROR(VLOOKUP(B19,пр.взв!$B$7:$H$14,4,0),"")</f>
        <v>ЦФО</v>
      </c>
      <c r="F19" s="426" t="str">
        <f>IFERROR(VLOOKUP(B19,пр.взв!$B$7:$H$14,5,0),"")</f>
        <v>Московская, Дмитров</v>
      </c>
      <c r="G19" s="360"/>
      <c r="H19" s="370"/>
      <c r="I19" s="250"/>
    </row>
    <row r="20" spans="1:10" ht="12.6" customHeight="1">
      <c r="A20" s="435"/>
      <c r="B20" s="250"/>
      <c r="C20" s="438"/>
      <c r="D20" s="427"/>
      <c r="E20" s="431"/>
      <c r="F20" s="432"/>
      <c r="G20" s="360"/>
      <c r="H20" s="370"/>
      <c r="I20" s="250"/>
    </row>
    <row r="21" spans="1:10" ht="12.75" customHeight="1">
      <c r="A21" s="439"/>
      <c r="B21" s="436">
        <f>пр.хода!S27</f>
        <v>5</v>
      </c>
      <c r="C21" s="437" t="str">
        <f>IFERROR(VLOOKUP(B21,пр.взв!$B$7:$H$14,2,0),"")</f>
        <v>Тимченко Илья Сергеевич</v>
      </c>
      <c r="D21" s="426" t="str">
        <f>IFERROR(VLOOKUP(B21,пр.взв!$B$7:$H$14,3,0),"")</f>
        <v>28.03.84, кмс</v>
      </c>
      <c r="E21" s="426" t="str">
        <f>IFERROR(VLOOKUP(B21,пр.взв!$B$7:$H$14,4,0),"")</f>
        <v>ЦФО</v>
      </c>
      <c r="F21" s="426" t="str">
        <f>IFERROR(VLOOKUP(B21,пр.взв!$B$7:$H$14,5,0),"")</f>
        <v>Московская, Люберцы</v>
      </c>
      <c r="G21" s="360"/>
      <c r="H21" s="250"/>
      <c r="I21" s="250"/>
    </row>
    <row r="22" spans="1:10" ht="12.6" customHeight="1">
      <c r="A22" s="439"/>
      <c r="B22" s="250"/>
      <c r="C22" s="438"/>
      <c r="D22" s="427"/>
      <c r="E22" s="427"/>
      <c r="F22" s="427"/>
      <c r="G22" s="360"/>
      <c r="H22" s="250"/>
      <c r="I22" s="250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100+  кг.</v>
      </c>
    </row>
    <row r="30" spans="1:10">
      <c r="A30" s="250" t="s">
        <v>12</v>
      </c>
      <c r="B30" s="250" t="s">
        <v>4</v>
      </c>
      <c r="C30" s="434" t="s">
        <v>5</v>
      </c>
      <c r="D30" s="250" t="s">
        <v>13</v>
      </c>
      <c r="E30" s="422" t="s">
        <v>14</v>
      </c>
      <c r="F30" s="423"/>
      <c r="G30" s="250" t="s">
        <v>15</v>
      </c>
      <c r="H30" s="250" t="s">
        <v>16</v>
      </c>
      <c r="I30" s="250" t="s">
        <v>17</v>
      </c>
    </row>
    <row r="31" spans="1:10">
      <c r="A31" s="251"/>
      <c r="B31" s="251"/>
      <c r="C31" s="251"/>
      <c r="D31" s="251"/>
      <c r="E31" s="428"/>
      <c r="F31" s="429"/>
      <c r="G31" s="251"/>
      <c r="H31" s="251"/>
      <c r="I31" s="251"/>
    </row>
    <row r="32" spans="1:10" ht="12.75" customHeight="1">
      <c r="A32" s="435"/>
      <c r="B32" s="440">
        <f>пр.хода!G11</f>
        <v>7</v>
      </c>
      <c r="C32" s="437" t="str">
        <f>IFERROR(VLOOKUP(B32,пр.взв!$B$7:$H$14,2,0),"")</f>
        <v>Семенков Николай Андреевич</v>
      </c>
      <c r="D32" s="426" t="str">
        <f>IFERROR(VLOOKUP(B32,пр.взв!$B$7:$H$14,3,0),"")</f>
        <v>08.07.99, кмс</v>
      </c>
      <c r="E32" s="430" t="str">
        <f>IFERROR(VLOOKUP(B32,пр.взв!$B$7:$H$14,4,0),"")</f>
        <v>ЦФО</v>
      </c>
      <c r="F32" s="426" t="str">
        <f>IFERROR(VLOOKUP(B32,пр.взв!$B$7:$H$14,5,0),"")</f>
        <v>Московская, Зеленоград</v>
      </c>
      <c r="G32" s="360"/>
      <c r="H32" s="370"/>
      <c r="I32" s="250"/>
    </row>
    <row r="33" spans="1:9" ht="12.6" customHeight="1">
      <c r="A33" s="435"/>
      <c r="B33" s="250"/>
      <c r="C33" s="438"/>
      <c r="D33" s="427"/>
      <c r="E33" s="431"/>
      <c r="F33" s="432"/>
      <c r="G33" s="360"/>
      <c r="H33" s="370"/>
      <c r="I33" s="250"/>
    </row>
    <row r="34" spans="1:9" ht="12.75" customHeight="1">
      <c r="A34" s="439"/>
      <c r="B34" s="440">
        <f>пр.хода!O11</f>
        <v>2</v>
      </c>
      <c r="C34" s="437" t="str">
        <f>IFERROR(VLOOKUP(B34,пр.взв!$B$7:$H$14,2,0),"")</f>
        <v>Магеррамов Кенан Бабек оглы</v>
      </c>
      <c r="D34" s="426" t="str">
        <f>IFERROR(VLOOKUP(B34,пр.взв!$B$7:$H$14,3,0),"")</f>
        <v>06.03.99, кмс</v>
      </c>
      <c r="E34" s="426" t="str">
        <f>IFERROR(VLOOKUP(B34,пр.взв!$B$7:$H$14,4,0),"")</f>
        <v>ЦФО</v>
      </c>
      <c r="F34" s="426" t="str">
        <f>IFERROR(VLOOKUP(B34,пр.взв!$B$7:$H$14,5,0),"")</f>
        <v>Тверская, Тверь</v>
      </c>
      <c r="G34" s="360"/>
      <c r="H34" s="250"/>
      <c r="I34" s="250"/>
    </row>
    <row r="35" spans="1:9" ht="12.6" customHeight="1">
      <c r="A35" s="439"/>
      <c r="B35" s="250"/>
      <c r="C35" s="438"/>
      <c r="D35" s="427"/>
      <c r="E35" s="427"/>
      <c r="F35" s="427"/>
      <c r="G35" s="360"/>
      <c r="H35" s="250"/>
      <c r="I35" s="250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  <pageSetUpPr fitToPage="1"/>
  </sheetPr>
  <dimension ref="A1:J44"/>
  <sheetViews>
    <sheetView topLeftCell="A20" workbookViewId="0">
      <selection sqref="A1:H38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276" t="str">
        <f>пр.взв!B2</f>
        <v>Всероссийские соревнования по спортивному и боевому самбо среди мужчин на призы УФСИН России</v>
      </c>
      <c r="B1" s="277"/>
      <c r="C1" s="277"/>
      <c r="D1" s="277"/>
      <c r="E1" s="277"/>
      <c r="F1" s="277"/>
      <c r="G1" s="277"/>
      <c r="H1" s="278"/>
    </row>
    <row r="2" spans="1:10">
      <c r="A2" s="461" t="str">
        <f>пр.взв!A3</f>
        <v>20-22 апреля 2019 г           г.Тверь</v>
      </c>
      <c r="B2" s="461"/>
      <c r="C2" s="461"/>
      <c r="D2" s="461"/>
      <c r="E2" s="461"/>
      <c r="F2" s="461"/>
      <c r="G2" s="461"/>
      <c r="H2" s="461"/>
    </row>
    <row r="3" spans="1:10" ht="18.75" thickBot="1">
      <c r="A3" s="462" t="s">
        <v>44</v>
      </c>
      <c r="B3" s="462"/>
      <c r="C3" s="462"/>
      <c r="D3" s="462"/>
      <c r="E3" s="462"/>
      <c r="F3" s="462"/>
      <c r="G3" s="462"/>
      <c r="H3" s="462"/>
    </row>
    <row r="4" spans="1:10" ht="18.75" thickBot="1">
      <c r="B4" s="74"/>
      <c r="C4" s="75"/>
      <c r="D4" s="463" t="str">
        <f>пр.взв!D4</f>
        <v>В.к. 100+  кг.</v>
      </c>
      <c r="E4" s="464"/>
      <c r="F4" s="465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66" t="s">
        <v>45</v>
      </c>
      <c r="B6" s="452" t="str">
        <f>IFERROR(VLOOKUP(J6,пр.взв!$B$7:$H$14,2,0),"")</f>
        <v>Магеррамов Кенан Бабек оглы</v>
      </c>
      <c r="C6" s="452"/>
      <c r="D6" s="452"/>
      <c r="E6" s="452"/>
      <c r="F6" s="452"/>
      <c r="G6" s="452"/>
      <c r="H6" s="454" t="str">
        <f>IFERROR(VLOOKUP(J6,пр.взв!$B$7:$H$14,3,0),"")</f>
        <v>06.03.99, кмс</v>
      </c>
      <c r="I6" s="75"/>
      <c r="J6" s="76">
        <f>Ит.пр!B6</f>
        <v>2</v>
      </c>
    </row>
    <row r="7" spans="1:10" ht="18">
      <c r="A7" s="467"/>
      <c r="B7" s="453"/>
      <c r="C7" s="453"/>
      <c r="D7" s="453"/>
      <c r="E7" s="453"/>
      <c r="F7" s="453"/>
      <c r="G7" s="453"/>
      <c r="H7" s="455"/>
      <c r="I7" s="75"/>
      <c r="J7" s="76"/>
    </row>
    <row r="8" spans="1:10" ht="18">
      <c r="A8" s="467"/>
      <c r="B8" s="459" t="str">
        <f>IFERROR(VLOOKUP(J6,пр.взв!$B$7:$H$14,4,0),"")</f>
        <v>ЦФО</v>
      </c>
      <c r="C8" s="459"/>
      <c r="D8" s="459"/>
      <c r="E8" s="459" t="str">
        <f>IFERROR(VLOOKUP(J6,пр.взв!$B$7:$H$14,5,0),"")</f>
        <v>Тверская, Тверь</v>
      </c>
      <c r="F8" s="459"/>
      <c r="G8" s="459"/>
      <c r="H8" s="460"/>
      <c r="I8" s="75"/>
      <c r="J8" s="76"/>
    </row>
    <row r="9" spans="1:10" ht="18.75" thickBot="1">
      <c r="A9" s="468"/>
      <c r="B9" s="447"/>
      <c r="C9" s="447"/>
      <c r="D9" s="447"/>
      <c r="E9" s="447"/>
      <c r="F9" s="447"/>
      <c r="G9" s="447"/>
      <c r="H9" s="448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49" t="s">
        <v>46</v>
      </c>
      <c r="B11" s="452" t="str">
        <f>IFERROR(VLOOKUP(J11,пр.взв!$B$7:$H$14,2,0),"")</f>
        <v>Семенков Николай Андреевич</v>
      </c>
      <c r="C11" s="452"/>
      <c r="D11" s="452"/>
      <c r="E11" s="452"/>
      <c r="F11" s="452"/>
      <c r="G11" s="452"/>
      <c r="H11" s="454" t="str">
        <f>IFERROR(VLOOKUP(J11,пр.взв!$B$7:$H$14,3,0),"")</f>
        <v>08.07.99, кмс</v>
      </c>
      <c r="I11" s="75"/>
      <c r="J11" s="76">
        <f>Ит.пр!B7</f>
        <v>7</v>
      </c>
    </row>
    <row r="12" spans="1:10" ht="18" customHeight="1">
      <c r="A12" s="450"/>
      <c r="B12" s="453"/>
      <c r="C12" s="453"/>
      <c r="D12" s="453"/>
      <c r="E12" s="453"/>
      <c r="F12" s="453"/>
      <c r="G12" s="453"/>
      <c r="H12" s="455"/>
      <c r="I12" s="75"/>
      <c r="J12" s="76"/>
    </row>
    <row r="13" spans="1:10" ht="18">
      <c r="A13" s="450"/>
      <c r="B13" s="459" t="str">
        <f>IFERROR(VLOOKUP(J11,пр.взв!$B$7:$H$14,4,0),"")</f>
        <v>ЦФО</v>
      </c>
      <c r="C13" s="459"/>
      <c r="D13" s="459"/>
      <c r="E13" s="459" t="str">
        <f>IFERROR(VLOOKUP(J11,пр.взв!$B$7:$H$14,5,0),"")</f>
        <v>Московская, Зеленоград</v>
      </c>
      <c r="F13" s="459"/>
      <c r="G13" s="459"/>
      <c r="H13" s="460"/>
      <c r="I13" s="75"/>
      <c r="J13" s="76"/>
    </row>
    <row r="14" spans="1:10" ht="18.75" thickBot="1">
      <c r="A14" s="451"/>
      <c r="B14" s="447"/>
      <c r="C14" s="447"/>
      <c r="D14" s="447"/>
      <c r="E14" s="447"/>
      <c r="F14" s="447"/>
      <c r="G14" s="447"/>
      <c r="H14" s="448"/>
      <c r="I14" s="75"/>
      <c r="J14" s="76"/>
    </row>
    <row r="15" spans="1:10" ht="18.75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56" t="s">
        <v>47</v>
      </c>
      <c r="B16" s="452" t="str">
        <f>IFERROR(VLOOKUP(J16,пр.взв!$B$7:$H$14,2,0),"")</f>
        <v>Ефимов Владимир Владимирович</v>
      </c>
      <c r="C16" s="452"/>
      <c r="D16" s="452"/>
      <c r="E16" s="452"/>
      <c r="F16" s="452"/>
      <c r="G16" s="452"/>
      <c r="H16" s="454" t="str">
        <f>IFERROR(VLOOKUP(J16,пр.взв!$B$7:$H$14,3,0),"")</f>
        <v>28.01.95, кмс</v>
      </c>
      <c r="I16" s="75"/>
      <c r="J16" s="76">
        <f>Ит.пр!B8</f>
        <v>4</v>
      </c>
    </row>
    <row r="17" spans="1:10" ht="18" customHeight="1">
      <c r="A17" s="457"/>
      <c r="B17" s="453"/>
      <c r="C17" s="453"/>
      <c r="D17" s="453"/>
      <c r="E17" s="453"/>
      <c r="F17" s="453"/>
      <c r="G17" s="453"/>
      <c r="H17" s="455"/>
      <c r="I17" s="75"/>
      <c r="J17" s="76"/>
    </row>
    <row r="18" spans="1:10" ht="18">
      <c r="A18" s="457"/>
      <c r="B18" s="459" t="str">
        <f>IFERROR(VLOOKUP(J16,пр.взв!$B$7:$H$14,4,0),"")</f>
        <v>М</v>
      </c>
      <c r="C18" s="459"/>
      <c r="D18" s="459"/>
      <c r="E18" s="459" t="str">
        <f>IFERROR(VLOOKUP(J16,пр.взв!$B$7:$H$14,5,0),"")</f>
        <v>Москва, НИУ МГСУ</v>
      </c>
      <c r="F18" s="459"/>
      <c r="G18" s="459"/>
      <c r="H18" s="460"/>
      <c r="I18" s="75"/>
      <c r="J18" s="76"/>
    </row>
    <row r="19" spans="1:10" ht="18.75" thickBot="1">
      <c r="A19" s="458"/>
      <c r="B19" s="447"/>
      <c r="C19" s="447"/>
      <c r="D19" s="447"/>
      <c r="E19" s="447"/>
      <c r="F19" s="447"/>
      <c r="G19" s="447"/>
      <c r="H19" s="448"/>
      <c r="I19" s="75"/>
      <c r="J19" s="76"/>
    </row>
    <row r="20" spans="1:10" ht="18.75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56" t="s">
        <v>47</v>
      </c>
      <c r="B21" s="452" t="str">
        <f>IFERROR(VLOOKUP(J21,пр.взв!$B$7:$H$14,2,0),"")</f>
        <v>Тимченко Илья Сергеевич</v>
      </c>
      <c r="C21" s="452"/>
      <c r="D21" s="452"/>
      <c r="E21" s="452"/>
      <c r="F21" s="452"/>
      <c r="G21" s="452"/>
      <c r="H21" s="454" t="str">
        <f>IFERROR(VLOOKUP(J21,пр.взв!$B$7:$H$14,3,0),"")</f>
        <v>28.03.84, кмс</v>
      </c>
      <c r="I21" s="75"/>
      <c r="J21" s="76">
        <f>Ит.пр!B9</f>
        <v>5</v>
      </c>
    </row>
    <row r="22" spans="1:10" ht="18" customHeight="1">
      <c r="A22" s="457"/>
      <c r="B22" s="453"/>
      <c r="C22" s="453"/>
      <c r="D22" s="453"/>
      <c r="E22" s="453"/>
      <c r="F22" s="453"/>
      <c r="G22" s="453"/>
      <c r="H22" s="455"/>
      <c r="I22" s="75"/>
      <c r="J22" s="76"/>
    </row>
    <row r="23" spans="1:10" ht="18">
      <c r="A23" s="457"/>
      <c r="B23" s="459" t="str">
        <f>IFERROR(VLOOKUP(J21,пр.взв!$B$7:$H$14,4,0),"")</f>
        <v>ЦФО</v>
      </c>
      <c r="C23" s="459"/>
      <c r="D23" s="459"/>
      <c r="E23" s="459" t="str">
        <f>IFERROR(VLOOKUP(J21,пр.взв!$B$7:$H$14,5,0),"")</f>
        <v>Московская, Люберцы</v>
      </c>
      <c r="F23" s="459"/>
      <c r="G23" s="459"/>
      <c r="H23" s="460"/>
      <c r="I23" s="75"/>
    </row>
    <row r="24" spans="1:10" ht="18.75" thickBot="1">
      <c r="A24" s="458"/>
      <c r="B24" s="447"/>
      <c r="C24" s="447"/>
      <c r="D24" s="447"/>
      <c r="E24" s="447"/>
      <c r="F24" s="447"/>
      <c r="G24" s="447"/>
      <c r="H24" s="448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48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43" t="str">
        <f>IFERROR(VLOOKUP(J28,пр.взв!$B$7:$H$14,7,0),"")</f>
        <v>Булатов ВИ Булатов ИВ</v>
      </c>
      <c r="B28" s="444"/>
      <c r="C28" s="444"/>
      <c r="D28" s="444"/>
      <c r="E28" s="444"/>
      <c r="F28" s="444"/>
      <c r="G28" s="444"/>
      <c r="H28" s="445"/>
      <c r="J28">
        <f>J6</f>
        <v>2</v>
      </c>
    </row>
    <row r="29" spans="1:10" ht="13.5" thickBot="1">
      <c r="A29" s="446"/>
      <c r="B29" s="447"/>
      <c r="C29" s="447"/>
      <c r="D29" s="447"/>
      <c r="E29" s="447"/>
      <c r="F29" s="447"/>
      <c r="G29" s="447"/>
      <c r="H29" s="448"/>
    </row>
    <row r="31" spans="1:10" hidden="1"/>
    <row r="32" spans="1:10" hidden="1"/>
    <row r="33" spans="1:8" hidden="1"/>
    <row r="34" spans="1:8" ht="9.75" hidden="1" customHeight="1"/>
    <row r="36" spans="1:8" ht="18">
      <c r="A36" s="75" t="s">
        <v>49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scale="8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70" t="s">
        <v>22</v>
      </c>
      <c r="D1" s="471"/>
      <c r="E1" s="471"/>
      <c r="F1" s="471"/>
      <c r="G1" s="471"/>
      <c r="H1" s="471"/>
      <c r="I1" s="471"/>
      <c r="J1" s="472"/>
    </row>
    <row r="2" spans="1:36" ht="26.25" customHeight="1" thickBot="1">
      <c r="A2" s="5"/>
      <c r="B2" s="5"/>
      <c r="C2" s="474" t="str">
        <f>пр.хода!C3</f>
        <v>Всероссийские соревнования по спортивному и боевому самбо среди мужчин на призы УФСИН России</v>
      </c>
      <c r="D2" s="475"/>
      <c r="E2" s="475"/>
      <c r="F2" s="475"/>
      <c r="G2" s="475"/>
      <c r="H2" s="475"/>
      <c r="I2" s="475"/>
      <c r="J2" s="476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73" t="str">
        <f>пр.хода!C4</f>
        <v>20-22 апреля 2019 г           г.Тверь</v>
      </c>
      <c r="C3" s="473"/>
      <c r="D3" s="473"/>
      <c r="E3" s="473"/>
      <c r="F3" s="473"/>
      <c r="G3" s="473"/>
      <c r="H3" s="473"/>
      <c r="I3" s="473"/>
      <c r="J3" s="473"/>
      <c r="K3" s="473"/>
      <c r="L3" s="473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100+  кг.</v>
      </c>
      <c r="G4" s="50"/>
      <c r="H4" s="50"/>
      <c r="I4" s="50"/>
      <c r="J4" s="50"/>
      <c r="K4" s="50"/>
      <c r="L4" s="49"/>
      <c r="M4" s="49"/>
    </row>
    <row r="5" spans="1:36" ht="16.5" thickBot="1">
      <c r="A5" s="307" t="s">
        <v>0</v>
      </c>
      <c r="B5" s="307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308">
        <v>1</v>
      </c>
      <c r="B6" s="305" t="str">
        <f>VLOOKUP('стартвый '!A6:A7,пр.взв!B6:C14,2,FALSE)</f>
        <v>Кайтмазов Лазарь Николаевич</v>
      </c>
      <c r="C6" s="303" t="str">
        <f>VLOOKUP(A6,пр.взв!B6:H14,3,FALSE)</f>
        <v>15.11.99, кмс</v>
      </c>
      <c r="D6" s="303" t="str">
        <f>VLOOKUP(A6,пр.взв!B6:H14,5,FALSE)</f>
        <v>Москва, НИУ МГСУ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309"/>
      <c r="B7" s="306"/>
      <c r="C7" s="304"/>
      <c r="D7" s="304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320">
        <v>5</v>
      </c>
      <c r="B8" s="281" t="str">
        <f>VLOOKUP('стартвый '!A8:A9,пр.взв!B8:C14,2,FALSE)</f>
        <v>Тимченко Илья Сергеевич</v>
      </c>
      <c r="C8" s="293" t="str">
        <f>VLOOKUP(A8,пр.взв!B6:H14,3,FALSE)</f>
        <v>28.03.84, кмс</v>
      </c>
      <c r="D8" s="293" t="str">
        <f>VLOOKUP(A8,пр.взв!B6:H14,5,FALSE)</f>
        <v>Московская, Люберцы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309"/>
      <c r="B9" s="306"/>
      <c r="C9" s="304"/>
      <c r="D9" s="304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308">
        <v>3</v>
      </c>
      <c r="B10" s="305" t="e">
        <f>VLOOKUP('стартвый '!A10:A11,пр.взв!B10:C14,2,FALSE)</f>
        <v>#N/A</v>
      </c>
      <c r="C10" s="303" t="str">
        <f>VLOOKUP(A10,пр.взв!B6:H14,3,FALSE)</f>
        <v>03.01.95, кмс</v>
      </c>
      <c r="D10" s="303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309"/>
      <c r="B11" s="306"/>
      <c r="C11" s="304"/>
      <c r="D11" s="304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320">
        <v>7</v>
      </c>
      <c r="B12" s="281" t="str">
        <f>VLOOKUP('стартвый '!A12:A13,пр.взв!B12:C14,2,FALSE)</f>
        <v>Семенков Николай Андреевич</v>
      </c>
      <c r="C12" s="293" t="str">
        <f>VLOOKUP(A12,пр.взв!B6:H14,3,FALSE)</f>
        <v>08.07.99, кмс</v>
      </c>
      <c r="D12" s="293" t="str">
        <f>VLOOKUP(A12,пр.взв!B10:H14,5,FALSE)</f>
        <v>Московская, Зеленоград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331"/>
      <c r="B13" s="469"/>
      <c r="C13" s="321"/>
      <c r="D13" s="321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307" t="s">
        <v>1</v>
      </c>
      <c r="B16" s="307"/>
      <c r="E16" s="17"/>
      <c r="F16" s="17"/>
      <c r="G16" s="17"/>
      <c r="H16" s="17"/>
      <c r="I16" s="39"/>
      <c r="J16" s="3"/>
    </row>
    <row r="17" spans="1:12" ht="13.5" thickBot="1">
      <c r="A17" s="308">
        <v>2</v>
      </c>
      <c r="B17" s="305" t="str">
        <f>VLOOKUP(A17,пр.взв!B7:H14,2,FALSE)</f>
        <v>Магеррамов Кенан Бабек оглы</v>
      </c>
      <c r="C17" s="303" t="str">
        <f>VLOOKUP(A17,пр.взв!B7:H14,3,FALSE)</f>
        <v>06.03.99, кмс</v>
      </c>
      <c r="D17" s="303" t="str">
        <f>VLOOKUP(A17,пр.взв!B7:H14,5,FALSE)</f>
        <v>Тверская, Тверь</v>
      </c>
      <c r="E17" s="17"/>
      <c r="F17" s="17"/>
      <c r="G17" s="17"/>
      <c r="H17" s="17"/>
      <c r="I17" s="32"/>
      <c r="J17" s="3"/>
    </row>
    <row r="18" spans="1:12">
      <c r="A18" s="309"/>
      <c r="B18" s="306"/>
      <c r="C18" s="304"/>
      <c r="D18" s="304"/>
      <c r="E18" s="19"/>
      <c r="F18" s="17"/>
      <c r="G18" s="24"/>
      <c r="H18" s="21"/>
      <c r="I18" s="32"/>
      <c r="J18" s="3"/>
    </row>
    <row r="19" spans="1:12" ht="13.5" thickBot="1">
      <c r="A19" s="320">
        <v>6</v>
      </c>
      <c r="B19" s="281" t="str">
        <f>VLOOKUP('стартвый '!A19:A20,пр.взв!B7:H14,2,FALSE)</f>
        <v>Николаев Андрей Владимирович</v>
      </c>
      <c r="C19" s="293" t="str">
        <f>VLOOKUP(A19,пр.взв!B7:H14,3,FALSE)</f>
        <v>23.10.00, кмс</v>
      </c>
      <c r="D19" s="293" t="str">
        <f>VLOOKUP(A19,пр.взв!B7:H14,5,FALSE)</f>
        <v>Московская, Дмитров</v>
      </c>
      <c r="E19" s="18"/>
      <c r="F19" s="20"/>
      <c r="G19" s="23"/>
      <c r="H19" s="21"/>
      <c r="I19" s="32"/>
      <c r="J19" s="3"/>
    </row>
    <row r="20" spans="1:12" ht="13.5" thickBot="1">
      <c r="A20" s="309"/>
      <c r="B20" s="306"/>
      <c r="C20" s="304"/>
      <c r="D20" s="304"/>
      <c r="E20" s="17"/>
      <c r="F20" s="21"/>
      <c r="G20" s="19"/>
      <c r="H20" s="25"/>
      <c r="I20" s="32"/>
      <c r="J20" s="3"/>
    </row>
    <row r="21" spans="1:12" ht="13.5" thickBot="1">
      <c r="A21" s="308">
        <v>4</v>
      </c>
      <c r="B21" s="305" t="str">
        <f>VLOOKUP('стартвый '!A21:A22,пр.взв!B7:H14,2,FALSE)</f>
        <v>Ефимов Владимир Владимирович</v>
      </c>
      <c r="C21" s="303" t="str">
        <f>VLOOKUP(A21,пр.взв!B7:H14,3,FALSE)</f>
        <v>28.01.95, кмс</v>
      </c>
      <c r="D21" s="303" t="e">
        <f>VLOOKUP(A21,пр.взв!B11:H14,5,FALSE)</f>
        <v>#N/A</v>
      </c>
      <c r="E21" s="17"/>
      <c r="F21" s="21"/>
      <c r="G21" s="18"/>
      <c r="H21" s="3"/>
    </row>
    <row r="22" spans="1:12">
      <c r="A22" s="309"/>
      <c r="B22" s="306"/>
      <c r="C22" s="304"/>
      <c r="D22" s="304"/>
      <c r="E22" s="19"/>
      <c r="F22" s="22"/>
      <c r="G22" s="23"/>
      <c r="H22" s="21"/>
    </row>
    <row r="23" spans="1:12" ht="13.5" thickBot="1">
      <c r="A23" s="320">
        <v>8</v>
      </c>
      <c r="B23" s="281">
        <f>VLOOKUP('стартвый '!A23:A24,пр.взв!B7:H14,2,FALSE)</f>
        <v>0</v>
      </c>
      <c r="C23" s="293">
        <f>VLOOKUP(A23,пр.взв!B7:H14,3,FALSE)</f>
        <v>0</v>
      </c>
      <c r="D23" s="293">
        <f>VLOOKUP(A23,пр.взв!B11:H14,5,FALSE)</f>
        <v>0</v>
      </c>
      <c r="E23" s="18"/>
      <c r="F23" s="17"/>
      <c r="G23" s="24"/>
      <c r="H23" s="21"/>
    </row>
    <row r="24" spans="1:12" ht="13.5" thickBot="1">
      <c r="A24" s="331"/>
      <c r="B24" s="469"/>
      <c r="C24" s="321"/>
      <c r="D24" s="321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 xml:space="preserve">Н.Н.Малышев </v>
      </c>
      <c r="J38" s="3"/>
      <c r="K38" s="14" t="str">
        <f>пр.хода!R31</f>
        <v>/Дубна 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А.С.Тимошин</v>
      </c>
      <c r="J40" s="3"/>
      <c r="K40" s="16" t="s">
        <v>78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2019-04-21T15:37:14Z</cp:lastPrinted>
  <dcterms:created xsi:type="dcterms:W3CDTF">1996-10-08T23:32:33Z</dcterms:created>
  <dcterms:modified xsi:type="dcterms:W3CDTF">2019-04-22T09:59:16Z</dcterms:modified>
</cp:coreProperties>
</file>