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firstSheet="1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J14" i="1"/>
  <c r="L14" i="1" s="1"/>
  <c r="N14" i="1" s="1"/>
  <c r="P14" i="1" s="1"/>
  <c r="R14" i="1" s="1"/>
  <c r="L10" i="1"/>
  <c r="N10" i="1" s="1"/>
  <c r="P10" i="1" s="1"/>
  <c r="R10" i="1" s="1"/>
  <c r="L8" i="1"/>
  <c r="N8" i="1" s="1"/>
  <c r="P8" i="1" s="1"/>
  <c r="R8" i="1" s="1"/>
  <c r="T8" i="1" s="1"/>
  <c r="L6" i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X16" i="1"/>
  <c r="X74" i="1"/>
  <c r="V74" i="1"/>
  <c r="V104" i="1"/>
  <c r="X104" i="1"/>
  <c r="V28" i="1"/>
  <c r="X28" i="1"/>
  <c r="X8" i="1"/>
  <c r="V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0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4" i="1"/>
  <c r="D14" i="1"/>
  <c r="E14" i="1"/>
  <c r="C16" i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BX54" i="1" s="1"/>
  <c r="BY54" i="1" s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43" i="1" a="1"/>
  <c r="CA77" i="1" a="1"/>
  <c r="CA71" i="1" a="1"/>
  <c r="CA115" i="1" a="1"/>
  <c r="CA107" i="1" a="1"/>
  <c r="CA62" i="1" a="1"/>
  <c r="CA51" i="1" a="1"/>
  <c r="CA33" i="1" a="1"/>
  <c r="CA44" i="1" a="1"/>
  <c r="CA42" i="1" a="1"/>
  <c r="CA74" i="1" a="1"/>
  <c r="CA110" i="1" a="1"/>
  <c r="CA67" i="1" a="1"/>
  <c r="CA113" i="1" a="1"/>
  <c r="CA76" i="1" a="1"/>
  <c r="CA106" i="1" a="1"/>
  <c r="CA24" i="1" a="1"/>
  <c r="CA5" i="1" a="1"/>
  <c r="CA72" i="1" a="1"/>
  <c r="CA112" i="1" a="1"/>
  <c r="CA30" i="1" a="1"/>
  <c r="CA101" i="1" a="1"/>
  <c r="CA53" i="1" a="1"/>
  <c r="CA66" i="1" a="1"/>
  <c r="CA25" i="1" a="1"/>
  <c r="CA14" i="1" a="1"/>
  <c r="CA4" i="1" a="1"/>
  <c r="CA69" i="1" a="1"/>
  <c r="CA89" i="1" a="1"/>
  <c r="CA45" i="1" a="1"/>
  <c r="CA90" i="1" a="1"/>
  <c r="CA26" i="1" a="1"/>
  <c r="CA40" i="1" a="1"/>
  <c r="CA94" i="1" a="1"/>
  <c r="CA92" i="1" a="1"/>
  <c r="CA47" i="1" a="1"/>
  <c r="CA38" i="1" a="1"/>
  <c r="CA57" i="1" a="1"/>
  <c r="CA116" i="1" a="1"/>
  <c r="CA63" i="1" a="1"/>
  <c r="CA23" i="1" a="1"/>
  <c r="CA96" i="1" a="1"/>
  <c r="CA65" i="1" a="1"/>
  <c r="CA39" i="1" a="1"/>
  <c r="CA98" i="1" a="1"/>
  <c r="CA88" i="1" a="1"/>
  <c r="CA10" i="1" a="1"/>
  <c r="CA83" i="1" a="1"/>
  <c r="CA11" i="1" a="1"/>
  <c r="CA105" i="1" a="1"/>
  <c r="CA6" i="1" a="1"/>
  <c r="CA3" i="1" a="1"/>
  <c r="CA31" i="1" a="1"/>
  <c r="CA93" i="1" a="1"/>
  <c r="CA37" i="1" a="1"/>
  <c r="CA73" i="1" a="1"/>
  <c r="CA86" i="1" a="1"/>
  <c r="CA109" i="1" a="1"/>
  <c r="CA91" i="1" a="1"/>
  <c r="CA22" i="1" a="1"/>
  <c r="CA27" i="1" a="1"/>
  <c r="CA59" i="1" a="1"/>
  <c r="CA17" i="1" a="1"/>
  <c r="CA78" i="1" a="1"/>
  <c r="CA34" i="1" a="1"/>
  <c r="CA20" i="1" a="1"/>
  <c r="CA68" i="1" a="1"/>
  <c r="CA54" i="1" a="1"/>
  <c r="CA84" i="1" a="1"/>
  <c r="CA103" i="1" a="1"/>
  <c r="CA28" i="1" a="1"/>
  <c r="CA35" i="1" a="1"/>
  <c r="CA100" i="1" a="1"/>
  <c r="CA104" i="1" a="1"/>
  <c r="CA9" i="1" a="1"/>
  <c r="CA15" i="1" a="1"/>
  <c r="CA55" i="1" a="1"/>
  <c r="CA79" i="1" a="1"/>
  <c r="CA95" i="1" a="1"/>
  <c r="CA97" i="1" a="1"/>
  <c r="CA64" i="1" a="1"/>
  <c r="CA41" i="1" a="1"/>
  <c r="CA114" i="1" a="1"/>
  <c r="CA19" i="1" a="1"/>
  <c r="CA111" i="1" a="1"/>
  <c r="CA8" i="1" a="1"/>
  <c r="CA99" i="1" a="1"/>
  <c r="CA29" i="1" a="1"/>
  <c r="CA16" i="1" a="1"/>
  <c r="CA52" i="1" a="1"/>
  <c r="CA58" i="1" a="1"/>
  <c r="CA61" i="1" a="1"/>
  <c r="CA56" i="1" a="1"/>
  <c r="CA87" i="1" a="1"/>
  <c r="CA48" i="1" a="1"/>
  <c r="CA32" i="1" a="1"/>
  <c r="CA49" i="1" a="1"/>
  <c r="CA7" i="1" a="1"/>
  <c r="CA81" i="1" a="1"/>
  <c r="CA46" i="1" a="1"/>
  <c r="CA70" i="1" a="1"/>
  <c r="CA60" i="1" a="1"/>
  <c r="CA80" i="1" a="1"/>
  <c r="CA85" i="1" a="1"/>
  <c r="CA36" i="1" a="1"/>
  <c r="CA18" i="1" a="1"/>
  <c r="CA82" i="1" a="1"/>
  <c r="CA102" i="1" a="1"/>
  <c r="CA75" i="1" a="1"/>
  <c r="CA108" i="1" a="1"/>
  <c r="CA21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63" i="1" a="1"/>
  <c r="CD116" i="1" a="1"/>
  <c r="CD80" i="1" a="1"/>
  <c r="CD90" i="1" a="1"/>
  <c r="CD88" i="1" a="1"/>
  <c r="CD15" i="1" a="1"/>
  <c r="CD89" i="1" a="1"/>
  <c r="CD11" i="1" a="1"/>
  <c r="CD41" i="1" a="1"/>
  <c r="CD42" i="1" a="1"/>
  <c r="CD75" i="1" a="1"/>
  <c r="CD8" i="1" a="1"/>
  <c r="CD16" i="1" a="1"/>
  <c r="CD47" i="1" a="1"/>
  <c r="CD53" i="1" a="1"/>
  <c r="CD4" i="1" a="1"/>
  <c r="CD57" i="1" a="1"/>
  <c r="CD96" i="1" a="1"/>
  <c r="CD24" i="1" a="1"/>
  <c r="CD73" i="1" a="1"/>
  <c r="CD49" i="1" a="1"/>
  <c r="CD36" i="1" a="1"/>
  <c r="CD108" i="1" a="1"/>
  <c r="CD33" i="1" a="1"/>
  <c r="CD51" i="1" a="1"/>
  <c r="CD66" i="1" a="1"/>
  <c r="CD72" i="1" a="1"/>
  <c r="CD6" i="1" a="1"/>
  <c r="CD32" i="1" a="1"/>
  <c r="CD101" i="1" a="1"/>
  <c r="CD23" i="1" a="1"/>
  <c r="CD67" i="1" a="1"/>
  <c r="CD82" i="1" a="1"/>
  <c r="CD29" i="1" a="1"/>
  <c r="CD77" i="1" a="1"/>
  <c r="CD78" i="1" a="1"/>
  <c r="CD65" i="1" a="1"/>
  <c r="CD39" i="1" a="1"/>
  <c r="CD3" i="1" a="1"/>
  <c r="CJ91" i="1" a="1"/>
  <c r="CD59" i="1" a="1"/>
  <c r="CD43" i="1" a="1"/>
  <c r="CD113" i="1" a="1"/>
  <c r="CD20" i="1" a="1"/>
  <c r="CD114" i="1" a="1"/>
  <c r="CD27" i="1" a="1"/>
  <c r="CD10" i="1" a="1"/>
  <c r="CD70" i="1" a="1"/>
  <c r="CD40" i="1" a="1"/>
  <c r="CD46" i="1" a="1"/>
  <c r="CD99" i="1" a="1"/>
  <c r="CD68" i="1" a="1"/>
  <c r="CD64" i="1" a="1"/>
  <c r="CD44" i="1" a="1"/>
  <c r="CD58" i="1" a="1"/>
  <c r="CD7" i="1" a="1"/>
  <c r="CD94" i="1" a="1"/>
  <c r="CD102" i="1" a="1"/>
  <c r="CD18" i="1" a="1"/>
  <c r="CD93" i="1" a="1"/>
  <c r="CD106" i="1" a="1"/>
  <c r="CD71" i="1" a="1"/>
  <c r="CD92" i="1" a="1"/>
  <c r="CD83" i="1" a="1"/>
  <c r="CD97" i="1" a="1"/>
  <c r="CD30" i="1" a="1"/>
  <c r="CD110" i="1" a="1"/>
  <c r="CD17" i="1" a="1"/>
  <c r="CD56" i="1" a="1"/>
  <c r="CD38" i="1" a="1"/>
  <c r="CD86" i="1" a="1"/>
  <c r="CD55" i="1" a="1"/>
  <c r="CD61" i="1" a="1"/>
  <c r="CD84" i="1" a="1"/>
  <c r="CD81" i="1" a="1"/>
  <c r="CD115" i="1" a="1"/>
  <c r="CD5" i="1" a="1"/>
  <c r="CD37" i="1" a="1"/>
  <c r="CD100" i="1" a="1"/>
  <c r="CD98" i="1" a="1"/>
  <c r="CD69" i="1" a="1"/>
  <c r="CD105" i="1" a="1"/>
  <c r="CD19" i="1" a="1"/>
  <c r="CD60" i="1" a="1"/>
  <c r="CD54" i="1" a="1"/>
  <c r="CD109" i="1" a="1"/>
  <c r="CD62" i="1" a="1"/>
  <c r="CD107" i="1" a="1"/>
  <c r="CD35" i="1" a="1"/>
  <c r="CD104" i="1" a="1"/>
  <c r="CD45" i="1" a="1"/>
  <c r="CD50" i="1" a="1"/>
  <c r="CD91" i="1" a="1"/>
  <c r="CD85" i="1" a="1"/>
  <c r="CD25" i="1" a="1"/>
  <c r="CD87" i="1" a="1"/>
  <c r="CD76" i="1" a="1"/>
  <c r="CD31" i="1" a="1"/>
  <c r="CD111" i="1" a="1"/>
  <c r="CD79" i="1" a="1"/>
  <c r="CD52" i="1" a="1"/>
  <c r="CD95" i="1" a="1"/>
  <c r="CD74" i="1" a="1"/>
  <c r="CD28" i="1" a="1"/>
  <c r="CD22" i="1" a="1"/>
  <c r="CD48" i="1" a="1"/>
  <c r="CD14" i="1" a="1"/>
  <c r="CD26" i="1" a="1"/>
  <c r="CD21" i="1" a="1"/>
  <c r="CD103" i="1" a="1"/>
  <c r="CD9" i="1" a="1"/>
  <c r="CD34" i="1" a="1"/>
  <c r="CD112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10" i="1" s="1"/>
  <c r="Z10" i="1" s="1"/>
  <c r="AY6" i="1"/>
  <c r="V6" i="1" s="1"/>
  <c r="Z6" i="1" s="1"/>
  <c r="AY7" i="1"/>
  <c r="V14" i="1" s="1"/>
  <c r="Z14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95" i="1" a="1"/>
  <c r="CJ44" i="1" a="1"/>
  <c r="CJ46" i="1" a="1"/>
  <c r="CJ115" i="1" a="1"/>
  <c r="CJ20" i="1" a="1"/>
  <c r="CJ49" i="1" a="1"/>
  <c r="CJ61" i="1" a="1"/>
  <c r="CJ53" i="1" a="1"/>
  <c r="CJ7" i="1" a="1"/>
  <c r="CJ69" i="1" a="1"/>
  <c r="CJ45" i="1" a="1"/>
  <c r="CJ83" i="1" a="1"/>
  <c r="CJ90" i="1" a="1"/>
  <c r="CJ19" i="1" a="1"/>
  <c r="CJ6" i="1" a="1"/>
  <c r="CJ75" i="1" a="1"/>
  <c r="CJ73" i="1" a="1"/>
  <c r="CJ98" i="1" a="1"/>
  <c r="CJ79" i="1" a="1"/>
  <c r="CJ97" i="1" a="1"/>
  <c r="CJ41" i="1" a="1"/>
  <c r="CJ85" i="1" a="1"/>
  <c r="CJ18" i="1" a="1"/>
  <c r="CJ82" i="1" a="1"/>
  <c r="CJ48" i="1" a="1"/>
  <c r="CJ56" i="1" a="1"/>
  <c r="CJ110" i="1" a="1"/>
  <c r="CJ104" i="1" a="1"/>
  <c r="CJ108" i="1" a="1"/>
  <c r="CJ21" i="1" a="1"/>
  <c r="CJ101" i="1" a="1"/>
  <c r="CJ24" i="1" a="1"/>
  <c r="CJ5" i="1" a="1"/>
  <c r="CJ107" i="1" a="1"/>
  <c r="CJ57" i="1" a="1"/>
  <c r="CJ66" i="1" a="1"/>
  <c r="CJ72" i="1" a="1"/>
  <c r="CJ105" i="1" a="1"/>
  <c r="CJ70" i="1" a="1"/>
  <c r="CJ109" i="1" a="1"/>
  <c r="CJ106" i="1" a="1"/>
  <c r="CJ34" i="1" a="1"/>
  <c r="CJ64" i="1" a="1"/>
  <c r="CJ99" i="1" a="1"/>
  <c r="CJ87" i="1" a="1"/>
  <c r="CJ54" i="1" a="1"/>
  <c r="CJ17" i="1" a="1"/>
  <c r="CJ23" i="1" a="1"/>
  <c r="CJ16" i="1" a="1"/>
  <c r="CJ50" i="1" a="1"/>
  <c r="CJ38" i="1" a="1"/>
  <c r="CJ58" i="1" a="1"/>
  <c r="CJ67" i="1" a="1"/>
  <c r="CJ93" i="1" a="1"/>
  <c r="CJ77" i="1" a="1"/>
  <c r="CJ102" i="1" a="1"/>
  <c r="CJ55" i="1" a="1"/>
  <c r="CJ8" i="1" a="1"/>
  <c r="CJ36" i="1" a="1"/>
  <c r="CJ11" i="1" a="1"/>
  <c r="CJ111" i="1" a="1"/>
  <c r="CJ86" i="1" a="1"/>
  <c r="CJ10" i="1" a="1"/>
  <c r="CJ68" i="1" a="1"/>
  <c r="CJ84" i="1" a="1"/>
  <c r="CJ76" i="1" a="1"/>
  <c r="CJ30" i="1" a="1"/>
  <c r="CJ29" i="1" a="1"/>
  <c r="CJ51" i="1" a="1"/>
  <c r="CJ32" i="1" a="1"/>
  <c r="CJ63" i="1" a="1"/>
  <c r="CJ88" i="1" a="1"/>
  <c r="CJ62" i="1" a="1"/>
  <c r="CJ26" i="1" a="1"/>
  <c r="CJ39" i="1" a="1"/>
  <c r="CP41" i="1" a="1"/>
  <c r="CJ94" i="1" a="1"/>
  <c r="CJ96" i="1" a="1"/>
  <c r="CJ15" i="1" a="1"/>
  <c r="CJ113" i="1" a="1"/>
  <c r="CJ31" i="1" a="1"/>
  <c r="CJ92" i="1" a="1"/>
  <c r="CJ14" i="1" a="1"/>
  <c r="CJ81" i="1" a="1"/>
  <c r="CJ74" i="1" a="1"/>
  <c r="CJ59" i="1" a="1"/>
  <c r="CJ9" i="1" a="1"/>
  <c r="CJ80" i="1" a="1"/>
  <c r="CJ28" i="1" a="1"/>
  <c r="CJ3" i="1" a="1"/>
  <c r="CJ52" i="1" a="1"/>
  <c r="CJ40" i="1" a="1"/>
  <c r="CJ116" i="1" a="1"/>
  <c r="CJ27" i="1" a="1"/>
  <c r="CJ33" i="1" a="1"/>
  <c r="CJ35" i="1" a="1"/>
  <c r="CJ4" i="1" a="1"/>
  <c r="CJ60" i="1" a="1"/>
  <c r="CJ71" i="1" a="1"/>
  <c r="CJ78" i="1" a="1"/>
  <c r="CJ103" i="1" a="1"/>
  <c r="CJ47" i="1" a="1"/>
  <c r="CJ112" i="1" a="1"/>
  <c r="CJ37" i="1" a="1"/>
  <c r="CJ22" i="1" a="1"/>
  <c r="CJ89" i="1" a="1"/>
  <c r="CJ25" i="1" a="1"/>
  <c r="CJ65" i="1" a="1"/>
  <c r="CJ100" i="1" a="1"/>
  <c r="CJ114" i="1" a="1"/>
  <c r="CJ43" i="1" a="1"/>
  <c r="CJ42" i="1" a="1"/>
  <c r="B6" i="3" l="1"/>
  <c r="V16" i="1"/>
  <c r="Z16" i="1" s="1"/>
  <c r="CJ95" i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10" i="1" a="1"/>
  <c r="CP51" i="1" a="1"/>
  <c r="CP91" i="1" a="1"/>
  <c r="CP16" i="1" a="1"/>
  <c r="CP27" i="1" a="1"/>
  <c r="CP97" i="1" a="1"/>
  <c r="CP68" i="1" a="1"/>
  <c r="CP52" i="1" a="1"/>
  <c r="CP34" i="1" a="1"/>
  <c r="CP115" i="1" a="1"/>
  <c r="CP54" i="1" a="1"/>
  <c r="CP87" i="1" a="1"/>
  <c r="CP74" i="1" a="1"/>
  <c r="CP11" i="1" a="1"/>
  <c r="CP81" i="1" a="1"/>
  <c r="CP112" i="1" a="1"/>
  <c r="CP46" i="1" a="1"/>
  <c r="CP79" i="1" a="1"/>
  <c r="CP40" i="1" a="1"/>
  <c r="CP114" i="1" a="1"/>
  <c r="CP109" i="1" a="1"/>
  <c r="CP113" i="1" a="1"/>
  <c r="CP105" i="1" a="1"/>
  <c r="CP19" i="1" a="1"/>
  <c r="CP50" i="1" a="1"/>
  <c r="CP38" i="1" a="1"/>
  <c r="CP96" i="1" a="1"/>
  <c r="CP20" i="1" a="1"/>
  <c r="CP35" i="1" a="1"/>
  <c r="CP6" i="1" a="1"/>
  <c r="CP56" i="1" a="1"/>
  <c r="CP61" i="1" a="1"/>
  <c r="CP100" i="1" a="1"/>
  <c r="CP43" i="1" a="1"/>
  <c r="CP21" i="1" a="1"/>
  <c r="CP59" i="1" a="1"/>
  <c r="CP72" i="1" a="1"/>
  <c r="CP36" i="1" a="1"/>
  <c r="CP75" i="1" a="1"/>
  <c r="CP49" i="1" a="1"/>
  <c r="CP88" i="1" a="1"/>
  <c r="CP8" i="1" a="1"/>
  <c r="CP26" i="1" a="1"/>
  <c r="CP94" i="1" a="1"/>
  <c r="CP14" i="1" a="1"/>
  <c r="CP90" i="1" a="1"/>
  <c r="CP69" i="1" a="1"/>
  <c r="CP24" i="1" a="1"/>
  <c r="CP84" i="1" a="1"/>
  <c r="CP5" i="1" a="1"/>
  <c r="CP63" i="1" a="1"/>
  <c r="CP15" i="1" a="1"/>
  <c r="CP107" i="1" a="1"/>
  <c r="CP33" i="1" a="1"/>
  <c r="CP32" i="1" a="1"/>
  <c r="CP42" i="1" a="1"/>
  <c r="CP30" i="1" a="1"/>
  <c r="CP23" i="1" a="1"/>
  <c r="CP78" i="1" a="1"/>
  <c r="CP103" i="1" a="1"/>
  <c r="CP44" i="1" a="1"/>
  <c r="CP62" i="1" a="1"/>
  <c r="CP31" i="1" a="1"/>
  <c r="CP111" i="1" a="1"/>
  <c r="CP22" i="1" a="1"/>
  <c r="CP82" i="1" a="1"/>
  <c r="CP102" i="1" a="1"/>
  <c r="CP106" i="1" a="1"/>
  <c r="CP73" i="1" a="1"/>
  <c r="CP80" i="1" a="1"/>
  <c r="CP53" i="1" a="1"/>
  <c r="CP70" i="1" a="1"/>
  <c r="CP101" i="1" a="1"/>
  <c r="CP39" i="1" a="1"/>
  <c r="CP47" i="1" a="1"/>
  <c r="CP57" i="1" a="1"/>
  <c r="CP95" i="1" a="1"/>
  <c r="CP48" i="1" a="1"/>
  <c r="CP83" i="1" a="1"/>
  <c r="CP98" i="1" a="1"/>
  <c r="CP85" i="1" a="1"/>
  <c r="CP99" i="1" a="1"/>
  <c r="CP17" i="1" a="1"/>
  <c r="CP77" i="1" a="1"/>
  <c r="CP28" i="1" a="1"/>
  <c r="CP9" i="1" a="1"/>
  <c r="CP3" i="1" a="1"/>
  <c r="CP108" i="1" a="1"/>
  <c r="CP116" i="1" a="1"/>
  <c r="CP86" i="1" a="1"/>
  <c r="CP60" i="1" a="1"/>
  <c r="CP89" i="1" a="1"/>
  <c r="CP58" i="1" a="1"/>
  <c r="CP25" i="1" a="1"/>
  <c r="CP10" i="1" a="1"/>
  <c r="CP93" i="1" a="1"/>
  <c r="CP18" i="1" a="1"/>
  <c r="CP29" i="1" a="1"/>
  <c r="CP67" i="1" a="1"/>
  <c r="CP65" i="1" a="1"/>
  <c r="CP66" i="1" a="1"/>
  <c r="CP7" i="1" a="1"/>
  <c r="CP37" i="1" a="1"/>
  <c r="CP64" i="1" a="1"/>
  <c r="CP55" i="1" a="1"/>
  <c r="CP71" i="1" a="1"/>
  <c r="CP92" i="1" a="1"/>
  <c r="CP76" i="1" a="1"/>
  <c r="CP104" i="1" a="1"/>
  <c r="CP45" i="1" a="1"/>
  <c r="CP4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64" i="1" a="1"/>
  <c r="CV5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8" i="1"/>
  <c r="CV5" i="1"/>
  <c r="CV64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8" i="1" a="1"/>
  <c r="CV79" i="1" a="1"/>
  <c r="CV14" i="1" a="1"/>
  <c r="CV90" i="1" a="1"/>
  <c r="CV102" i="1" a="1"/>
  <c r="CV43" i="1" a="1"/>
  <c r="CV32" i="1" a="1"/>
  <c r="CV113" i="1" a="1"/>
  <c r="CV18" i="1" a="1"/>
  <c r="CV8" i="1" a="1"/>
  <c r="CV46" i="1" a="1"/>
  <c r="CV4" i="1" a="1"/>
  <c r="CV96" i="1" a="1"/>
  <c r="CV52" i="1" a="1"/>
  <c r="CV42" i="1" a="1"/>
  <c r="CV19" i="1" a="1"/>
  <c r="CV115" i="1" a="1"/>
  <c r="CV81" i="1" a="1"/>
  <c r="CV75" i="1" a="1"/>
  <c r="CV99" i="1" a="1"/>
  <c r="CV60" i="1" a="1"/>
  <c r="CV27" i="1" a="1"/>
  <c r="CV69" i="1" a="1"/>
  <c r="CV98" i="1" a="1"/>
  <c r="CV59" i="1" a="1"/>
  <c r="CV47" i="1" a="1"/>
  <c r="CV116" i="1" a="1"/>
  <c r="CV45" i="1" a="1"/>
  <c r="CV86" i="1" a="1"/>
  <c r="CV72" i="1" a="1"/>
  <c r="CV105" i="1" a="1"/>
  <c r="CV63" i="1" a="1"/>
  <c r="CV23" i="1" a="1"/>
  <c r="CV97" i="1" a="1"/>
  <c r="CV33" i="1" a="1"/>
  <c r="CV85" i="1" a="1"/>
  <c r="CV108" i="1" a="1"/>
  <c r="CV15" i="1" a="1"/>
  <c r="CV103" i="1" a="1"/>
  <c r="CV31" i="1" a="1"/>
  <c r="CV78" i="1" a="1"/>
  <c r="CV22" i="1" a="1"/>
  <c r="CV39" i="1" a="1"/>
  <c r="CV61" i="1" a="1"/>
  <c r="CV92" i="1" a="1"/>
  <c r="CV55" i="1" a="1"/>
  <c r="CV87" i="1" a="1"/>
  <c r="CV74" i="1" a="1"/>
  <c r="CV25" i="1" a="1"/>
  <c r="CV91" i="1" a="1"/>
  <c r="CV57" i="1" a="1"/>
  <c r="CV6" i="1" a="1"/>
  <c r="CV38" i="1" a="1"/>
  <c r="CV88" i="1" a="1"/>
  <c r="CV21" i="1" a="1"/>
  <c r="CV17" i="1" a="1"/>
  <c r="CV62" i="1" a="1"/>
  <c r="CV109" i="1" a="1"/>
  <c r="CV26" i="1" a="1"/>
  <c r="CV37" i="1" a="1"/>
  <c r="CV58" i="1" a="1"/>
  <c r="CV104" i="1" a="1"/>
  <c r="CV24" i="1" a="1"/>
  <c r="CV66" i="1" a="1"/>
  <c r="CV56" i="1" a="1"/>
  <c r="CV9" i="1" a="1"/>
  <c r="CV34" i="1" a="1"/>
  <c r="CV54" i="1" a="1"/>
  <c r="CV112" i="1" a="1"/>
  <c r="CV44" i="1" a="1"/>
  <c r="CV110" i="1" a="1"/>
  <c r="CV49" i="1" a="1"/>
  <c r="CV53" i="1" a="1"/>
  <c r="CV76" i="1" a="1"/>
  <c r="CV30" i="1" a="1"/>
  <c r="CV82" i="1" a="1"/>
  <c r="CV80" i="1" a="1"/>
  <c r="CV84" i="1" a="1"/>
  <c r="CV35" i="1" a="1"/>
  <c r="CV70" i="1" a="1"/>
  <c r="CV40" i="1" a="1"/>
  <c r="CV20" i="1" a="1"/>
  <c r="CV65" i="1" a="1"/>
  <c r="CV93" i="1" a="1"/>
  <c r="CV50" i="1" a="1"/>
  <c r="CV73" i="1" a="1"/>
  <c r="CV67" i="1" a="1"/>
  <c r="CV3" i="1" a="1"/>
  <c r="CV100" i="1" a="1"/>
  <c r="CV114" i="1" a="1"/>
  <c r="CV29" i="1" a="1"/>
  <c r="CV83" i="1" a="1"/>
  <c r="CV10" i="1" a="1"/>
  <c r="CV107" i="1" a="1"/>
  <c r="CV51" i="1" a="1"/>
  <c r="CV7" i="1" a="1"/>
  <c r="CV11" i="1" a="1"/>
  <c r="CV48" i="1" a="1"/>
  <c r="CV89" i="1" a="1"/>
  <c r="CV95" i="1" a="1"/>
  <c r="CV77" i="1" a="1"/>
  <c r="CV41" i="1" a="1"/>
  <c r="CV94" i="1" a="1"/>
  <c r="CV111" i="1" a="1"/>
  <c r="CV106" i="1" a="1"/>
  <c r="CV71" i="1" a="1"/>
  <c r="CV16" i="1" a="1"/>
  <c r="CV36" i="1" a="1"/>
  <c r="CV101" i="1" a="1"/>
  <c r="X6" i="1" l="1"/>
  <c r="X10" i="1"/>
  <c r="CV73" i="1"/>
  <c r="CV27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X7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A7" i="4" l="1"/>
  <c r="AH7" i="4" s="1"/>
  <c r="Z7" i="4"/>
  <c r="AG7" i="4" s="1"/>
  <c r="AD7" i="4"/>
  <c r="W8" i="4"/>
  <c r="Y8" i="4" s="1"/>
  <c r="AF8" i="4" s="1"/>
  <c r="Y7" i="4"/>
  <c r="AF7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W9" i="4"/>
  <c r="Y9" i="4" s="1"/>
  <c r="AF9" i="4" s="1"/>
  <c r="X8" i="4"/>
  <c r="AE8" i="4" s="1"/>
  <c r="W11" i="4"/>
  <c r="AD11" i="4" s="1"/>
  <c r="W10" i="4"/>
  <c r="AD10" i="4" s="1"/>
  <c r="AE7" i="4"/>
  <c r="AD8" i="4" l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<sst xmlns="http://schemas.openxmlformats.org/spreadsheetml/2006/main" count="515" uniqueCount="195">
  <si>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</si>
  <si>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</si>
  <si>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</si>
  <si>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</si>
  <si>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</si>
  <si>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</si>
  <si>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</si>
  <si>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</si>
  <si>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</si>
  <si>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</si>
  <si>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</si>
  <si>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</si>
  <si>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</si>
  <si>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</si>
  <si>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</si>
  <si>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</si>
  <si>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</si>
  <si>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</si>
  <si>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</si>
  <si>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</si>
  <si>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</si>
  <si>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</si>
  <si>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</si>
  <si>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</si>
  <si>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</si>
  <si>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</si>
  <si>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</si>
  <si>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</si>
  <si>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</si>
  <si>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</si>
  <si>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</si>
  <si>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</si>
  <si>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</si>
  <si>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</si>
  <si>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</si>
  <si>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</si>
  <si>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</si>
  <si>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</si>
  <si>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</si>
  <si>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</si>
  <si>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</si>
  <si>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</si>
  <si>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</si>
  <si>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</si>
  <si>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</si>
  <si>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</si>
  <si>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</si>
  <si>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</si>
  <si>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</si>
  <si>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</si>
  <si>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</si>
  <si>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</si>
  <si>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</si>
  <si>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</si>
  <si>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</si>
  <si>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</si>
  <si>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</si>
  <si>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</si>
  <si>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</si>
  <si>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</si>
  <si>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</si>
  <si>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</si>
  <si>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</si>
  <si>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</si>
  <si>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</si>
  <si>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</si>
  <si>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</si>
  <si>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</si>
  <si>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</si>
  <si>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</si>
  <si>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</si>
  <si>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</si>
  <si>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</si>
  <si>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</si>
  <si>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</si>
  <si>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</si>
  <si>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</si>
  <si>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</si>
  <si>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</si>
  <si>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</si>
  <si>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</si>
  <si>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</si>
  <si>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</si>
  <si>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</si>
  <si>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</si>
  <si>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</si>
  <si>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</si>
  <si>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</si>
  <si>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</si>
  <si>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</si>
  <si>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</si>
  <si>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</si>
  <si>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</si>
  <si>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</si>
  <si>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</si>
  <si>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</si>
  <si>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</si>
  <si>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</si>
  <si>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</si>
  <si>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</si>
  <si>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</si>
  <si>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</si>
  <si>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</si>
  <si>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</si>
  <si>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</si>
  <si>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</si>
  <si>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</si>
  <si>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</si>
  <si>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</si>
  <si>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</si>
  <si>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</si>
  <si>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</si>
  <si>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</si>
  <si>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</si>
  <si>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</si>
  <si>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</si>
  <si>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</si>
  <si>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</si>
  <si>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</si>
  <si>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</si>
  <si>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</si>
  <si>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</si>
  <si>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</si>
  <si>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</si>
  <si>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</si>
  <si>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</si>
  <si>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</si>
  <si>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</si>
  <si>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</si>
  <si>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</si>
  <si>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</si>
  <si>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</si>
  <si>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</si>
  <si>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</si>
  <si>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</si>
  <si>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</si>
  <si>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</si>
  <si>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</si>
  <si>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</si>
  <si>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</si>
  <si>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</si>
  <si>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</si>
  <si>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</si>
  <si>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</si>
  <si>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</si>
  <si>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</si>
  <si>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</si>
  <si>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</si>
  <si>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</si>
  <si>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</si>
  <si>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</si>
  <si>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</si>
  <si>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</si>
  <si>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</si>
  <si>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</si>
  <si>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</si>
  <si>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</si>
  <si>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</si>
  <si>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</si>
  <si>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</si>
  <si>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</si>
  <si>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</si>
  <si>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ШАРКУНОВА Дарья Владимировна</t>
  </si>
  <si>
    <t>31.01.99, КМС</t>
  </si>
  <si>
    <t>УФО</t>
  </si>
  <si>
    <t>Свердловская, Ирбит, ДЮСШ</t>
  </si>
  <si>
    <t>Шевчук П.Н.</t>
  </si>
  <si>
    <t>ГОРДЕЕВА Софья Александровна</t>
  </si>
  <si>
    <t>26.04.96, КМС</t>
  </si>
  <si>
    <t>ПФО</t>
  </si>
  <si>
    <t>Пермский, Пермь, МО</t>
  </si>
  <si>
    <t>Газеев А.Г.</t>
  </si>
  <si>
    <t>СУТОРМИНА Анастасия Евгеньевна</t>
  </si>
  <si>
    <t>15.11.00, КМС</t>
  </si>
  <si>
    <t>Свердловская, Екатеринбург,ДЮСК Алый Парус</t>
  </si>
  <si>
    <t>Еремеева Н.В.,Даутов А.Р.</t>
  </si>
  <si>
    <t>ЛУТФУЛЛИНА Эльвина Фанилевна</t>
  </si>
  <si>
    <t>24.02.97, КМС</t>
  </si>
  <si>
    <t>Свердловская, Екатеринбург, СШОР ПО САМБО И ДЗЮДО</t>
  </si>
  <si>
    <t>Старков А.А.</t>
  </si>
  <si>
    <t>В.к. 68 кг.</t>
  </si>
  <si>
    <t>СУСЛОВА Екатерина Алексеевна</t>
  </si>
  <si>
    <t>09.04.98, КМС</t>
  </si>
  <si>
    <t>Свердловская, Н-Тагил, СШ№3</t>
  </si>
  <si>
    <t>Алдушин А.И.</t>
  </si>
  <si>
    <t>св</t>
  </si>
  <si>
    <t>2:00</t>
  </si>
  <si>
    <t>Б1</t>
  </si>
  <si>
    <t>Б2</t>
  </si>
  <si>
    <t>2,05</t>
  </si>
  <si>
    <t>1,10</t>
  </si>
  <si>
    <t>А2</t>
  </si>
  <si>
    <t>А1</t>
  </si>
  <si>
    <t>1,20</t>
  </si>
  <si>
    <t>1:20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</si>
</sst>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47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6;&#1060;%20&#1087;&#1088;&#1086;&#1090;&#1086;&#1082;&#1086;&#1083;&#1099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Y2" sqref="Y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159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ВСЕРОССИЙСКИЕ СОРЕВНОВАНИЯ ПО САМБО "ПАМЯТЬ" СРЕДИ МУЖЧИН И ЖЕНЩИН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29-31 марта  2019 года                          г.Екатеринбург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180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/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/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162</v>
      </c>
      <c r="D7" s="148" t="s">
        <v>163</v>
      </c>
      <c r="E7" s="149" t="s">
        <v>164</v>
      </c>
      <c r="F7" s="226" t="s">
        <v>165</v>
      </c>
      <c r="G7" s="150"/>
      <c r="H7" s="151" t="s">
        <v>166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5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176</v>
      </c>
      <c r="D8" s="148" t="s">
        <v>177</v>
      </c>
      <c r="E8" s="149" t="s">
        <v>164</v>
      </c>
      <c r="F8" s="226" t="s">
        <v>178</v>
      </c>
      <c r="G8" s="150"/>
      <c r="H8" s="151" t="s">
        <v>179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/>
      </c>
      <c r="O8" s="156">
        <v>2</v>
      </c>
      <c r="P8" s="157" t="str">
        <f t="shared" si="1"/>
        <v>Свердловская</v>
      </c>
      <c r="Q8" s="158">
        <f t="shared" si="2"/>
        <v>4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4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181</v>
      </c>
      <c r="D9" s="148" t="s">
        <v>182</v>
      </c>
      <c r="E9" s="149" t="s">
        <v>164</v>
      </c>
      <c r="F9" s="226" t="s">
        <v>183</v>
      </c>
      <c r="G9" s="150"/>
      <c r="H9" s="151" t="s">
        <v>184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172</v>
      </c>
      <c r="D10" s="148" t="s">
        <v>173</v>
      </c>
      <c r="E10" s="149" t="s">
        <v>164</v>
      </c>
      <c r="F10" s="226" t="s">
        <v>174</v>
      </c>
      <c r="G10" s="150"/>
      <c r="H10" s="151" t="s">
        <v>175</v>
      </c>
      <c r="I10" s="152"/>
      <c r="J10" s="153">
        <v>1</v>
      </c>
      <c r="K10" s="154" t="str">
        <f t="shared" si="10"/>
        <v>КМС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167</v>
      </c>
      <c r="D11" s="148" t="s">
        <v>168</v>
      </c>
      <c r="E11" s="149" t="s">
        <v>169</v>
      </c>
      <c r="F11" s="226" t="s">
        <v>170</v>
      </c>
      <c r="G11" s="150"/>
      <c r="H11" s="151" t="s">
        <v>171</v>
      </c>
      <c r="I11" s="152"/>
      <c r="J11" s="153">
        <v>1</v>
      </c>
      <c r="K11" s="154" t="str">
        <f t="shared" si="10"/>
        <v>КМС</v>
      </c>
      <c r="L11" s="154" t="str">
        <f t="shared" si="11"/>
        <v>Пермский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5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5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1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6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ШАРКУНОВА Дарья Владимировна</v>
      </c>
      <c r="D5" s="298" t="str">
        <f>IFERROR(VLOOKUP(B5,пр.взв!$B$7:$H$76,3,0),"")</f>
        <v>31.01.99, КМС</v>
      </c>
      <c r="E5" s="298" t="str">
        <f>IFERROR(VLOOKUP(B5,пр.взв!$B$7:$H$76,4,0),"")</f>
        <v>УФО</v>
      </c>
      <c r="F5" s="300" t="str">
        <f>IFERROR(VLOOKUP(B5,пр.взв!$B$7:$H$76,5,0),"")</f>
        <v>Свердловская, Ирбит, ДЮСШ</v>
      </c>
      <c r="G5" s="302"/>
      <c r="H5" s="302"/>
      <c r="I5" s="304"/>
      <c r="J5" s="306"/>
      <c r="L5" s="308">
        <v>4</v>
      </c>
      <c r="M5" s="296" t="str">
        <f>IFERROR(VLOOKUP(L5,пр.взв!$B$7:$H$76,2,0),"")</f>
        <v>СУТОРМИНА Анастасия Евгеньевна</v>
      </c>
      <c r="N5" s="298" t="str">
        <f>IFERROR(VLOOKUP(L5,пр.взв!$B$7:$H$76,3,0),"")</f>
        <v>15.11.00, КМС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Екатеринбург,ДЮСК Алый Парус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ЛУТФУЛЛИНА Эльвина Фанилевна</v>
      </c>
      <c r="D7" s="313" t="str">
        <f>IFERROR(VLOOKUP(B7,пр.взв!$B$7:$H$76,3,0),"")</f>
        <v>24.02.97, КМС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v>5</v>
      </c>
      <c r="M7" s="311" t="str">
        <f>IFERROR(VLOOKUP(L7,пр.взв!$B$7:$H$76,2,0),"")</f>
        <v>ГОРДЕЕВА Софья Александровна</v>
      </c>
      <c r="N7" s="313" t="str">
        <f>IFERROR(VLOOKUP(L7,пр.взв!$B$7:$H$76,3,0),"")</f>
        <v>26.04.96, КМС</v>
      </c>
      <c r="O7" s="313" t="str">
        <f>IFERROR(VLOOKUP(L7,пр.взв!$B$7:$H$76,4,0),"")</f>
        <v>ПФО</v>
      </c>
      <c r="P7" s="313" t="str">
        <f>IFERROR(VLOOKUP(L7,пр.взв!$B$7:$H$76,5,0),"")</f>
        <v>Пермский, Пермь, МО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СУСЛОВА Екатерина Алексеевна</v>
      </c>
      <c r="D9" s="300" t="str">
        <f>IFERROR(VLOOKUP(B9,пр.взв!$B$7:$H$76,3,0),"")</f>
        <v>09.04.98, КМС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Н-Тагил, СШ№3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СУТОРМИНА Анастасия Евгеньевна</v>
      </c>
      <c r="D11" s="313" t="str">
        <f>IFERROR(VLOOKUP(B11,пр.взв!$B$7:$H$76,3,0),"")</f>
        <v>15.11.00, КМС</v>
      </c>
      <c r="E11" s="313" t="str">
        <f>IFERROR(VLOOKUP(B11,пр.взв!$B$7:$H$76,4,0),"")</f>
        <v>УФО</v>
      </c>
      <c r="F11" s="313" t="str">
        <f>IFERROR(VLOOKUP(B11,пр.взв!$B$7:$H$76,5,0),"")</f>
        <v>Свердловская, Екатеринбург,ДЮСК Алый Парус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4</v>
      </c>
      <c r="C13" s="319" t="str">
        <f>IFERROR(VLOOKUP(B13,пр.взв!$B$7:$H$76,2,0),"")</f>
        <v>СУТОРМИНА Анастасия Евгеньевна</v>
      </c>
      <c r="D13" s="300" t="str">
        <f>IFERROR(VLOOKUP(B13,пр.взв!$B$7:$H$76,3,0),"")</f>
        <v>15.11.00, КМС</v>
      </c>
      <c r="E13" s="300" t="str">
        <f>IFERROR(VLOOKUP(B13,пр.взв!$B$7:$H$76,4,0),"")</f>
        <v>УФО</v>
      </c>
      <c r="F13" s="300" t="str">
        <f>IFERROR(VLOOKUP(B13,пр.взв!$B$7:$H$76,5,0),"")</f>
        <v>Свердловская, Екатеринбург,ДЮСК Алый Парус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5</v>
      </c>
      <c r="C15" s="325" t="str">
        <f>IFERROR(VLOOKUP(B15,пр.взв!$B$7:$H$76,2,0),"")</f>
        <v>ГОРДЕЕВА Софья Александровна</v>
      </c>
      <c r="D15" s="327" t="str">
        <f>IFERROR(VLOOKUP(B15,пр.взв!$B$7:$H$76,3,0),"")</f>
        <v>26.04.96, КМС</v>
      </c>
      <c r="E15" s="327" t="str">
        <f>IFERROR(VLOOKUP(B15,пр.взв!$B$7:$H$76,4,0),"")</f>
        <v>ПФО</v>
      </c>
      <c r="F15" s="327" t="str">
        <f>IFERROR(VLOOKUP(B15,пр.взв!$B$7:$H$76,5,0),"")</f>
        <v>Пермский, Пермь, МО</v>
      </c>
      <c r="G15" s="303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15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f>пр.хода!B24</f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f>пр.хода!F24</f>
        <v>0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0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  <pageSetUpPr fitToPage="1"/>
  </sheetPr>
  <dimension ref="A1:T68"/>
  <sheetViews>
    <sheetView workbookViewId="0">
      <selection activeCell="B1" sqref="B1:J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ШАРКУНОВА Дарья Владимировна</v>
      </c>
      <c r="D5" s="298" t="str">
        <f>IFERROR(VLOOKUP(B5,пр.взв!$B$7:$H$76,3,0),"")</f>
        <v>31.01.99, КМС</v>
      </c>
      <c r="E5" s="298" t="str">
        <f>IFERROR(VLOOKUP(B5,пр.взв!$B$7:$H$76,4,0),"")</f>
        <v>УФО</v>
      </c>
      <c r="F5" s="300" t="str">
        <f>IFERROR(VLOOKUP(B5,пр.взв!$B$7:$H$76,5,0),"")</f>
        <v>Свердловская, Ирбит, ДЮСШ</v>
      </c>
      <c r="G5" s="302"/>
      <c r="H5" s="302"/>
      <c r="I5" s="304"/>
      <c r="J5" s="306"/>
      <c r="L5" s="321"/>
      <c r="M5" s="296" t="str">
        <f>IFERROR(VLOOKUP(L5,пр.взв!$B$7:$H$76,2,0),"")</f>
        <v/>
      </c>
      <c r="N5" s="298" t="str">
        <f>IFERROR(VLOOKUP(L5,пр.взв!$B$7:$H$76,3,0),"")</f>
        <v/>
      </c>
      <c r="O5" s="298" t="str">
        <f>IFERROR(VLOOKUP(L5,пр.взв!$B$7:$H$76,4,0),"")</f>
        <v/>
      </c>
      <c r="P5" s="300" t="str">
        <f>IFERROR(VLOOKUP(L5,пр.взв!$B$7:$H$76,5,0),"")</f>
        <v/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22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СУСЛОВА Екатерина Алексеевна</v>
      </c>
      <c r="D7" s="313" t="str">
        <f>IFERROR(VLOOKUP(B7,пр.взв!$B$7:$H$76,3,0),"")</f>
        <v>09.04.98, КМС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Н-Тагил, СШ№3</v>
      </c>
      <c r="G7" s="303"/>
      <c r="H7" s="303"/>
      <c r="I7" s="305"/>
      <c r="J7" s="307"/>
      <c r="L7" s="323"/>
      <c r="M7" s="311" t="str">
        <f>IFERROR(VLOOKUP(L7,пр.взв!$B$7:$H$76,2,0),"")</f>
        <v/>
      </c>
      <c r="N7" s="313" t="str">
        <f>IFERROR(VLOOKUP(L7,пр.взв!$B$7:$H$76,3,0),"")</f>
        <v/>
      </c>
      <c r="O7" s="313" t="str">
        <f>IFERROR(VLOOKUP(L7,пр.взв!$B$7:$H$76,4,0),"")</f>
        <v/>
      </c>
      <c r="P7" s="313" t="str">
        <f>IFERROR(VLOOKUP(L7,пр.взв!$B$7:$H$76,5,0),"")</f>
        <v/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24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ЛУТФУЛЛИНА Эльвина Фанилевна</v>
      </c>
      <c r="D9" s="300" t="str">
        <f>IFERROR(VLOOKUP(B9,пр.взв!$B$7:$H$76,3,0),"")</f>
        <v>24.02.97, КМС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Екатеринбург, СШОР ПО САМБО И ДЗЮДО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СУТОРМИНА Анастасия Евгеньевна</v>
      </c>
      <c r="D11" s="313" t="str">
        <f>IFERROR(VLOOKUP(B11,пр.взв!$B$7:$H$76,3,0),"")</f>
        <v>15.11.00, КМС</v>
      </c>
      <c r="E11" s="313" t="str">
        <f>IFERROR(VLOOKUP(B11,пр.взв!$B$7:$H$76,4,0),"")</f>
        <v>УФО</v>
      </c>
      <c r="F11" s="313" t="str">
        <f>IFERROR(VLOOKUP(B11,пр.взв!$B$7:$H$76,5,0),"")</f>
        <v>Свердловская, Екатеринбург,ДЮСК Алый Парус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ГОРДЕЕВА Софья Александровна</v>
      </c>
      <c r="D13" s="300" t="str">
        <f>IFERROR(VLOOKUP(B13,пр.взв!$B$7:$H$76,3,0),"")</f>
        <v>26.04.96, КМС</v>
      </c>
      <c r="E13" s="300" t="str">
        <f>IFERROR(VLOOKUP(B13,пр.взв!$B$7:$H$76,4,0),"")</f>
        <v>ПФО</v>
      </c>
      <c r="F13" s="300" t="str">
        <f>IFERROR(VLOOKUP(B13,пр.взв!$B$7:$H$76,5,0),"")</f>
        <v>Пермский, Пермь, МО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5" t="str">
        <f>IFERROR(VLOOKUP(B15,пр.взв!$B$7:$H$76,2,0),"")</f>
        <v/>
      </c>
      <c r="D15" s="327" t="str">
        <f>IFERROR(VLOOKUP(B15,пр.взв!$B$7:$H$76,3,0),"")</f>
        <v/>
      </c>
      <c r="E15" s="327" t="str">
        <f>IFERROR(VLOOKUP(B15,пр.взв!$B$7:$H$76,4,0),"")</f>
        <v/>
      </c>
      <c r="F15" s="327" t="str">
        <f>IFERROR(VLOOKUP(B15,пр.взв!$B$7:$H$76,5,0),"")</f>
        <v/>
      </c>
      <c r="G15" s="339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40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v>11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21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22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23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24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21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22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23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24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2" workbookViewId="0">
      <selection sqref="A1:H29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ВСЕРОССИЙСКИЕ СОРЕВНОВАНИЯ ПО САМБО "ПАМЯТЬ" СРЕДИ МУЖЧИН И ЖЕНЩИН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29-31 марта  2019 года                          г.Екатеринбург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68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СУСЛОВА Екатерина Алексеевна</v>
      </c>
      <c r="C6" s="350"/>
      <c r="D6" s="350"/>
      <c r="E6" s="350"/>
      <c r="F6" s="350"/>
      <c r="G6" s="350"/>
      <c r="H6" s="346" t="str">
        <f>IFERROR(VLOOKUP(J6,пр.взв!$B$7:$H$76,3,0),"")</f>
        <v>09.04.98, КМС</v>
      </c>
      <c r="I6" s="30"/>
      <c r="J6" s="129">
        <f>IFERROR(ит.пр!B6,"0")</f>
        <v>3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>Свердловская, Н-Тагил, СШ№3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ШАРКУНОВА Дарья Владимировна</v>
      </c>
      <c r="C11" s="350"/>
      <c r="D11" s="350"/>
      <c r="E11" s="350"/>
      <c r="F11" s="350"/>
      <c r="G11" s="350"/>
      <c r="H11" s="346" t="str">
        <f>IFERROR(VLOOKUP(J11,пр.взв!$B$7:$H$76,3,0),"")</f>
        <v>31.01.99, КМС</v>
      </c>
      <c r="I11" s="30"/>
      <c r="J11" s="129">
        <f>IFERROR(ит.пр!B7,"0")</f>
        <v>1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УФО</v>
      </c>
      <c r="C13" s="353"/>
      <c r="D13" s="353" t="str">
        <f>IFERROR(VLOOKUP(J11,пр.взв!$B$7:$H$76,5,0),"")</f>
        <v>Свердловская, Ирбит, ДЮСШ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СУТОРМИНА Анастасия Евгеньевна</v>
      </c>
      <c r="C16" s="350"/>
      <c r="D16" s="350"/>
      <c r="E16" s="350"/>
      <c r="F16" s="350"/>
      <c r="G16" s="350"/>
      <c r="H16" s="346" t="str">
        <f>IFERROR(VLOOKUP(J16,пр.взв!$B$7:$H$76,3,0),"")</f>
        <v>15.11.00, КМС</v>
      </c>
      <c r="I16" s="30"/>
      <c r="J16" s="129">
        <f>IFERROR(ит.пр!B8,"0")</f>
        <v>4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УФО</v>
      </c>
      <c r="C18" s="353"/>
      <c r="D18" s="353" t="str">
        <f>IFERROR(VLOOKUP(J16,пр.взв!$B$7:$H$76,5,0),"")</f>
        <v>Свердловская, Екатеринбург,ДЮСК Алый Парус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ГОРДЕЕВА Софья Александровна</v>
      </c>
      <c r="C21" s="350"/>
      <c r="D21" s="350"/>
      <c r="E21" s="350"/>
      <c r="F21" s="350"/>
      <c r="G21" s="350"/>
      <c r="H21" s="346" t="str">
        <f>IFERROR(VLOOKUP(J21,пр.взв!$B$7:$H$76,3,0),"")</f>
        <v>26.04.96, КМС</v>
      </c>
      <c r="I21" s="30"/>
      <c r="J21" s="129">
        <f>IFERROR(ит.пр!B9,"0")</f>
        <v>5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ПФО</v>
      </c>
      <c r="C23" s="353"/>
      <c r="D23" s="353" t="str">
        <f>IFERROR(VLOOKUP(J21,пр.взв!$B$7:$H$76,5,0),"")</f>
        <v>Пермский, Пермь, МО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Алдушин А.И.</v>
      </c>
      <c r="B28" s="345"/>
      <c r="C28" s="345"/>
      <c r="D28" s="345"/>
      <c r="E28" s="345"/>
      <c r="F28" s="345"/>
      <c r="G28" s="345"/>
      <c r="H28" s="346"/>
      <c r="J28" s="129">
        <f>J6</f>
        <v>3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Normal="100" workbookViewId="0">
      <selection activeCell="AE121" sqref="AE121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2" t="s">
        <v>64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03" t="s">
        <v>160</v>
      </c>
      <c r="C2" s="403"/>
      <c r="D2" s="403"/>
      <c r="E2" s="403"/>
      <c r="F2" s="403"/>
      <c r="G2" s="404" t="str">
        <f>[4]реквизиты!$A$2</f>
        <v>ВСЕРОССИЙСКИЕ СОРЕВНОВАНИЯ ПО САМБО "ПАМЯТЬ" СРЕДИ МУЖЧИН И ЖЕНЩИН</v>
      </c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6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7" t="str">
        <f>[4]реквизиты!$A$3</f>
        <v>29-31 марта  2019 года                          г.Екатеринбург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8" t="str">
        <f>AW3&amp;" "&amp;AX3</f>
        <v>5 участников</v>
      </c>
      <c r="R3" s="409"/>
      <c r="S3" s="409"/>
      <c r="T3" s="409"/>
      <c r="U3" s="409"/>
      <c r="V3" s="409"/>
      <c r="W3" s="410"/>
      <c r="X3" s="465" t="str">
        <f>пр.взв!$D$4</f>
        <v>В.к. 68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5</v>
      </c>
      <c r="AX3" s="198" t="s">
        <v>81</v>
      </c>
      <c r="BA3" s="2"/>
      <c r="BB3" s="55"/>
      <c r="BC3" s="2"/>
      <c r="BD3" s="2"/>
      <c r="BE3" s="2"/>
      <c r="BF3" s="2"/>
      <c r="BI3" s="402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7"/>
      <c r="B4" s="452" t="s">
        <v>5</v>
      </c>
      <c r="C4" s="457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43" t="s">
        <v>22</v>
      </c>
      <c r="AC4" s="397"/>
      <c r="AD4" s="398" t="s">
        <v>22</v>
      </c>
      <c r="AE4" s="398"/>
      <c r="AF4" s="388">
        <v>1</v>
      </c>
      <c r="AG4" s="389">
        <v>2</v>
      </c>
      <c r="AH4" s="389">
        <v>3</v>
      </c>
      <c r="AI4" s="389">
        <v>4</v>
      </c>
      <c r="AJ4" s="389">
        <v>5</v>
      </c>
      <c r="AK4" s="389">
        <v>6</v>
      </c>
      <c r="AL4" s="389">
        <v>7</v>
      </c>
      <c r="AM4" s="389">
        <v>8</v>
      </c>
      <c r="AN4" s="399" t="s">
        <v>135</v>
      </c>
      <c r="AO4" s="384" t="s">
        <v>136</v>
      </c>
      <c r="AP4" s="400" t="s">
        <v>137</v>
      </c>
      <c r="AQ4" s="400" t="s">
        <v>22</v>
      </c>
      <c r="AR4" s="197"/>
      <c r="AS4" s="12"/>
      <c r="AT4" s="12"/>
      <c r="AU4" s="12"/>
      <c r="AV4" s="12"/>
      <c r="AW4" s="12"/>
      <c r="BA4" s="413"/>
      <c r="BB4" s="414"/>
      <c r="BC4" s="413"/>
      <c r="BD4" s="414"/>
      <c r="BE4" s="413"/>
      <c r="BF4" s="414"/>
      <c r="BI4" s="402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447"/>
      <c r="B5" s="453"/>
      <c r="C5" s="458"/>
      <c r="D5" s="473"/>
      <c r="E5" s="475"/>
      <c r="F5" s="450">
        <v>1</v>
      </c>
      <c r="G5" s="481"/>
      <c r="H5" s="450">
        <v>2</v>
      </c>
      <c r="I5" s="451"/>
      <c r="J5" s="448">
        <v>3</v>
      </c>
      <c r="K5" s="449"/>
      <c r="L5" s="450">
        <v>4</v>
      </c>
      <c r="M5" s="451"/>
      <c r="N5" s="448">
        <v>5</v>
      </c>
      <c r="O5" s="449"/>
      <c r="P5" s="450">
        <v>6</v>
      </c>
      <c r="Q5" s="451"/>
      <c r="R5" s="448">
        <v>7</v>
      </c>
      <c r="S5" s="449"/>
      <c r="T5" s="450">
        <v>8</v>
      </c>
      <c r="U5" s="451"/>
      <c r="V5" s="450" t="s">
        <v>75</v>
      </c>
      <c r="W5" s="451"/>
      <c r="X5" s="450" t="s">
        <v>72</v>
      </c>
      <c r="Y5" s="451"/>
      <c r="Z5" s="469"/>
      <c r="AA5" s="471"/>
      <c r="AB5" s="444"/>
      <c r="AC5" s="397"/>
      <c r="AD5" s="398"/>
      <c r="AE5" s="398"/>
      <c r="AF5" s="388"/>
      <c r="AG5" s="389"/>
      <c r="AH5" s="389"/>
      <c r="AI5" s="389"/>
      <c r="AJ5" s="389"/>
      <c r="AK5" s="389"/>
      <c r="AL5" s="389"/>
      <c r="AM5" s="389"/>
      <c r="AN5" s="399"/>
      <c r="AO5" s="384"/>
      <c r="AP5" s="401"/>
      <c r="AQ5" s="401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5"/>
      <c r="B6" s="460">
        <v>1</v>
      </c>
      <c r="C6" s="420" t="str">
        <f>(VLOOKUP(B6,пр.взв!$B$7:$H$76,2,0))</f>
        <v>ШАРКУНОВА Дарья Владимировна</v>
      </c>
      <c r="D6" s="422" t="str">
        <f>(VLOOKUP(B6,пр.взв!$B$7:$H$76,3,0))</f>
        <v>31.01.99, КМС</v>
      </c>
      <c r="E6" s="424" t="str">
        <f>(VLOOKUP(B6,пр.взв!$B$7:$H$76,5,0))</f>
        <v>Свердловская, Ирбит, ДЮСШ</v>
      </c>
      <c r="F6" s="440">
        <v>2</v>
      </c>
      <c r="G6" s="48">
        <v>0</v>
      </c>
      <c r="H6" s="434">
        <v>3</v>
      </c>
      <c r="I6" s="48">
        <v>4</v>
      </c>
      <c r="J6" s="436" t="s">
        <v>185</v>
      </c>
      <c r="K6" s="48"/>
      <c r="L6" s="434" t="str">
        <f t="shared" ref="L6" si="0">IF(J6="Х","Х",IF(K6&lt;2.5," ",IF(K6&gt;=2.5,IF(G6+I6+K6&gt;=6,"Х",IF(AA6&lt;6," "," ")))))</f>
        <v xml:space="preserve"> </v>
      </c>
      <c r="M6" s="48"/>
      <c r="N6" s="434" t="str">
        <f>IF(L6="Х","Х",IF(M6&lt;2.5," ",IF(M6&gt;=2.5,IF(G6+I6+K6+M6&gt;=6,"Х",IF(AA6&lt;6," "," ")))))</f>
        <v xml:space="preserve"> </v>
      </c>
      <c r="O6" s="48"/>
      <c r="P6" s="434" t="str">
        <f>IF(N6="Х","Х",IF(O6&lt;2.5," ",IF(O6&gt;=2.5,IF(G6+I6+K6+M6+O6&gt;=6,"Х",IF(AA6&lt;6," "," ")))))</f>
        <v xml:space="preserve"> </v>
      </c>
      <c r="Q6" s="48"/>
      <c r="R6" s="434" t="str">
        <f>IF(P6="Х","Х",IF(Q6&lt;2.5," ",IF(Q6&gt;=2.5,IF(G6+I6+K6+M6+O6+Q6&gt;=6,"Х",IF(AA6&lt;6," "," ")))))</f>
        <v xml:space="preserve"> </v>
      </c>
      <c r="S6" s="48"/>
      <c r="T6" s="436" t="s">
        <v>191</v>
      </c>
      <c r="U6" s="45"/>
      <c r="V6" s="434">
        <f>IF(T6="А1",$AX$7,IF(T6="Б2",$AX$6,IF(T6="Б1",$AY$7,IF(T6="А2",$AY$6,IF(T6="Х","Х",IF(T6&lt;6," "," "))))))</f>
        <v>4</v>
      </c>
      <c r="W6" s="48">
        <v>0</v>
      </c>
      <c r="X6" s="434">
        <f>IF(T6="Х","Х",IF(ISBLANK(W6),"",IF(W6&gt;2.5," ",IF(B6=AZ$6,AZ$7,AZ$6))))</f>
        <v>3</v>
      </c>
      <c r="Y6" s="48">
        <v>3</v>
      </c>
      <c r="Z6" s="463" t="b">
        <f>IF(H6="Х",F5,IF(J6="Х",H5,IF(L6="Х",J5,IF(N6="Х",L5,IF(P6="Х",N5,IF(R6="Х",P5,IF(T6="Х",R5,IF(V6="Х",T5))))))))</f>
        <v>0</v>
      </c>
      <c r="AA6" s="480">
        <f>SUM(G6+I6+K6+M6+O6+Q6+S6+U6+W6+Y6)</f>
        <v>7</v>
      </c>
      <c r="AB6" s="426">
        <f t="shared" ref="AB6:AB26" si="1">AD6+0</f>
        <v>2</v>
      </c>
      <c r="AC6" s="383">
        <f>AB6</f>
        <v>2</v>
      </c>
      <c r="AD6" s="384" t="str">
        <f>COUNTIF(AE$6:AE$119,"&gt;"&amp;AE$6:AE$119)+1&amp;REPT("-"&amp;COUNTIF(AE$6:AE$119,"&gt;="&amp;AE$6:AE$119),COUNTIF(AE$6:AE$119,AE6)&gt;1)</f>
        <v>2</v>
      </c>
      <c r="AE6" s="385">
        <f>(AP6*100)+(AN6*10)-AA6</f>
        <v>1053</v>
      </c>
      <c r="AF6" s="387" t="str">
        <f>IF(OR(F6="Х",F6="св")," ",IF(AND(G6&gt;=0,G6&lt;3),"1"," "))</f>
        <v>1</v>
      </c>
      <c r="AG6" s="387" t="str">
        <f>IF(OR(H6="Х",H6="св")," ",IF(AND(I6&gt;=0,I6&lt;3),"1"," "))</f>
        <v xml:space="preserve"> </v>
      </c>
      <c r="AH6" s="387" t="str">
        <f>IF(OR(J6="Х",J6="св")," ",IF(AND(K6&gt;=0,K6&lt;3),"1"," "))</f>
        <v xml:space="preserve"> </v>
      </c>
      <c r="AI6" s="387" t="str">
        <f>IF(OR(L6="Х",L6="св")," ",IF(AND(M6&gt;=0,M6&lt;3),"1"," "))</f>
        <v>1</v>
      </c>
      <c r="AJ6" s="387" t="str">
        <f>IF(OR(N6="Х",N6="св")," ",IF(AND(O6&gt;=0,O6&lt;3),"1"," "))</f>
        <v>1</v>
      </c>
      <c r="AK6" s="387" t="str">
        <f>IF(OR(P6="Х",P6="св")," ",IF(AND(Q6&gt;=0,Q6&lt;3),"1"," "))</f>
        <v>1</v>
      </c>
      <c r="AL6" s="387" t="str">
        <f>IF(OR(R6="Х",R6="св")," ",IF(AND(S6&gt;=0,S6&lt;3),"1"," "))</f>
        <v>1</v>
      </c>
      <c r="AM6" s="387" t="str">
        <f>IF(OR(T6="Х",T6="св")," ",IF(AND(U6&gt;=0,U6&lt;3),"1"," "))</f>
        <v>1</v>
      </c>
      <c r="AN6" s="388">
        <f>COUNTIF(AF6:AM7,1)</f>
        <v>6</v>
      </c>
      <c r="AO6" s="390">
        <f>AE6-AA6</f>
        <v>1046</v>
      </c>
      <c r="AP6" s="391">
        <f t="shared" ref="AP6" si="2">IF(F6=0,0,IF(F6="Х",1,IF(H6="Х",2,IF(J6="Х",3,IF(L6="Х",4,IF(N6="Х",5,IF(P6="Х",6,IF(R6="Х",7,IF(T6="Х",8,IF(W6&gt;2.5,9,IF(Y6&gt;2.5,10,IF(Y6&gt;=0,11,IF(Y6=" ",0,)))))))))))))</f>
        <v>10</v>
      </c>
      <c r="AQ6" s="384" t="str">
        <f>COUNTIF(AE$6:AE$119,"&gt;"&amp;AE$6:AE$119)+1&amp;REPT("-"&amp;COUNTIF(AE$6:AE$119,"&gt;="&amp;AE$6:AE$119),COUNTIF(AE$6:AE$119,AE6)&gt;1)</f>
        <v>2</v>
      </c>
      <c r="AR6" s="396"/>
      <c r="AS6" s="183"/>
      <c r="AT6" s="183"/>
      <c r="AU6" s="183"/>
      <c r="AV6" s="383">
        <f t="shared" ref="AV6" si="3">IF(V6="Х","Х",IF(W6&lt;3,B6,"Х"))</f>
        <v>1</v>
      </c>
      <c r="AW6" s="19"/>
      <c r="AX6" s="53">
        <f>INDEX(B6:T119,MATCH("А1",T6:T119,0),MATCH("№ п/ж",B4:C4,0))</f>
        <v>3</v>
      </c>
      <c r="AY6" s="53">
        <f>INDEX(B6:T119,MATCH("Б1",T6:T119,0),MATCH("№ п/ж",B4:C4,0))</f>
        <v>4</v>
      </c>
      <c r="AZ6" s="52">
        <f>IF(ISERROR(BA6),AX7,AX6)</f>
        <v>3</v>
      </c>
      <c r="BA6" s="204">
        <f>INDEX(B$6:T$119,MATCH(AX6,AV$6:AV$119,0),MATCH("№ п/ж",B$4:C$4,0))</f>
        <v>3</v>
      </c>
      <c r="BB6" s="204" t="e">
        <f>INDEX(B$6:T$119,MATCH(AY6,AV$6:AV$119,0),MATCH("№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4">
        <f>IF(J6="х"," ",B6)</f>
        <v>1</v>
      </c>
      <c r="BV6" s="374">
        <f>IF(L6="х"," ",B6)</f>
        <v>1</v>
      </c>
      <c r="BW6" s="374" t="str">
        <f>IF(BV6=" "," ",L6)</f>
        <v xml:space="preserve"> </v>
      </c>
      <c r="BX6" s="374" t="str">
        <f>IF(BU6=" "," ",J6)</f>
        <v>св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4">
        <f>IF(N6="х"," ",B6)</f>
        <v>1</v>
      </c>
      <c r="CG6" s="374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4">
        <f>IF(P6="х"," ",B6)</f>
        <v>1</v>
      </c>
      <c r="CM6" s="37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4">
        <f>IF(R6="х"," ",B6)</f>
        <v>1</v>
      </c>
      <c r="CS6" s="37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6"/>
      <c r="B7" s="459"/>
      <c r="C7" s="432"/>
      <c r="D7" s="433"/>
      <c r="E7" s="454"/>
      <c r="F7" s="437"/>
      <c r="G7" s="43" t="s">
        <v>186</v>
      </c>
      <c r="H7" s="436"/>
      <c r="I7" s="43"/>
      <c r="J7" s="436"/>
      <c r="K7" s="43"/>
      <c r="L7" s="436"/>
      <c r="M7" s="43"/>
      <c r="N7" s="436"/>
      <c r="O7" s="43"/>
      <c r="P7" s="436"/>
      <c r="Q7" s="43"/>
      <c r="R7" s="436"/>
      <c r="S7" s="43"/>
      <c r="T7" s="436"/>
      <c r="U7" s="128"/>
      <c r="V7" s="436"/>
      <c r="W7" s="43" t="s">
        <v>193</v>
      </c>
      <c r="X7" s="436"/>
      <c r="Y7" s="43"/>
      <c r="Z7" s="418"/>
      <c r="AA7" s="417"/>
      <c r="AB7" s="427"/>
      <c r="AC7" s="383"/>
      <c r="AD7" s="384"/>
      <c r="AE7" s="386"/>
      <c r="AF7" s="387"/>
      <c r="AG7" s="387"/>
      <c r="AH7" s="387"/>
      <c r="AI7" s="387"/>
      <c r="AJ7" s="387"/>
      <c r="AK7" s="387"/>
      <c r="AL7" s="387"/>
      <c r="AM7" s="387"/>
      <c r="AN7" s="389"/>
      <c r="AO7" s="384"/>
      <c r="AP7" s="391"/>
      <c r="AQ7" s="384"/>
      <c r="AR7" s="396"/>
      <c r="AS7" s="183"/>
      <c r="AT7" s="183"/>
      <c r="AU7" s="183"/>
      <c r="AV7" s="383"/>
      <c r="AW7" s="19"/>
      <c r="AX7" s="35">
        <f>INDEX(B6:T119,MATCH("Б2",T6:T119,0),MATCH("№ п/ж",B4:C4,0))</f>
        <v>5</v>
      </c>
      <c r="AY7" s="35">
        <f>INDEX(B6:T119,MATCH("А2",T6:T119,0),MATCH("№ п/ж",B4:C4,0))</f>
        <v>1</v>
      </c>
      <c r="AZ7" s="52">
        <f>IF(ISERROR(BB6),AY7,AY6)</f>
        <v>1</v>
      </c>
      <c r="BA7" s="204" t="e">
        <f>INDEX(B6:T119,MATCH(AX7,AV6:AV119,0),MATCH("№ п/ж",B4:C4,0))</f>
        <v>#N/A</v>
      </c>
      <c r="BB7" s="204">
        <f>INDEX(B$6:T$119,MATCH(AY7,AV$6:AV$119,0),MATCH("№ п/ж",B$4:C$4,0))</f>
        <v>1</v>
      </c>
      <c r="BC7" s="49"/>
      <c r="BD7" s="49"/>
      <c r="BE7" s="49"/>
      <c r="BF7" s="49"/>
      <c r="BG7" s="206"/>
      <c r="BH7" s="206"/>
      <c r="BU7" s="374"/>
      <c r="BV7" s="374"/>
      <c r="BW7" s="374"/>
      <c r="BX7" s="374"/>
      <c r="BY7" s="61" t="str">
        <f>IF(BY6&gt;=1,BX6,0)</f>
        <v>св</v>
      </c>
      <c r="BZ7" s="61" t="str">
        <f t="shared" ref="BZ7:BZ19" si="4">IF(BY7=0," ",BY7)</f>
        <v>св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4</v>
      </c>
      <c r="CF7" s="374"/>
      <c r="CG7" s="374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374"/>
      <c r="CM7" s="374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374"/>
      <c r="CS7" s="374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445"/>
      <c r="B8" s="430">
        <v>2</v>
      </c>
      <c r="C8" s="420" t="str">
        <f>(VLOOKUP(B8,пр.взв!$B$7:$H$76,2,0))</f>
        <v>ЛУТФУЛЛИНА Эльвина Фанилевна</v>
      </c>
      <c r="D8" s="422" t="str">
        <f>(VLOOKUP(B8,пр.взв!$B$7:$H$76,3,0))</f>
        <v>24.02.97, КМС</v>
      </c>
      <c r="E8" s="424" t="str">
        <f>(VLOOKUP(B8,пр.взв!$B$7:$H$76,5,0))</f>
        <v>Свердловская, Екатеринбург, СШОР ПО САМБО И ДЗЮДО</v>
      </c>
      <c r="F8" s="439">
        <v>1</v>
      </c>
      <c r="G8" s="42">
        <v>4</v>
      </c>
      <c r="H8" s="456" t="s">
        <v>185</v>
      </c>
      <c r="I8" s="42"/>
      <c r="J8" s="456">
        <v>3</v>
      </c>
      <c r="K8" s="42">
        <v>4</v>
      </c>
      <c r="L8" s="456" t="str">
        <f t="shared" ref="L8" si="8">IF(J8="Х","Х",IF(K8&lt;2.5," ",IF(K8&gt;=2.5,IF(G8+I8+K8&gt;=6,"Х",IF(AA8&lt;6," "," ")))))</f>
        <v>Х</v>
      </c>
      <c r="M8" s="42"/>
      <c r="N8" s="456" t="str">
        <f>IF(L8="Х","Х",IF(M8&lt;2.5," ",IF(M8&gt;=2.5,IF(G8+I8+K8+M8&gt;=6,"Х",IF(AA8&lt;6," "," ")))))</f>
        <v>Х</v>
      </c>
      <c r="O8" s="42"/>
      <c r="P8" s="456" t="str">
        <f>IF(N8="Х","Х",IF(O8&lt;2.5," ",IF(O8&gt;=2.5,IF(G8+I8+K8+M8+O8&gt;=6,"Х",IF(AA8&lt;6," "," ")))))</f>
        <v>Х</v>
      </c>
      <c r="Q8" s="42"/>
      <c r="R8" s="456" t="str">
        <f>IF(P8="Х","Х",IF(Q8&lt;2.5," ",IF(Q8&gt;=2.5,IF(G8+I8+K8+M8+O8+Q8&gt;=6,"Х",IF(AA8&lt;6," "," ")))))</f>
        <v>Х</v>
      </c>
      <c r="S8" s="42"/>
      <c r="T8" s="456" t="str">
        <f t="shared" ref="T8" si="9">IF(R8="Х","Х",IF(S8&lt;2.5," ",IF(S8&gt;=2.5,IF(G8+I8+K8+M8+O8+Q8+S8&gt;=6,"Х",IF(AA8&lt;6," "," ")))))</f>
        <v>Х</v>
      </c>
      <c r="U8" s="46"/>
      <c r="V8" s="456" t="str">
        <f>IF(T8="А1",$AX$7,IF(T8="Б2",$AX$6,IF(T8="Б1",$AY$7,IF(T8="А2",$AY$6,IF(T8="Х","Х",IF(T8&lt;6," "," "))))))</f>
        <v>Х</v>
      </c>
      <c r="W8" s="42"/>
      <c r="X8" s="456" t="str">
        <f>IF(T8="Х","Х",IF(ISBLANK(W8),"",IF(W8&gt;2.5," ",IF(B8=AZ$6,AZ$7,AZ$6))))</f>
        <v>Х</v>
      </c>
      <c r="Y8" s="42"/>
      <c r="Z8" s="441">
        <f>IF(H8="Х",F5,IF(J8="Х",H5,IF(L8="Х",J5,IF(N8="Х",L5,IF(P8="Х",N5,IF(R8="Х",P5,IF(T8="Х",R5,IF(V8="Х",T5))))))))</f>
        <v>3</v>
      </c>
      <c r="AA8" s="415">
        <f>SUM(G8+I8+K8+M8+O8+Q8+S8+U8+W8+Y8)</f>
        <v>8</v>
      </c>
      <c r="AB8" s="426">
        <f t="shared" si="1"/>
        <v>5</v>
      </c>
      <c r="AC8" s="393">
        <f>AB8</f>
        <v>5</v>
      </c>
      <c r="AD8" s="384" t="str">
        <f>COUNTIF(AE$6:AE$119,"&gt;"&amp;AE$6:AE$119)+1&amp;REPT("-"&amp;COUNTIF(AE$6:AE$119,"&gt;="&amp;AE$6:AE$119),COUNTIF(AE$6:AE$119,AE8)&gt;1)</f>
        <v>5</v>
      </c>
      <c r="AE8" s="385">
        <f>(AP8*100)+(AN8*10)-AA8</f>
        <v>392</v>
      </c>
      <c r="AF8" s="394" t="str">
        <f>IF(OR(F8="Х",F8="св")," ",IF(AND(G8&gt;=0,G8&lt;3),"1"," "))</f>
        <v xml:space="preserve"> </v>
      </c>
      <c r="AG8" s="387" t="str">
        <f>IF(OR(H8="Х",H8="св")," ",IF(AND(I8&gt;=0,I8&lt;3),"1"," "))</f>
        <v xml:space="preserve"> </v>
      </c>
      <c r="AH8" s="387" t="str">
        <f>IF(OR(J8="Х",J8="св")," ",IF(AND(K8&gt;=0,K8&lt;3),"1"," "))</f>
        <v xml:space="preserve"> </v>
      </c>
      <c r="AI8" s="387" t="str">
        <f>IF(OR(L8="Х",L8="св")," ",IF(AND(M8&gt;=0,M8&lt;3),"1"," "))</f>
        <v xml:space="preserve"> </v>
      </c>
      <c r="AJ8" s="387" t="str">
        <f>IF(OR(N8="Х",N8="св")," ",IF(AND(O8&gt;=0,O8&lt;3),"1"," "))</f>
        <v xml:space="preserve"> </v>
      </c>
      <c r="AK8" s="387" t="str">
        <f>IF(OR(P8="Х",P8="св")," ",IF(AND(Q8&gt;=0,Q8&lt;3),"1"," "))</f>
        <v xml:space="preserve"> </v>
      </c>
      <c r="AL8" s="387" t="str">
        <f>IF(OR(R8="Х",R8="св")," ",IF(AND(S8&gt;=0,S8&lt;3),"1"," "))</f>
        <v xml:space="preserve"> </v>
      </c>
      <c r="AM8" s="387" t="str">
        <f>IF(OR(T8="Х",T8="св")," ",IF(AND(U8&gt;=0,U8&lt;3),"1"," "))</f>
        <v xml:space="preserve"> </v>
      </c>
      <c r="AN8" s="388">
        <f>COUNTIF(AF8:AM9,1)</f>
        <v>0</v>
      </c>
      <c r="AO8" s="390">
        <f>AE8-AA8</f>
        <v>384</v>
      </c>
      <c r="AP8" s="391">
        <f t="shared" ref="AP8:AP72" si="10">IF(F8=0,0,IF(F8="Х",1,IF(H8="Х",2,IF(J8="Х",3,IF(L8="Х",4,IF(N8="Х",5,IF(P8="Х",6,IF(R8="Х",7,IF(T8="Х",8,IF(W8&gt;2.5,9,IF(Y8&gt;2.5,10,IF(Y8&gt;=0,11,IF(Y8=" ",0,)))))))))))))</f>
        <v>4</v>
      </c>
      <c r="AQ8" s="384" t="str">
        <f>COUNTIF(AE$6:AE$119,"&gt;"&amp;AE$6:AE$119)+1&amp;REPT("-"&amp;COUNTIF(AE$6:AE$119,"&gt;="&amp;AE$6:AE$119),COUNTIF(AE$6:AE$119,AE8)&gt;1)</f>
        <v>5</v>
      </c>
      <c r="AR8" s="396">
        <f>IF(AR4=1,1000,0)</f>
        <v>0</v>
      </c>
      <c r="AS8" s="183"/>
      <c r="AT8" s="183"/>
      <c r="AU8" s="183"/>
      <c r="AV8" s="383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4">
        <f>IF(J8="х"," ",B8)</f>
        <v>2</v>
      </c>
      <c r="BV8" s="374" t="str">
        <f>IF(L8="х"," ",B8)</f>
        <v xml:space="preserve"> </v>
      </c>
      <c r="BW8" s="374" t="str">
        <f>IF(BV8=" "," ",L8)</f>
        <v xml:space="preserve"> </v>
      </c>
      <c r="BX8" s="374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5</v>
      </c>
      <c r="CF8" s="374" t="str">
        <f>IF(N8="х"," ",B8)</f>
        <v xml:space="preserve"> </v>
      </c>
      <c r="CG8" s="374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374" t="str">
        <f>IF(P8="х"," ",B8)</f>
        <v xml:space="preserve"> </v>
      </c>
      <c r="CM8" s="374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374" t="str">
        <f t="shared" ref="CR8" si="13">IF(R8="х"," ",B8)</f>
        <v xml:space="preserve"> </v>
      </c>
      <c r="CS8" s="374" t="str">
        <f t="shared" ref="CS8" si="14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446"/>
      <c r="B9" s="459"/>
      <c r="C9" s="432"/>
      <c r="D9" s="433"/>
      <c r="E9" s="454"/>
      <c r="F9" s="437"/>
      <c r="G9" s="43" t="s">
        <v>186</v>
      </c>
      <c r="H9" s="436"/>
      <c r="I9" s="43"/>
      <c r="J9" s="436"/>
      <c r="K9" s="43"/>
      <c r="L9" s="436"/>
      <c r="M9" s="43"/>
      <c r="N9" s="436"/>
      <c r="O9" s="43"/>
      <c r="P9" s="436"/>
      <c r="Q9" s="43"/>
      <c r="R9" s="436"/>
      <c r="S9" s="43"/>
      <c r="T9" s="436"/>
      <c r="U9" s="128"/>
      <c r="V9" s="436"/>
      <c r="W9" s="43"/>
      <c r="X9" s="436"/>
      <c r="Y9" s="43"/>
      <c r="Z9" s="442"/>
      <c r="AA9" s="417"/>
      <c r="AB9" s="442"/>
      <c r="AC9" s="393"/>
      <c r="AD9" s="384"/>
      <c r="AE9" s="386"/>
      <c r="AF9" s="395"/>
      <c r="AG9" s="387"/>
      <c r="AH9" s="387"/>
      <c r="AI9" s="387"/>
      <c r="AJ9" s="387"/>
      <c r="AK9" s="387"/>
      <c r="AL9" s="387"/>
      <c r="AM9" s="387"/>
      <c r="AN9" s="389"/>
      <c r="AO9" s="384"/>
      <c r="AP9" s="391"/>
      <c r="AQ9" s="384"/>
      <c r="AR9" s="396"/>
      <c r="AS9" s="183"/>
      <c r="AT9" s="183"/>
      <c r="AU9" s="183"/>
      <c r="AV9" s="383"/>
      <c r="AW9" s="375" t="s">
        <v>73</v>
      </c>
      <c r="AX9" s="376"/>
      <c r="AY9" s="376"/>
      <c r="AZ9" s="377"/>
      <c r="BA9" s="87"/>
      <c r="BB9" s="375" t="s">
        <v>74</v>
      </c>
      <c r="BC9" s="376"/>
      <c r="BD9" s="376"/>
      <c r="BE9" s="377"/>
      <c r="BF9" s="87"/>
      <c r="BG9" s="206"/>
      <c r="BH9" s="206"/>
      <c r="BU9" s="374"/>
      <c r="BV9" s="374"/>
      <c r="BW9" s="374"/>
      <c r="BX9" s="374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6</v>
      </c>
      <c r="CF9" s="374"/>
      <c r="CG9" s="374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6</v>
      </c>
      <c r="CL9" s="374"/>
      <c r="CM9" s="374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6</v>
      </c>
      <c r="CR9" s="374"/>
      <c r="CS9" s="374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6</v>
      </c>
    </row>
    <row r="10" spans="1:100" ht="12" customHeight="1" thickTop="1" thickBot="1">
      <c r="A10" s="81"/>
      <c r="B10" s="411">
        <v>3</v>
      </c>
      <c r="C10" s="420" t="str">
        <f>(VLOOKUP(B10,пр.взв!$B$7:$H$76,2,0))</f>
        <v>СУСЛОВА Екатерина Алексеевна</v>
      </c>
      <c r="D10" s="422" t="str">
        <f>(VLOOKUP(B10,пр.взв!$B$7:$H$76,3,0))</f>
        <v>09.04.98, КМС</v>
      </c>
      <c r="E10" s="424" t="str">
        <f>(VLOOKUP(B10,пр.взв!$B$7:$H$76,5,0))</f>
        <v>Свердловская, Н-Тагил, СШ№3</v>
      </c>
      <c r="F10" s="439" t="s">
        <v>185</v>
      </c>
      <c r="G10" s="42"/>
      <c r="H10" s="456">
        <v>1</v>
      </c>
      <c r="I10" s="42">
        <v>0</v>
      </c>
      <c r="J10" s="456">
        <v>2</v>
      </c>
      <c r="K10" s="42">
        <v>0</v>
      </c>
      <c r="L10" s="456" t="str">
        <f t="shared" ref="L10:L14" si="15">IF(J10="Х","Х",IF(K10&lt;2.5," ",IF(K10&gt;=2.5,IF(G10+I10+K10&gt;=6,"Х",IF(AA10&lt;6," "," ")))))</f>
        <v xml:space="preserve"> </v>
      </c>
      <c r="M10" s="42"/>
      <c r="N10" s="456" t="str">
        <f>IF(L10="Х","Х",IF(M10&lt;2.5," ",IF(M10&gt;=2.5,IF(G10+I10+K10+M10&gt;=6,"Х",IF(AA10&lt;6," "," ")))))</f>
        <v xml:space="preserve"> </v>
      </c>
      <c r="O10" s="42"/>
      <c r="P10" s="456" t="str">
        <f>IF(N10="Х","Х",IF(O10&lt;2.5," ",IF(O10&gt;=2.5,IF(G10+I10+K10+M10+O10&gt;=6,"Х",IF(AA10&lt;6," "," ")))))</f>
        <v xml:space="preserve"> </v>
      </c>
      <c r="Q10" s="42"/>
      <c r="R10" s="456" t="str">
        <f>IF(P10="Х","Х",IF(Q10&lt;2.5," ",IF(Q10&gt;=2.5,IF(G10+I10+K10+M10+O10+Q10&gt;=6,"Х",IF(AA10&lt;6," "," ")))))</f>
        <v xml:space="preserve"> </v>
      </c>
      <c r="S10" s="42"/>
      <c r="T10" s="456" t="s">
        <v>192</v>
      </c>
      <c r="U10" s="46"/>
      <c r="V10" s="456">
        <f>IF(T10="А1",$AX$7,IF(T10="Б2",$AX$6,IF(T10="Б1",$AY$7,IF(T10="А2",$AY$6,IF(T10="Х","Х",IF(T10&lt;6," "," "))))))</f>
        <v>5</v>
      </c>
      <c r="W10" s="42">
        <v>0</v>
      </c>
      <c r="X10" s="456">
        <f t="shared" ref="X10" si="16">IF(T10="Х","Х",IF(ISBLANK(W10),"",IF(W10&gt;2.5," ",IF(B10=AZ$6,AZ$7,AZ$6))))</f>
        <v>1</v>
      </c>
      <c r="Y10" s="42">
        <v>1</v>
      </c>
      <c r="Z10" s="441" t="b">
        <f>IF(H10="Х",F5,IF(J10="Х",H5,IF(L10="Х",J5,IF(N10="Х",L5,IF(P10="Х",N5,IF(R10="Х",P5,IF(T10="Х",R5,IF(V10="Х",T5))))))))</f>
        <v>0</v>
      </c>
      <c r="AA10" s="415">
        <f>SUM(G10+I10+K10+M10+O10+Q10+S10+U10+W10+Y10)</f>
        <v>1</v>
      </c>
      <c r="AB10" s="441">
        <f t="shared" si="1"/>
        <v>1</v>
      </c>
      <c r="AC10" s="393">
        <f>AB10</f>
        <v>1</v>
      </c>
      <c r="AD10" s="384" t="str">
        <f>COUNTIF(AE$6:AE$119,"&gt;"&amp;AE$6:AE$119)+1&amp;REPT("-"&amp;COUNTIF(AE$6:AE$119,"&gt;="&amp;AE$6:AE$119),COUNTIF(AE$6:AE$119,AE10)&gt;1)</f>
        <v>1</v>
      </c>
      <c r="AE10" s="385">
        <f>(AP10*100)+(AN10*10)-AA10</f>
        <v>1169</v>
      </c>
      <c r="AF10" s="387" t="str">
        <f>IF(OR(F10="Х",F10="св")," ",IF(AND(G10&gt;=0,G10&lt;3),"1"," "))</f>
        <v xml:space="preserve"> </v>
      </c>
      <c r="AG10" s="387" t="str">
        <f>IF(OR(H10="Х",H10="св")," ",IF(AND(I10&gt;=0,I10&lt;3),"1"," "))</f>
        <v>1</v>
      </c>
      <c r="AH10" s="394" t="str">
        <f>IF(OR(J10="Х",J10="св")," ",IF(AND(K10&gt;=0,K10&lt;3),"1"," "))</f>
        <v>1</v>
      </c>
      <c r="AI10" s="387" t="str">
        <f>IF(OR(L10="Х",L10="св")," ",IF(AND(M10&gt;=0,M10&lt;3),"1"," "))</f>
        <v>1</v>
      </c>
      <c r="AJ10" s="387" t="str">
        <f>IF(OR(N10="Х",N10="св")," ",IF(AND(O10&gt;=0,O10&lt;3),"1"," "))</f>
        <v>1</v>
      </c>
      <c r="AK10" s="387" t="str">
        <f>IF(OR(P10="Х",P10="св")," ",IF(AND(Q10&gt;=0,Q10&lt;3),"1"," "))</f>
        <v>1</v>
      </c>
      <c r="AL10" s="387" t="str">
        <f>IF(OR(R10="Х",R10="св")," ",IF(AND(S10&gt;=0,S10&lt;3),"1"," "))</f>
        <v>1</v>
      </c>
      <c r="AM10" s="387" t="str">
        <f>IF(OR(T10="Х",T10="св")," ",IF(AND(U10&gt;=0,U10&lt;3),"1"," "))</f>
        <v>1</v>
      </c>
      <c r="AN10" s="388">
        <f>COUNTIF(AF10:AM11,1)</f>
        <v>7</v>
      </c>
      <c r="AO10" s="390">
        <f>AE10-AA10</f>
        <v>1168</v>
      </c>
      <c r="AP10" s="391">
        <f t="shared" si="10"/>
        <v>11</v>
      </c>
      <c r="AQ10" s="384" t="str">
        <f>COUNTIF(AE$6:AE$119,"&gt;"&amp;AE$6:AE$119)+1&amp;REPT("-"&amp;COUNTIF(AE$6:AE$119,"&gt;="&amp;AE$6:AE$119),COUNTIF(AE$6:AE$119,AE10)&gt;1)</f>
        <v>1</v>
      </c>
      <c r="AR10" s="396">
        <f t="shared" ref="AR10" si="17">IF(AB10=1,AR$4,AR$5)</f>
        <v>0</v>
      </c>
      <c r="AS10" s="183"/>
      <c r="AT10" s="183"/>
      <c r="AU10" s="183"/>
      <c r="AV10" s="383">
        <f>IF(V10="Х","Х",IF(W10&lt;3,B10,"Х"))</f>
        <v>3</v>
      </c>
      <c r="AW10" s="380" t="s">
        <v>0</v>
      </c>
      <c r="AX10" s="378"/>
      <c r="AY10" s="379" t="s">
        <v>33</v>
      </c>
      <c r="AZ10" s="379"/>
      <c r="BA10" s="82"/>
      <c r="BB10" s="379" t="s">
        <v>0</v>
      </c>
      <c r="BC10" s="379"/>
      <c r="BD10" s="380" t="s">
        <v>33</v>
      </c>
      <c r="BE10" s="381"/>
      <c r="BF10" s="88"/>
      <c r="BU10" s="374">
        <f>IF(J10="х"," ",B10)</f>
        <v>3</v>
      </c>
      <c r="BV10" s="374">
        <f>IF(L10="х"," ",B10)</f>
        <v>3</v>
      </c>
      <c r="BW10" s="374" t="str">
        <f>IF(BV10=" "," ",L10)</f>
        <v xml:space="preserve"> </v>
      </c>
      <c r="BX10" s="374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10">
        <f>IF(BV10&lt;BW10,BV10,0)</f>
        <v>3</v>
      </c>
      <c r="CC10" s="125">
        <f t="shared" si="5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7</v>
      </c>
      <c r="CF10" s="374">
        <f>IF(N10="х"," ",B10)</f>
        <v>3</v>
      </c>
      <c r="CG10" s="374" t="str">
        <f>IF(CF10=" "," ",N10)</f>
        <v xml:space="preserve"> </v>
      </c>
      <c r="CH10" s="125">
        <f>IF(CF10&lt;CG10,CF10,0)</f>
        <v>3</v>
      </c>
      <c r="CI10">
        <f t="shared" si="12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7</v>
      </c>
      <c r="CL10" s="374">
        <f>IF(P10="х"," ",B10)</f>
        <v>3</v>
      </c>
      <c r="CM10" s="374" t="str">
        <f>IF(CL10=" "," ",P10)</f>
        <v xml:space="preserve"> </v>
      </c>
      <c r="CN10">
        <f>IF(CL10&lt;CM10,CL10,0)</f>
        <v>3</v>
      </c>
      <c r="CO10">
        <f t="shared" si="6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7</v>
      </c>
      <c r="CR10" s="374">
        <f t="shared" ref="CR10" si="18">IF(R10="х"," ",B10)</f>
        <v>3</v>
      </c>
      <c r="CS10" s="374" t="str">
        <f t="shared" ref="CS10" si="19">IF(CR10=" "," ",R10)</f>
        <v xml:space="preserve"> </v>
      </c>
      <c r="CT10">
        <f>IF(CR10&lt;CS10,CR10,0)</f>
        <v>3</v>
      </c>
      <c r="CU10">
        <f t="shared" si="7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7</v>
      </c>
    </row>
    <row r="11" spans="1:100" ht="12" customHeight="1" thickBot="1">
      <c r="A11" s="81"/>
      <c r="B11" s="412"/>
      <c r="C11" s="421"/>
      <c r="D11" s="423"/>
      <c r="E11" s="425"/>
      <c r="F11" s="438"/>
      <c r="G11" s="44"/>
      <c r="H11" s="435"/>
      <c r="I11" s="44" t="s">
        <v>189</v>
      </c>
      <c r="J11" s="435"/>
      <c r="K11" s="44" t="s">
        <v>190</v>
      </c>
      <c r="L11" s="435"/>
      <c r="M11" s="44"/>
      <c r="N11" s="435"/>
      <c r="O11" s="44"/>
      <c r="P11" s="435"/>
      <c r="Q11" s="44"/>
      <c r="R11" s="435"/>
      <c r="S11" s="44"/>
      <c r="T11" s="435"/>
      <c r="U11" s="47"/>
      <c r="V11" s="435"/>
      <c r="W11" s="44" t="s">
        <v>194</v>
      </c>
      <c r="X11" s="435"/>
      <c r="Y11" s="44"/>
      <c r="Z11" s="427"/>
      <c r="AA11" s="416"/>
      <c r="AB11" s="427"/>
      <c r="AC11" s="393"/>
      <c r="AD11" s="384"/>
      <c r="AE11" s="386"/>
      <c r="AF11" s="387"/>
      <c r="AG11" s="387"/>
      <c r="AH11" s="395"/>
      <c r="AI11" s="387"/>
      <c r="AJ11" s="387"/>
      <c r="AK11" s="387"/>
      <c r="AL11" s="387"/>
      <c r="AM11" s="387"/>
      <c r="AN11" s="389"/>
      <c r="AO11" s="384"/>
      <c r="AP11" s="391"/>
      <c r="AQ11" s="384"/>
      <c r="AR11" s="396"/>
      <c r="AS11" s="183"/>
      <c r="AT11" s="183"/>
      <c r="AU11" s="183"/>
      <c r="AV11" s="383"/>
      <c r="AW11" s="85">
        <f ca="1">IF(CA3&gt;AW$3," ",CA3)</f>
        <v>1</v>
      </c>
      <c r="AX11" s="58" t="str">
        <f ca="1">IF(CA4&gt;AW$3," ",CA4)</f>
        <v xml:space="preserve"> </v>
      </c>
      <c r="AY11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5</v>
      </c>
      <c r="BA11" s="83"/>
      <c r="BB11" s="85">
        <f ca="1">IF(CD3&gt;AW$3," ",CD3)</f>
        <v>1</v>
      </c>
      <c r="BC11" s="58">
        <f ca="1">IF(CD4&gt;AW$3," ",CD4)</f>
        <v>3</v>
      </c>
      <c r="BD11" s="85">
        <f ca="1">IF(BB14=0,BB15,IF(BB15=0,BB16,IF(BB16=0,BB17,IF(BB17=0,BB18,IF(BB18=0,BB19,IF(BB19=0,BB20,IF(BB20=0,BB21,IF(BB21=0,BB22,IF(BB22=0,BB23,IF(BB23=0,BB24,IF(BB24=0,BB25,IF(BB25=0,BB26,IF(BB26=0,BB27,IF(BB27=0,BB28))))))))))))))</f>
        <v>4</v>
      </c>
      <c r="BE11" s="126">
        <f ca="1">IF(BC14=0,BC15,IF(BC15=0,BC16,IF(BC16=0,BC17,IF(BC17=0,BC18,IF(BC18=0,BC19,IF(BC19=0,BC20,IF(BC20=0,BC21,IF(BC21=0,BC22,IF(BC22=0,BC23,IF(BC23=0,BC24,IF(BC24=0,BC25,IF(BC25=0,BC26,IF(BC26=0,BC27,IF(BC27=0,BC28))))))))))))))</f>
        <v>5</v>
      </c>
      <c r="BF11" s="89"/>
      <c r="BG11" s="375" t="s">
        <v>77</v>
      </c>
      <c r="BH11" s="376"/>
      <c r="BI11" s="376"/>
      <c r="BJ11" s="377"/>
      <c r="BL11" s="375" t="s">
        <v>80</v>
      </c>
      <c r="BM11" s="376"/>
      <c r="BN11" s="376"/>
      <c r="BO11" s="377"/>
      <c r="BP11" s="212"/>
      <c r="BQ11" s="375" t="s">
        <v>138</v>
      </c>
      <c r="BR11" s="376"/>
      <c r="BS11" s="376"/>
      <c r="BT11" s="377"/>
      <c r="BU11" s="374"/>
      <c r="BV11" s="374"/>
      <c r="BW11" s="374"/>
      <c r="BX11" s="374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 t="str">
        <f>IF(CB10&gt;=1,BW10,0)</f>
        <v xml:space="preserve"> 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8</v>
      </c>
      <c r="CF11" s="374"/>
      <c r="CG11" s="374"/>
      <c r="CH11" s="125" t="str">
        <f>IF(CH10&gt;=1,CG10,0)</f>
        <v xml:space="preserve"> 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8</v>
      </c>
      <c r="CL11" s="374"/>
      <c r="CM11" s="374"/>
      <c r="CN11" t="str">
        <f>IF(CN10&gt;=1,CM10,0)</f>
        <v xml:space="preserve"> 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8</v>
      </c>
      <c r="CR11" s="374"/>
      <c r="CS11" s="374"/>
      <c r="CT11" t="str">
        <f>IF(CT10&gt;=1,CS10,0)</f>
        <v xml:space="preserve"> 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8</v>
      </c>
    </row>
    <row r="12" spans="1:100" ht="12" customHeight="1" thickTop="1">
      <c r="A12" s="81"/>
      <c r="B12" s="368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70"/>
      <c r="AC12" s="247"/>
      <c r="AD12" s="242"/>
      <c r="AE12" s="243"/>
      <c r="AF12" s="244"/>
      <c r="AG12" s="244"/>
      <c r="AH12" s="248"/>
      <c r="AI12" s="244"/>
      <c r="AJ12" s="244"/>
      <c r="AK12" s="244"/>
      <c r="AL12" s="244"/>
      <c r="AM12" s="244"/>
      <c r="AN12" s="245"/>
      <c r="AO12" s="242"/>
      <c r="AP12" s="246"/>
      <c r="AQ12" s="242"/>
      <c r="AR12" s="249"/>
      <c r="AS12" s="247"/>
      <c r="AT12" s="247"/>
      <c r="AU12" s="247"/>
      <c r="AV12" s="241"/>
      <c r="AW12" s="85"/>
      <c r="AX12" s="58"/>
      <c r="AY12" s="85"/>
      <c r="AZ12" s="126"/>
      <c r="BA12" s="83"/>
      <c r="BB12" s="85"/>
      <c r="BC12" s="58"/>
      <c r="BD12" s="85"/>
      <c r="BE12" s="126"/>
      <c r="BF12" s="89"/>
      <c r="BG12" s="250"/>
      <c r="BH12" s="250"/>
      <c r="BI12" s="250"/>
      <c r="BJ12" s="250"/>
      <c r="BL12" s="250"/>
      <c r="BM12" s="250"/>
      <c r="BN12" s="250"/>
      <c r="BO12" s="250"/>
      <c r="BP12" s="212"/>
      <c r="BQ12" s="250"/>
      <c r="BR12" s="250"/>
      <c r="BS12" s="250"/>
      <c r="BT12" s="250"/>
      <c r="BU12" s="240"/>
      <c r="BV12" s="240"/>
      <c r="BW12" s="240"/>
      <c r="BX12" s="240"/>
      <c r="BY12" s="240"/>
      <c r="BZ12" s="240"/>
      <c r="CA12" s="124"/>
      <c r="CC12" s="125"/>
      <c r="CD12" s="51"/>
      <c r="CF12" s="240"/>
      <c r="CG12" s="240"/>
      <c r="CH12" s="125"/>
      <c r="CJ12" s="51"/>
      <c r="CL12" s="240"/>
      <c r="CM12" s="240"/>
      <c r="CR12" s="240"/>
      <c r="CS12" s="240"/>
    </row>
    <row r="13" spans="1:100" ht="12" customHeight="1" thickBot="1">
      <c r="A13" s="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3"/>
      <c r="AC13" s="247"/>
      <c r="AD13" s="242"/>
      <c r="AE13" s="243"/>
      <c r="AF13" s="244"/>
      <c r="AG13" s="244"/>
      <c r="AH13" s="248"/>
      <c r="AI13" s="244"/>
      <c r="AJ13" s="244"/>
      <c r="AK13" s="244"/>
      <c r="AL13" s="244"/>
      <c r="AM13" s="244"/>
      <c r="AN13" s="245"/>
      <c r="AO13" s="242"/>
      <c r="AP13" s="246"/>
      <c r="AQ13" s="242"/>
      <c r="AR13" s="249"/>
      <c r="AS13" s="247"/>
      <c r="AT13" s="247"/>
      <c r="AU13" s="247"/>
      <c r="AV13" s="241"/>
      <c r="AW13" s="85"/>
      <c r="AX13" s="58"/>
      <c r="AY13" s="85"/>
      <c r="AZ13" s="126"/>
      <c r="BA13" s="83"/>
      <c r="BB13" s="85"/>
      <c r="BC13" s="58"/>
      <c r="BD13" s="85"/>
      <c r="BE13" s="126"/>
      <c r="BF13" s="89"/>
      <c r="BG13" s="250"/>
      <c r="BH13" s="250"/>
      <c r="BI13" s="250"/>
      <c r="BJ13" s="250"/>
      <c r="BL13" s="250"/>
      <c r="BM13" s="250"/>
      <c r="BN13" s="250"/>
      <c r="BO13" s="250"/>
      <c r="BP13" s="212"/>
      <c r="BQ13" s="250"/>
      <c r="BR13" s="250"/>
      <c r="BS13" s="250"/>
      <c r="BT13" s="250"/>
      <c r="BU13" s="240"/>
      <c r="BV13" s="240"/>
      <c r="BW13" s="240"/>
      <c r="BX13" s="240"/>
      <c r="BY13" s="240"/>
      <c r="BZ13" s="240"/>
      <c r="CA13" s="124"/>
      <c r="CC13" s="125"/>
      <c r="CD13" s="51"/>
      <c r="CF13" s="240"/>
      <c r="CG13" s="240"/>
      <c r="CH13" s="125"/>
      <c r="CJ13" s="51"/>
      <c r="CL13" s="240"/>
      <c r="CM13" s="240"/>
      <c r="CR13" s="240"/>
      <c r="CS13" s="240"/>
    </row>
    <row r="14" spans="1:100" ht="12" customHeight="1" thickTop="1">
      <c r="A14" s="81"/>
      <c r="B14" s="431">
        <v>4</v>
      </c>
      <c r="C14" s="432" t="str">
        <f>(VLOOKUP(B14,пр.взв!$B$7:$H$76,2,0))</f>
        <v>СУТОРМИНА Анастасия Евгеньевна</v>
      </c>
      <c r="D14" s="433" t="str">
        <f>(VLOOKUP(B14,пр.взв!$B$7:$H$76,3,0))</f>
        <v>15.11.00, КМС</v>
      </c>
      <c r="E14" s="454" t="str">
        <f>(VLOOKUP(B14,пр.взв!$B$7:$H$76,5,0))</f>
        <v>Свердловская, Екатеринбург,ДЮСК Алый Парус</v>
      </c>
      <c r="F14" s="437">
        <v>5</v>
      </c>
      <c r="G14" s="41">
        <v>1</v>
      </c>
      <c r="H14" s="436"/>
      <c r="I14" s="41"/>
      <c r="J14" s="436" t="str">
        <f t="shared" ref="J14:J70" si="20">IF(H14="Х","Х",IF(I14+G14&lt;6," ",IF(I14+G14&gt;=6,IF(AA14&gt;=6,"Х",IF(AA14&lt;6," "," ")))))</f>
        <v xml:space="preserve"> </v>
      </c>
      <c r="K14" s="41"/>
      <c r="L14" s="436" t="str">
        <f t="shared" si="15"/>
        <v xml:space="preserve"> </v>
      </c>
      <c r="M14" s="41"/>
      <c r="N14" s="436" t="str">
        <f>IF(L14="Х","Х",IF(M14&lt;2.5," ",IF(M14&gt;=2.5,IF(G14+I14+K14+M14&gt;=6,"Х",IF(AA14&lt;6," "," ")))))</f>
        <v xml:space="preserve"> </v>
      </c>
      <c r="O14" s="41"/>
      <c r="P14" s="436" t="str">
        <f>IF(N14="Х","Х",IF(O14&lt;2.5," ",IF(O14&gt;=2.5,IF(G14+I14+K14+M14+O14&gt;=6,"Х",IF(AA14&lt;6," "," ")))))</f>
        <v xml:space="preserve"> </v>
      </c>
      <c r="Q14" s="41"/>
      <c r="R14" s="436" t="str">
        <f>IF(P14="Х","Х",IF(Q14&lt;2.5," ",IF(Q14&gt;=2.5,IF(G14+I14+K14+M14+O14+Q14&gt;=6,"Х",IF(AA14&lt;6," "," ")))))</f>
        <v xml:space="preserve"> </v>
      </c>
      <c r="S14" s="41"/>
      <c r="T14" s="436" t="s">
        <v>187</v>
      </c>
      <c r="U14" s="45"/>
      <c r="V14" s="436">
        <f>IF(T14="А1",$AX$7,IF(T14="Б2",$AX$6,IF(T14="Б1",$AY$7,IF(T14="А2",$AY$6,IF(T14="Х","Х",IF(T14&lt;6," "," "))))))</f>
        <v>1</v>
      </c>
      <c r="W14" s="41">
        <v>4</v>
      </c>
      <c r="X14" s="436" t="str">
        <f t="shared" ref="X14" si="21">IF(T14="Х","Х",IF(ISBLANK(W14),"",IF(W14&gt;2.5," ",IF(B14=AZ$6,AZ$7,AZ$6))))</f>
        <v xml:space="preserve"> </v>
      </c>
      <c r="Y14" s="41"/>
      <c r="Z14" s="418" t="b">
        <f>IF(H14="Х",F5,IF(J14="Х",H5,IF(L14="Х",J5,IF(N14="Х",L5,IF(P14="Х",N5,IF(R14="Х",P5,IF(T14="Х",R5,IF(V14="Х",T5))))))))</f>
        <v>0</v>
      </c>
      <c r="AA14" s="417">
        <f>SUM(G14+I14+K14+M14+O14+Q14+S14+U14+W14+Y14)</f>
        <v>5</v>
      </c>
      <c r="AB14" s="442">
        <f t="shared" si="1"/>
        <v>3</v>
      </c>
      <c r="AC14" s="393">
        <f>AB14</f>
        <v>3</v>
      </c>
      <c r="AD14" s="384" t="str">
        <f>COUNTIF(AE$6:AE$119,"&gt;"&amp;AE$6:AE$119)+1&amp;REPT("-"&amp;COUNTIF(AE$6:AE$119,"&gt;="&amp;AE$6:AE$119),COUNTIF(AE$6:AE$119,AE14)&gt;1)</f>
        <v>3</v>
      </c>
      <c r="AE14" s="385">
        <f t="shared" ref="AE14" si="22">(AP14*100)+(AN14*10)-AA14</f>
        <v>975</v>
      </c>
      <c r="AF14" s="387" t="str">
        <f>IF(OR(F14="Х",F14="св")," ",IF(AND(G14&gt;=0,G14&lt;3),"1"," "))</f>
        <v>1</v>
      </c>
      <c r="AG14" s="387" t="str">
        <f>IF(OR(H14="Х",H14="св")," ",IF(AND(I14&gt;=0,I14&lt;3),"1"," "))</f>
        <v>1</v>
      </c>
      <c r="AH14" s="387" t="str">
        <f>IF(OR(J14="Х",J14="св")," ",IF(AND(K14&gt;=0,K14&lt;3),"1"," "))</f>
        <v>1</v>
      </c>
      <c r="AI14" s="387" t="str">
        <f>IF(OR(L14="Х",L14="св")," ",IF(AND(M14&gt;=0,M14&lt;3),"1"," "))</f>
        <v>1</v>
      </c>
      <c r="AJ14" s="387" t="str">
        <f>IF(OR(N14="Х",N14="св")," ",IF(AND(O14&gt;=0,O14&lt;3),"1"," "))</f>
        <v>1</v>
      </c>
      <c r="AK14" s="387" t="str">
        <f>IF(OR(P14="Х",P14="св")," ",IF(AND(Q14&gt;=0,Q14&lt;3),"1"," "))</f>
        <v>1</v>
      </c>
      <c r="AL14" s="387" t="str">
        <f>IF(OR(R14="Х",R14="св")," ",IF(AND(S14&gt;=0,S14&lt;3),"1"," "))</f>
        <v>1</v>
      </c>
      <c r="AM14" s="387" t="str">
        <f>IF(OR(T14="Х",T14="св")," ",IF(AND(U14&gt;=0,U14&lt;3),"1"," "))</f>
        <v>1</v>
      </c>
      <c r="AN14" s="388">
        <f>COUNTIF(AF14:AM15,1)</f>
        <v>8</v>
      </c>
      <c r="AO14" s="390">
        <f>AE14-AA14</f>
        <v>970</v>
      </c>
      <c r="AP14" s="391">
        <f t="shared" si="10"/>
        <v>9</v>
      </c>
      <c r="AQ14" s="384" t="str">
        <f>COUNTIF(AE$6:AE$119,"&gt;"&amp;AE$6:AE$119)+1&amp;REPT("-"&amp;COUNTIF(AE$6:AE$119,"&gt;="&amp;AE$6:AE$119),COUNTIF(AE$6:AE$119,AE14)&gt;1)</f>
        <v>3</v>
      </c>
      <c r="AR14" s="392"/>
      <c r="AS14" s="183"/>
      <c r="AT14" s="183"/>
      <c r="AU14" s="183"/>
      <c r="AV14" s="383" t="str">
        <f t="shared" ref="AV14" si="23">IF(V14="Х","Х",IF(W14&lt;3,B14,"Х"))</f>
        <v>Х</v>
      </c>
      <c r="AW14" s="85">
        <f ca="1">IF(CA5&gt;AW$3," ",CA5)</f>
        <v>2</v>
      </c>
      <c r="AX14" s="58">
        <f ca="1">IF(CA6&gt;AW$3," ",CA6)</f>
        <v>3</v>
      </c>
      <c r="AY14" s="85" t="str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 xml:space="preserve"> </v>
      </c>
      <c r="AZ14" s="126" t="str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 xml:space="preserve"> 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79" t="s">
        <v>0</v>
      </c>
      <c r="BH14" s="379"/>
      <c r="BI14" s="380" t="s">
        <v>33</v>
      </c>
      <c r="BJ14" s="381"/>
      <c r="BK14" s="74"/>
      <c r="BL14" s="379" t="s">
        <v>0</v>
      </c>
      <c r="BM14" s="379"/>
      <c r="BN14" s="380" t="s">
        <v>33</v>
      </c>
      <c r="BO14" s="381"/>
      <c r="BP14" s="213"/>
      <c r="BQ14" s="378" t="s">
        <v>0</v>
      </c>
      <c r="BR14" s="379"/>
      <c r="BS14" s="380" t="s">
        <v>33</v>
      </c>
      <c r="BT14" s="381"/>
      <c r="BU14" s="382">
        <f>IF(J14="х"," ",B14)</f>
        <v>4</v>
      </c>
      <c r="BV14" s="374">
        <f>IF(L14="х"," ",B14)</f>
        <v>4</v>
      </c>
      <c r="BW14" s="374" t="str">
        <f>IF(BV14=" "," ",L14)</f>
        <v xml:space="preserve"> </v>
      </c>
      <c r="BX14" s="382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11</v>
      </c>
      <c r="CF14" s="374">
        <f>IF(N14="х"," ",B14)</f>
        <v>4</v>
      </c>
      <c r="CG14" s="374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11</v>
      </c>
      <c r="CL14" s="374">
        <f>IF(P14="х"," ",B14)</f>
        <v>4</v>
      </c>
      <c r="CM14" s="374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11</v>
      </c>
      <c r="CR14" s="374">
        <f t="shared" ref="CR14" si="24">IF(R14="х"," ",B14)</f>
        <v>4</v>
      </c>
      <c r="CS14" s="374" t="str">
        <f t="shared" ref="CS14" si="25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11</v>
      </c>
    </row>
    <row r="15" spans="1:100" ht="12" customHeight="1" thickBot="1">
      <c r="A15" s="81"/>
      <c r="B15" s="412"/>
      <c r="C15" s="421"/>
      <c r="D15" s="423"/>
      <c r="E15" s="425"/>
      <c r="F15" s="438"/>
      <c r="G15" s="44"/>
      <c r="H15" s="435"/>
      <c r="I15" s="44"/>
      <c r="J15" s="435"/>
      <c r="K15" s="44"/>
      <c r="L15" s="435"/>
      <c r="M15" s="44"/>
      <c r="N15" s="435"/>
      <c r="O15" s="44"/>
      <c r="P15" s="435"/>
      <c r="Q15" s="44"/>
      <c r="R15" s="435"/>
      <c r="S15" s="44"/>
      <c r="T15" s="435"/>
      <c r="U15" s="47"/>
      <c r="V15" s="435"/>
      <c r="W15" s="44"/>
      <c r="X15" s="435"/>
      <c r="Y15" s="44"/>
      <c r="Z15" s="419"/>
      <c r="AA15" s="416"/>
      <c r="AB15" s="427"/>
      <c r="AC15" s="393"/>
      <c r="AD15" s="384"/>
      <c r="AE15" s="386"/>
      <c r="AF15" s="387"/>
      <c r="AG15" s="387"/>
      <c r="AH15" s="387"/>
      <c r="AI15" s="387"/>
      <c r="AJ15" s="387"/>
      <c r="AK15" s="387"/>
      <c r="AL15" s="387"/>
      <c r="AM15" s="387"/>
      <c r="AN15" s="389"/>
      <c r="AO15" s="384"/>
      <c r="AP15" s="391"/>
      <c r="AQ15" s="384"/>
      <c r="AR15" s="392"/>
      <c r="AS15" s="183"/>
      <c r="AT15" s="183"/>
      <c r="AU15" s="183"/>
      <c r="AV15" s="383"/>
      <c r="AW15" s="85">
        <f ca="1">IF(CA7&gt;AW$3," ",CA7)</f>
        <v>0</v>
      </c>
      <c r="AX15" s="58">
        <f ca="1">IF(CA8&gt;AW$3," ",CA8)</f>
        <v>0</v>
      </c>
      <c r="AY15" s="85" t="str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4</v>
      </c>
      <c r="BC15" s="58">
        <f ca="1">IF(CD8&gt;AW$3," ",CD8)</f>
        <v>5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3</v>
      </c>
      <c r="BI15" s="85">
        <f ca="1">IF(BG16=0,BG17,IF(BG17=0,BG18,IF(BG18=0,BG19,IF(BG19=0,BG20,IF(BG20=0,BG21,IF(BG21=0,BG22,IF(BG22=0,BG23,IF(BG23=0,BG24,IF(BG24=0,BG25,IF(BG25=0,BG26,IF(BG26=0,BG27)))))))))))</f>
        <v>4</v>
      </c>
      <c r="BJ15" s="126">
        <f ca="1">IF(BH16=0,BH17,IF(BH17=0,BH18,IF(BH18=0,BH19,IF(BH19=0,BH20,IF(BH20=0,BH21,IF(BH21=0,BH22,IF(BH22=0,BH23,IF(BH23=0,BH24,IF(BH24=0,BH25,IF(BH25=0,BH26,IF(BH26=0,BH27)))))))))))</f>
        <v>5</v>
      </c>
      <c r="BK15" s="74"/>
      <c r="BL15" s="85">
        <f ca="1">IF(CP3&gt;AW$3," ",CP3)</f>
        <v>1</v>
      </c>
      <c r="BM15" s="58">
        <f ca="1">IF(CP4&gt;AW$3," ",CP4)</f>
        <v>3</v>
      </c>
      <c r="BN15" s="85">
        <f ca="1">IF(BL16=0,BL17,IF(BL17=0,BL18,IF(BL18=0,BL19,IF(BL19=0,BL20,IF(BL20=0,BL21,IF(BL21=0,BL22,IF(BL22=0,BL23,IF(BL23=0,BL24,IF(BL24=0,BL25,IF(BL25=0,BL26,IF(BL26=0,BL27)))))))))))</f>
        <v>4</v>
      </c>
      <c r="BO15" s="209">
        <f ca="1">IF(BM16=0,BM17,IF(BM17=0,BM18,IF(BM18=0,BM19,IF(BM19=0,BM20,IF(BM20=0,BM21,IF(BM21=0,BM22,IF(BM22=0,BM23,IF(BM23=0,BM24,IF(BM24=0,BM25,IF(BM25=0,BM26,IF(BM26=0,BM27)))))))))))</f>
        <v>5</v>
      </c>
      <c r="BP15" s="208"/>
      <c r="BQ15" s="210">
        <f ca="1">IF(CV3&gt;AW$3," ",CV3)</f>
        <v>1</v>
      </c>
      <c r="BR15" s="58">
        <f ca="1">IF(CV4&gt;AW$3," ",CV4)</f>
        <v>3</v>
      </c>
      <c r="BS15" s="85">
        <f ca="1">IF(BQ16=0,BQ17,IF(BQ17=0,BQ18,IF(BQ18=0,BQ19,IF(BQ19=0,BQ20,IF(BQ20=0,BQ21,IF(BQ21=0,BQ22,IF(BQ22=0,BQ23,IF(BQ23=0,BQ24,IF(BQ24=0,BQ25,IF(BQ25=0,BQ26,IF(BQ26=0,BQ27)))))))))))</f>
        <v>4</v>
      </c>
      <c r="BT15" s="126">
        <f ca="1">IF(BR16=0,BR17,IF(BR17=0,BR18,IF(BR18=0,BR19,IF(BR19=0,BR20,IF(BR20=0,BR21,IF(BR21=0,BR22,IF(BR22=0,BR23,IF(BR23=0,BR24,IF(BR24=0,BR25,IF(BR25=0,BR26,IF(BR26=0,BR27)))))))))))</f>
        <v>5</v>
      </c>
      <c r="BU15" s="382"/>
      <c r="BV15" s="374"/>
      <c r="BW15" s="374"/>
      <c r="BX15" s="382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12</v>
      </c>
      <c r="CF15" s="374"/>
      <c r="CG15" s="374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12</v>
      </c>
      <c r="CL15" s="374"/>
      <c r="CM15" s="374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12</v>
      </c>
      <c r="CR15" s="374"/>
      <c r="CS15" s="374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12</v>
      </c>
    </row>
    <row r="16" spans="1:100" ht="12" customHeight="1" thickTop="1">
      <c r="A16" s="81"/>
      <c r="B16" s="411">
        <v>5</v>
      </c>
      <c r="C16" s="420" t="str">
        <f>(VLOOKUP(B16,пр.взв!$B$7:$H$76,2,0))</f>
        <v>ГОРДЕЕВА Софья Александровна</v>
      </c>
      <c r="D16" s="422" t="str">
        <f>(VLOOKUP(B16,пр.взв!$B$7:$H$76,3,0))</f>
        <v>26.04.96, КМС</v>
      </c>
      <c r="E16" s="424" t="str">
        <f>(VLOOKUP(B16,пр.взв!$B$7:$H$76,5,0))</f>
        <v>Пермский, Пермь, МО</v>
      </c>
      <c r="F16" s="439">
        <v>4</v>
      </c>
      <c r="G16" s="42">
        <v>3</v>
      </c>
      <c r="H16" s="456"/>
      <c r="I16" s="42"/>
      <c r="J16" s="456" t="str">
        <f t="shared" si="20"/>
        <v xml:space="preserve"> </v>
      </c>
      <c r="K16" s="42"/>
      <c r="L16" s="456" t="str">
        <f t="shared" ref="L16" si="26">IF(J16="Х","Х",IF(K16&lt;2.5," ",IF(K16&gt;=2.5,IF(G16+I16+K16&gt;=6,"Х",IF(AA16&lt;6," "," ")))))</f>
        <v xml:space="preserve"> </v>
      </c>
      <c r="M16" s="220"/>
      <c r="N16" s="456" t="str">
        <f>IF(L16="Х","Х",IF(M16&lt;2.5," ",IF(M16&gt;=2.5,IF(G16+I16+K16+M16&gt;=6,"Х",IF(AA16&lt;6," "," ")))))</f>
        <v xml:space="preserve"> </v>
      </c>
      <c r="O16" s="42"/>
      <c r="P16" s="456" t="str">
        <f>IF(N16="Х","Х",IF(O16&lt;2.5," ",IF(O16&gt;=2.5,IF(G16+I16+K16+M16+O16&gt;=6,"Х",IF(AA16&lt;6," "," ")))))</f>
        <v xml:space="preserve"> </v>
      </c>
      <c r="Q16" s="42"/>
      <c r="R16" s="456" t="str">
        <f>IF(P16="Х","Х",IF(Q16&lt;2.5," ",IF(Q16&gt;=2.5,IF(G16+I16+K16+M16+O16+Q16&gt;=6,"Х",IF(AA16&lt;6," "," ")))))</f>
        <v xml:space="preserve"> </v>
      </c>
      <c r="S16" s="42"/>
      <c r="T16" s="456" t="s">
        <v>188</v>
      </c>
      <c r="U16" s="46"/>
      <c r="V16" s="456">
        <f>IF(T16="А1",$AX$7,IF(T16="Б2",$AX$6,IF(T16="Б1",$AY$7,IF(T16="А2",$AY$6,IF(T16="Х","Х",IF(T16&lt;6," "," "))))))</f>
        <v>3</v>
      </c>
      <c r="W16" s="42">
        <v>4</v>
      </c>
      <c r="X16" s="456" t="str">
        <f t="shared" ref="X16" si="27">IF(T16="Х","Х",IF(ISBLANK(W16),"",IF(W16&gt;2.5," ",IF(B16=AZ$6,AZ$7,AZ$6))))</f>
        <v xml:space="preserve"> </v>
      </c>
      <c r="Y16" s="42"/>
      <c r="Z16" s="464" t="b">
        <f>IF(H16="Х",F5,IF(J16="Х",H5,IF(L16="Х",J5,IF(N16="Х",L5,IF(P16="Х",N5,IF(R16="Х",P5,IF(T16="Х",R5,IF(V16="Х",T5))))))))</f>
        <v>0</v>
      </c>
      <c r="AA16" s="415">
        <f>SUM(G16+I16+K16+M16+O16+Q16+S16+U16+W16+Y16)</f>
        <v>7</v>
      </c>
      <c r="AB16" s="426">
        <v>3</v>
      </c>
      <c r="AC16" s="393">
        <v>4</v>
      </c>
      <c r="AD16" s="384" t="str">
        <f>COUNTIF(AE$6:AE$119,"&gt;"&amp;AE$6:AE$119)+1&amp;REPT("-"&amp;COUNTIF(AE$6:AE$119,"&gt;="&amp;AE$6:AE$119),COUNTIF(AE$6:AE$119,AE16)&gt;1)</f>
        <v>4</v>
      </c>
      <c r="AE16" s="385">
        <f t="shared" ref="AE16" si="28">(AP16*100)+(AN16*10)-AA16</f>
        <v>963</v>
      </c>
      <c r="AF16" s="387" t="str">
        <f>IF(OR(F16="Х",F16="св")," ",IF(AND(G16&gt;=0,G16&lt;3),"1"," "))</f>
        <v xml:space="preserve"> </v>
      </c>
      <c r="AG16" s="387" t="str">
        <f>IF(OR(H16="Х",H16="св")," ",IF(AND(I16&gt;=0,I16&lt;3),"1"," "))</f>
        <v>1</v>
      </c>
      <c r="AH16" s="387" t="str">
        <f>IF(OR(J16="Х",J16="св")," ",IF(AND(K16&gt;=0,K16&lt;3),"1"," "))</f>
        <v>1</v>
      </c>
      <c r="AI16" s="387" t="str">
        <f>IF(OR(L16="Х",L16="св")," ",IF(AND(M16&gt;=0,M16&lt;3),"1"," "))</f>
        <v>1</v>
      </c>
      <c r="AJ16" s="387" t="str">
        <f>IF(OR(N16="Х",N16="св")," ",IF(AND(O16&gt;=0,O16&lt;3),"1"," "))</f>
        <v>1</v>
      </c>
      <c r="AK16" s="387" t="str">
        <f>IF(OR(P16="Х",P16="св")," ",IF(AND(Q16&gt;=0,Q16&lt;3),"1"," "))</f>
        <v>1</v>
      </c>
      <c r="AL16" s="387" t="str">
        <f>IF(OR(R16="Х",R16="св")," ",IF(AND(S16&gt;=0,S16&lt;3),"1"," "))</f>
        <v>1</v>
      </c>
      <c r="AM16" s="387" t="str">
        <f>IF(OR(T16="Х",T16="св")," ",IF(AND(U16&gt;=0,U16&lt;3),"1"," "))</f>
        <v>1</v>
      </c>
      <c r="AN16" s="388">
        <f>COUNTIF(AF16:AM17,1)</f>
        <v>7</v>
      </c>
      <c r="AO16" s="390">
        <f>AE16-AA16</f>
        <v>956</v>
      </c>
      <c r="AP16" s="391">
        <f t="shared" si="10"/>
        <v>9</v>
      </c>
      <c r="AQ16" s="384" t="str">
        <f>COUNTIF(AE$6:AE$119,"&gt;"&amp;AE$6:AE$119)+1&amp;REPT("-"&amp;COUNTIF(AE$6:AE$119,"&gt;="&amp;AE$6:AE$119),COUNTIF(AE$6:AE$119,AE16)&gt;1)</f>
        <v>4</v>
      </c>
      <c r="AR16" s="392"/>
      <c r="AS16" s="183"/>
      <c r="AT16" s="183"/>
      <c r="AU16" s="183"/>
      <c r="AV16" s="383" t="str">
        <f t="shared" ref="AV16" si="29">IF(V16="Х","Х",IF(W16&lt;3,B16,"Х"))</f>
        <v>Х</v>
      </c>
      <c r="AW16" s="85">
        <f ca="1">IF(CA9&gt;AW$3," ",CA9)</f>
        <v>4</v>
      </c>
      <c r="AX16" s="126">
        <f ca="1">IF(CA10&gt;AW$3," ",CA10)</f>
        <v>5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4">
        <f>IF(J16="х"," ",B16)</f>
        <v>5</v>
      </c>
      <c r="BV16" s="374">
        <f>IF(L16="х"," ",B16)</f>
        <v>5</v>
      </c>
      <c r="BW16" s="374" t="str">
        <f>IF(BV16=" "," ",L16)</f>
        <v xml:space="preserve"> </v>
      </c>
      <c r="BX16" s="374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13</v>
      </c>
      <c r="CF16" s="374">
        <f>IF(N16="х"," ",B16)</f>
        <v>5</v>
      </c>
      <c r="CG16" s="374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13</v>
      </c>
      <c r="CL16" s="374">
        <f>IF(P16="х"," ",B16)</f>
        <v>5</v>
      </c>
      <c r="CM16" s="374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13</v>
      </c>
      <c r="CR16" s="374">
        <f t="shared" ref="CR16" si="30">IF(R16="х"," ",B16)</f>
        <v>5</v>
      </c>
      <c r="CS16" s="374" t="str">
        <f t="shared" ref="CS16" si="31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13</v>
      </c>
    </row>
    <row r="17" spans="1:100" ht="12" customHeight="1" thickBot="1">
      <c r="A17" s="81"/>
      <c r="B17" s="412"/>
      <c r="C17" s="421"/>
      <c r="D17" s="423"/>
      <c r="E17" s="425"/>
      <c r="F17" s="438"/>
      <c r="G17" s="44"/>
      <c r="H17" s="435"/>
      <c r="I17" s="44"/>
      <c r="J17" s="435"/>
      <c r="K17" s="44"/>
      <c r="L17" s="435"/>
      <c r="M17" s="44"/>
      <c r="N17" s="435"/>
      <c r="O17" s="44"/>
      <c r="P17" s="435"/>
      <c r="Q17" s="44"/>
      <c r="R17" s="435"/>
      <c r="S17" s="44"/>
      <c r="T17" s="435"/>
      <c r="U17" s="47"/>
      <c r="V17" s="435"/>
      <c r="W17" s="44" t="s">
        <v>194</v>
      </c>
      <c r="X17" s="435"/>
      <c r="Y17" s="44"/>
      <c r="Z17" s="419"/>
      <c r="AA17" s="416"/>
      <c r="AB17" s="427"/>
      <c r="AC17" s="393"/>
      <c r="AD17" s="384"/>
      <c r="AE17" s="386"/>
      <c r="AF17" s="387"/>
      <c r="AG17" s="387"/>
      <c r="AH17" s="387"/>
      <c r="AI17" s="387"/>
      <c r="AJ17" s="387"/>
      <c r="AK17" s="387"/>
      <c r="AL17" s="387"/>
      <c r="AM17" s="387"/>
      <c r="AN17" s="389"/>
      <c r="AO17" s="384"/>
      <c r="AP17" s="391"/>
      <c r="AQ17" s="384"/>
      <c r="AR17" s="392"/>
      <c r="AS17" s="183"/>
      <c r="AT17" s="183"/>
      <c r="AU17" s="183"/>
      <c r="AV17" s="383"/>
      <c r="AW17" s="85" t="str">
        <f ca="1">IF(CA11&gt;AW$3," ",CA11)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4</v>
      </c>
      <c r="BH17" s="58">
        <f ca="1">IF(CJ8&gt;AW$3," ",CJ8)</f>
        <v>5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4</v>
      </c>
      <c r="BM17" s="58">
        <f ca="1">IF(CP8&gt;AW$3," ",CP8)</f>
        <v>5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4</v>
      </c>
      <c r="BR17" s="58">
        <f ca="1">IF(CV8&gt;AW$3," ",CV8)</f>
        <v>5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4"/>
      <c r="BV17" s="374"/>
      <c r="BW17" s="374"/>
      <c r="BX17" s="374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14</v>
      </c>
      <c r="CF17" s="374"/>
      <c r="CG17" s="374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14</v>
      </c>
      <c r="CL17" s="374"/>
      <c r="CM17" s="374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14</v>
      </c>
      <c r="CR17" s="374"/>
      <c r="CS17" s="374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14</v>
      </c>
    </row>
    <row r="18" spans="1:100" ht="12" hidden="1" customHeight="1" thickTop="1">
      <c r="A18" s="81"/>
      <c r="B18" s="431">
        <v>6</v>
      </c>
      <c r="C18" s="432" t="e">
        <f>(VLOOKUP(B18,пр.взв!$B$7:$H$76,2,0))</f>
        <v>#N/A</v>
      </c>
      <c r="D18" s="433" t="e">
        <f>(VLOOKUP(B18,пр.взв!$B$7:$H$76,3,0))</f>
        <v>#N/A</v>
      </c>
      <c r="E18" s="454" t="e">
        <f>(VLOOKUP(B18,пр.взв!$B$7:$H$76,5,0))</f>
        <v>#N/A</v>
      </c>
      <c r="F18" s="437">
        <f t="shared" ref="F18" si="32">IF(ISERROR(C18),0,B16)</f>
        <v>0</v>
      </c>
      <c r="G18" s="41"/>
      <c r="H18" s="436"/>
      <c r="I18" s="41"/>
      <c r="J18" s="436" t="str">
        <f t="shared" si="20"/>
        <v xml:space="preserve"> </v>
      </c>
      <c r="K18" s="41"/>
      <c r="L18" s="436" t="str">
        <f t="shared" ref="L18" si="33">IF(J18="Х","Х",IF(K18&lt;2.5," ",IF(K18&gt;=2.5,IF(G18+I18+K18&gt;=6,"Х",IF(AA18&lt;6," "," ")))))</f>
        <v xml:space="preserve"> </v>
      </c>
      <c r="M18" s="41"/>
      <c r="N18" s="436" t="str">
        <f>IF(L18="Х","Х",IF(M18&lt;2.5," ",IF(M18&gt;=2.5,IF(G18+I18+K18+M18&gt;=6,"Х",IF(AA18&lt;6," "," ")))))</f>
        <v xml:space="preserve"> </v>
      </c>
      <c r="O18" s="41"/>
      <c r="P18" s="436" t="str">
        <f>IF(N18="Х","Х",IF(O18&lt;2.5," ",IF(O18&gt;=2.5,IF(G18+I18+K18+M18+O18&gt;=6,"Х",IF(AA18&lt;6," "," ")))))</f>
        <v xml:space="preserve"> </v>
      </c>
      <c r="Q18" s="41"/>
      <c r="R18" s="436" t="str">
        <f>IF(P18="Х","Х",IF(Q18&lt;2.5," ",IF(Q18&gt;=2.5,IF(G18+I18+K18+M18+O18+Q18&gt;=6,"Х",IF(AA18&lt;6," "," ")))))</f>
        <v xml:space="preserve"> </v>
      </c>
      <c r="S18" s="41"/>
      <c r="T18" s="436" t="str">
        <f t="shared" ref="T18" si="34">IF(R18="Х","Х",IF(S18&lt;2.5," ",IF(S18&gt;=2.5,IF(G18+I18+K18+M18+O18+Q18+S18&gt;=6,"Х",IF(AA18&lt;6," "," ")))))</f>
        <v xml:space="preserve"> </v>
      </c>
      <c r="U18" s="45"/>
      <c r="V18" s="436" t="str">
        <f>IF(T18="А1",$AX$7,IF(T18="Б2",$AX$6,IF(T18="Б1",$AY$7,IF(T18="А2",$AY$6,IF(T18="Х","Х",IF(T18&lt;6," "," "))))))</f>
        <v xml:space="preserve"> </v>
      </c>
      <c r="W18" s="41"/>
      <c r="X18" s="436" t="str">
        <f t="shared" ref="X18" si="35">IF(T18="Х","Х",IF(ISBLANK(W18),"",IF(W18&gt;2.5," ",IF(B18=AZ$6,AZ$7,AZ$6))))</f>
        <v/>
      </c>
      <c r="Y18" s="41"/>
      <c r="Z18" s="418" t="b">
        <f>IF(H18="Х",F5,IF(J18="Х",H5,IF(L18="Х",J5,IF(N18="Х",L5,IF(P18="Х",N5,IF(R18="Х",P5,IF(T18="Х",R5,IF(V18="Х",T5))))))))</f>
        <v>0</v>
      </c>
      <c r="AA18" s="417">
        <f>SUM(G18+I18+K18+M18+O18+Q18+S18+U18+W18+Y18)</f>
        <v>0</v>
      </c>
      <c r="AB18" s="426">
        <f t="shared" si="1"/>
        <v>20607</v>
      </c>
      <c r="AC18" s="383">
        <f>AB18</f>
        <v>20607</v>
      </c>
      <c r="AD18" s="384" t="str">
        <f>COUNTIF(AE$6:AE$119,"&gt;"&amp;AE$6:AE$119)+1&amp;REPT("-"&amp;COUNTIF(AE$6:AE$119,"&gt;="&amp;AE$6:AE$119),COUNTIF(AE$6:AE$119,AE18)&gt;1)</f>
        <v>6-56</v>
      </c>
      <c r="AE18" s="385">
        <f t="shared" ref="AE18" si="36">(AP18*100)+(AN18*10)-AA18</f>
        <v>80</v>
      </c>
      <c r="AF18" s="387" t="str">
        <f>IF(OR(F18="Х",F18="св")," ",IF(AND(G18&gt;=0,G18&lt;3),"1"," "))</f>
        <v>1</v>
      </c>
      <c r="AG18" s="387" t="str">
        <f>IF(OR(H18="Х",H18="св")," ",IF(AND(I18&gt;=0,I18&lt;3),"1"," "))</f>
        <v>1</v>
      </c>
      <c r="AH18" s="387" t="str">
        <f>IF(OR(J18="Х",J18="св")," ",IF(AND(K18&gt;=0,K18&lt;3),"1"," "))</f>
        <v>1</v>
      </c>
      <c r="AI18" s="387" t="str">
        <f>IF(OR(L18="Х",L18="св")," ",IF(AND(M18&gt;=0,M18&lt;3),"1"," "))</f>
        <v>1</v>
      </c>
      <c r="AJ18" s="387" t="str">
        <f>IF(OR(N18="Х",N18="св")," ",IF(AND(O18&gt;=0,O18&lt;3),"1"," "))</f>
        <v>1</v>
      </c>
      <c r="AK18" s="387" t="str">
        <f>IF(OR(P18="Х",P18="св")," ",IF(AND(Q18&gt;=0,Q18&lt;3),"1"," "))</f>
        <v>1</v>
      </c>
      <c r="AL18" s="387" t="str">
        <f>IF(OR(R18="Х",R18="св")," ",IF(AND(S18&gt;=0,S18&lt;3),"1"," "))</f>
        <v>1</v>
      </c>
      <c r="AM18" s="387" t="str">
        <f>IF(OR(T18="Х",T18="св")," ",IF(AND(U18&gt;=0,U18&lt;3),"1"," "))</f>
        <v>1</v>
      </c>
      <c r="AN18" s="388">
        <f>COUNTIF(AF18:AM19,1)</f>
        <v>8</v>
      </c>
      <c r="AO18" s="390">
        <f>AE18-AA18</f>
        <v>80</v>
      </c>
      <c r="AP18" s="391">
        <f t="shared" si="10"/>
        <v>0</v>
      </c>
      <c r="AQ18" s="384" t="str">
        <f>COUNTIF(AE$6:AE$119,"&gt;"&amp;AE$6:AE$119)+1&amp;REPT("-"&amp;COUNTIF(AE$6:AE$119,"&gt;="&amp;AE$6:AE$119),COUNTIF(AE$6:AE$119,AE18)&gt;1)</f>
        <v>6-56</v>
      </c>
      <c r="AR18" s="392"/>
      <c r="AS18" s="183"/>
      <c r="AT18" s="183"/>
      <c r="AU18" s="183"/>
      <c r="AV18" s="383">
        <f t="shared" ref="AV18" si="37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74">
        <f>IF(J18="х"," ",B18)</f>
        <v>6</v>
      </c>
      <c r="BV18" s="374">
        <f>IF(L18="х"," ",B18)</f>
        <v>6</v>
      </c>
      <c r="BW18" s="374" t="str">
        <f>IF(BV18=" "," ",L18)</f>
        <v xml:space="preserve"> </v>
      </c>
      <c r="BX18" s="374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15</v>
      </c>
      <c r="CF18" s="374">
        <f>IF(N18="х"," ",B18)</f>
        <v>6</v>
      </c>
      <c r="CG18" s="374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15</v>
      </c>
      <c r="CL18" s="374">
        <f>IF(P18="х"," ",B18)</f>
        <v>6</v>
      </c>
      <c r="CM18" s="374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15</v>
      </c>
      <c r="CR18" s="374">
        <f t="shared" ref="CR18" si="38">IF(R18="х"," ",B18)</f>
        <v>6</v>
      </c>
      <c r="CS18" s="374" t="str">
        <f t="shared" ref="CS18" si="39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15</v>
      </c>
    </row>
    <row r="19" spans="1:100" ht="12" hidden="1" customHeight="1" thickBot="1">
      <c r="A19" s="81"/>
      <c r="B19" s="412"/>
      <c r="C19" s="421"/>
      <c r="D19" s="423"/>
      <c r="E19" s="425"/>
      <c r="F19" s="438"/>
      <c r="G19" s="44"/>
      <c r="H19" s="435"/>
      <c r="I19" s="44"/>
      <c r="J19" s="435"/>
      <c r="K19" s="44"/>
      <c r="L19" s="435"/>
      <c r="M19" s="44"/>
      <c r="N19" s="435"/>
      <c r="O19" s="44"/>
      <c r="P19" s="435"/>
      <c r="Q19" s="44"/>
      <c r="R19" s="435"/>
      <c r="S19" s="44"/>
      <c r="T19" s="435"/>
      <c r="U19" s="47"/>
      <c r="V19" s="435"/>
      <c r="W19" s="44"/>
      <c r="X19" s="435"/>
      <c r="Y19" s="44"/>
      <c r="Z19" s="419"/>
      <c r="AA19" s="416"/>
      <c r="AB19" s="427"/>
      <c r="AC19" s="383"/>
      <c r="AD19" s="384"/>
      <c r="AE19" s="386"/>
      <c r="AF19" s="387"/>
      <c r="AG19" s="387"/>
      <c r="AH19" s="387"/>
      <c r="AI19" s="387"/>
      <c r="AJ19" s="387"/>
      <c r="AK19" s="387"/>
      <c r="AL19" s="387"/>
      <c r="AM19" s="387"/>
      <c r="AN19" s="389"/>
      <c r="AO19" s="384"/>
      <c r="AP19" s="391"/>
      <c r="AQ19" s="384"/>
      <c r="AR19" s="392"/>
      <c r="AS19" s="183"/>
      <c r="AT19" s="183"/>
      <c r="AU19" s="183"/>
      <c r="AV19" s="383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IF(CV14&gt;AW$3," ",CV14)</f>
        <v xml:space="preserve"> </v>
      </c>
      <c r="BS19" s="85"/>
      <c r="BT19" s="58"/>
      <c r="BU19" s="374"/>
      <c r="BV19" s="374"/>
      <c r="BW19" s="374"/>
      <c r="BX19" s="374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16</v>
      </c>
      <c r="CF19" s="374"/>
      <c r="CG19" s="374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16</v>
      </c>
      <c r="CL19" s="374"/>
      <c r="CM19" s="374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16</v>
      </c>
      <c r="CR19" s="374"/>
      <c r="CS19" s="374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16</v>
      </c>
    </row>
    <row r="20" spans="1:100" ht="12" hidden="1" customHeight="1" thickTop="1">
      <c r="A20" s="81"/>
      <c r="B20" s="411">
        <v>7</v>
      </c>
      <c r="C20" s="420" t="e">
        <f>(VLOOKUP(B20,пр.взв!$B$7:$H$76,2,0))</f>
        <v>#N/A</v>
      </c>
      <c r="D20" s="422" t="e">
        <f>(VLOOKUP(B20,пр.взв!$B$7:$H$76,3,0))</f>
        <v>#N/A</v>
      </c>
      <c r="E20" s="424" t="e">
        <f>(VLOOKUP(B20,пр.взв!$B$7:$H$76,5,0))</f>
        <v>#N/A</v>
      </c>
      <c r="F20" s="440">
        <f t="shared" ref="F20:F76" si="40">IF(ISERROR(C20),0,B22)</f>
        <v>0</v>
      </c>
      <c r="G20" s="42"/>
      <c r="H20" s="456"/>
      <c r="I20" s="42"/>
      <c r="J20" s="436" t="str">
        <f t="shared" si="20"/>
        <v xml:space="preserve"> </v>
      </c>
      <c r="K20" s="42"/>
      <c r="L20" s="434" t="str">
        <f t="shared" ref="L20" si="41">IF(J20="Х","Х",IF(K20&lt;2.5," ",IF(K20&gt;=2.5,IF(G20+I20+K20&gt;=6,"Х",IF(AA20&lt;6," "," ")))))</f>
        <v xml:space="preserve"> </v>
      </c>
      <c r="M20" s="42"/>
      <c r="N20" s="456" t="str">
        <f>IF(L20="Х","Х",IF(M20&lt;2.5," ",IF(M20&gt;=2.5,IF(G20+I20+K20+M20&gt;=6,"Х",IF(AA20&lt;6," "," ")))))</f>
        <v xml:space="preserve"> </v>
      </c>
      <c r="O20" s="42"/>
      <c r="P20" s="456" t="str">
        <f>IF(N20="Х","Х",IF(O20&lt;2.5," ",IF(O20&gt;=2.5,IF(G20+I20+K20+M20+O20&gt;=6,"Х",IF(AA20&lt;6," "," ")))))</f>
        <v xml:space="preserve"> </v>
      </c>
      <c r="Q20" s="42"/>
      <c r="R20" s="456" t="str">
        <f>IF(P20="Х","Х",IF(Q20&lt;2.5," ",IF(Q20&gt;=2.5,IF(G20+I20+K20+M20+O20+Q20&gt;=6,"Х",IF(AA20&lt;6," "," ")))))</f>
        <v xml:space="preserve"> </v>
      </c>
      <c r="S20" s="42"/>
      <c r="T20" s="456" t="str">
        <f t="shared" ref="T20" si="42">IF(R20="Х","Х",IF(S20&lt;2.5," ",IF(S20&gt;=2.5,IF(G20+I20+K20+M20+O20+Q20+S20&gt;=6,"Х",IF(AA20&lt;6," "," ")))))</f>
        <v xml:space="preserve"> </v>
      </c>
      <c r="U20" s="46"/>
      <c r="V20" s="434" t="str">
        <f>IF(T20="А1",$AX$7,IF(T20="Б2",$AX$6,IF(T20="Б1",$AY$7,IF(T20="А2",$AY$6,IF(T20="Х","Х",IF(T20&lt;6," "," "))))))</f>
        <v xml:space="preserve"> </v>
      </c>
      <c r="W20" s="42"/>
      <c r="X20" s="434" t="str">
        <f t="shared" ref="X20" si="43">IF(T20="Х","Х",IF(ISBLANK(W20),"",IF(W20&gt;2.5," ",IF(B20=AZ$6,AZ$7,AZ$6))))</f>
        <v/>
      </c>
      <c r="Y20" s="42"/>
      <c r="Z20" s="464" t="b">
        <f>IF(H20="Х",F5,IF(J20="Х",H5,IF(L20="Х",J5,IF(N20="Х",L5,IF(P20="Х",N5,IF(R20="Х",P5,IF(T20="Х",R5,IF(V20="Х",T5))))))))</f>
        <v>0</v>
      </c>
      <c r="AA20" s="415">
        <f>SUM(G20+I20+K20+M20+O20+Q20+S20+U20+W20+Y20)</f>
        <v>0</v>
      </c>
      <c r="AB20" s="426">
        <f t="shared" si="1"/>
        <v>20607</v>
      </c>
      <c r="AC20" s="383">
        <f>AB20</f>
        <v>20607</v>
      </c>
      <c r="AD20" s="384" t="str">
        <f>COUNTIF(AE$6:AE$119,"&gt;"&amp;AE$6:AE$119)+1&amp;REPT("-"&amp;COUNTIF(AE$6:AE$119,"&gt;="&amp;AE$6:AE$119),COUNTIF(AE$6:AE$119,AE20)&gt;1)</f>
        <v>6-56</v>
      </c>
      <c r="AE20" s="385">
        <f t="shared" ref="AE20:AE82" si="44">(AP20*100)+(AN20*10)-AA20</f>
        <v>80</v>
      </c>
      <c r="AF20" s="387" t="str">
        <f>IF(OR(F20="Х",F20="св")," ",IF(AND(G20&gt;=0,G20&lt;3),"1"," "))</f>
        <v>1</v>
      </c>
      <c r="AG20" s="387" t="str">
        <f>IF(OR(H20="Х",H20="св")," ",IF(AND(I20&gt;=0,I20&lt;3),"1"," "))</f>
        <v>1</v>
      </c>
      <c r="AH20" s="387" t="str">
        <f>IF(OR(J20="Х",J20="св")," ",IF(AND(K20&gt;=0,K20&lt;3),"1"," "))</f>
        <v>1</v>
      </c>
      <c r="AI20" s="387" t="str">
        <f>IF(OR(L20="Х",L20="св")," ",IF(AND(M20&gt;=0,M20&lt;3),"1"," "))</f>
        <v>1</v>
      </c>
      <c r="AJ20" s="387" t="str">
        <f>IF(OR(N20="Х",N20="св")," ",IF(AND(O20&gt;=0,O20&lt;3),"1"," "))</f>
        <v>1</v>
      </c>
      <c r="AK20" s="387" t="str">
        <f>IF(OR(P20="Х",P20="св")," ",IF(AND(Q20&gt;=0,Q20&lt;3),"1"," "))</f>
        <v>1</v>
      </c>
      <c r="AL20" s="387" t="str">
        <f>IF(OR(R20="Х",R20="св")," ",IF(AND(S20&gt;=0,S20&lt;3),"1"," "))</f>
        <v>1</v>
      </c>
      <c r="AM20" s="387" t="str">
        <f>IF(OR(T20="Х",T20="св")," ",IF(AND(U20&gt;=0,U20&lt;3),"1"," "))</f>
        <v>1</v>
      </c>
      <c r="AN20" s="388">
        <f>COUNTIF(AF20:AM21,1)</f>
        <v>8</v>
      </c>
      <c r="AO20" s="390">
        <f>AE20-AA20</f>
        <v>80</v>
      </c>
      <c r="AP20" s="391">
        <f t="shared" si="10"/>
        <v>0</v>
      </c>
      <c r="AQ20" s="384" t="str">
        <f>COUNTIF(AE$6:AE$119,"&gt;"&amp;AE$6:AE$119)+1&amp;REPT("-"&amp;COUNTIF(AE$6:AE$119,"&gt;="&amp;AE$6:AE$119),COUNTIF(AE$6:AE$119,AE20)&gt;1)</f>
        <v>6-56</v>
      </c>
      <c r="AR20" s="392"/>
      <c r="AS20" s="183"/>
      <c r="AT20" s="183"/>
      <c r="AU20" s="183"/>
      <c r="AV20" s="383">
        <f t="shared" ref="AV20" si="45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4">
        <f>IF(J20="х"," ",B20)</f>
        <v>7</v>
      </c>
      <c r="BV20" s="374">
        <f>IF(L20="х"," ",B20)</f>
        <v>7</v>
      </c>
      <c r="BW20" s="374" t="str">
        <f>IF(BV20=" "," ",L20)</f>
        <v xml:space="preserve"> </v>
      </c>
      <c r="BX20" s="374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17</v>
      </c>
      <c r="CF20" s="374">
        <f>IF(N20="х"," ",B20)</f>
        <v>7</v>
      </c>
      <c r="CG20" s="374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17</v>
      </c>
      <c r="CL20" s="374">
        <f>IF(P20="х"," ",B20)</f>
        <v>7</v>
      </c>
      <c r="CM20" s="374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17</v>
      </c>
      <c r="CR20" s="374">
        <f t="shared" ref="CR20" si="46">IF(R20="х"," ",B20)</f>
        <v>7</v>
      </c>
      <c r="CS20" s="374" t="str">
        <f t="shared" ref="CS20" si="47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17</v>
      </c>
    </row>
    <row r="21" spans="1:100" ht="12" hidden="1" customHeight="1" thickBot="1">
      <c r="A21" s="81"/>
      <c r="B21" s="455"/>
      <c r="C21" s="432"/>
      <c r="D21" s="433"/>
      <c r="E21" s="454"/>
      <c r="F21" s="437"/>
      <c r="G21" s="43"/>
      <c r="H21" s="436"/>
      <c r="I21" s="43"/>
      <c r="J21" s="436"/>
      <c r="K21" s="43"/>
      <c r="L21" s="436"/>
      <c r="M21" s="43"/>
      <c r="N21" s="436"/>
      <c r="O21" s="43"/>
      <c r="P21" s="436"/>
      <c r="Q21" s="43"/>
      <c r="R21" s="436"/>
      <c r="S21" s="43"/>
      <c r="T21" s="436"/>
      <c r="U21" s="128"/>
      <c r="V21" s="436"/>
      <c r="W21" s="43"/>
      <c r="X21" s="436"/>
      <c r="Y21" s="43"/>
      <c r="Z21" s="418"/>
      <c r="AA21" s="417"/>
      <c r="AB21" s="427"/>
      <c r="AC21" s="383"/>
      <c r="AD21" s="384"/>
      <c r="AE21" s="386"/>
      <c r="AF21" s="387"/>
      <c r="AG21" s="387"/>
      <c r="AH21" s="387"/>
      <c r="AI21" s="387"/>
      <c r="AJ21" s="387"/>
      <c r="AK21" s="387"/>
      <c r="AL21" s="387"/>
      <c r="AM21" s="387"/>
      <c r="AN21" s="389"/>
      <c r="AO21" s="384"/>
      <c r="AP21" s="391"/>
      <c r="AQ21" s="384"/>
      <c r="AR21" s="392"/>
      <c r="AS21" s="183"/>
      <c r="AT21" s="183"/>
      <c r="AU21" s="183"/>
      <c r="AV21" s="383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4"/>
      <c r="BV21" s="374"/>
      <c r="BW21" s="374"/>
      <c r="BX21" s="374"/>
      <c r="BY21" s="61" t="str">
        <f>IF(BY20&gt;=1,BX20,0)</f>
        <v xml:space="preserve"> </v>
      </c>
      <c r="BZ21" s="61" t="str">
        <f t="shared" ref="BZ21:BZ31" si="48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18</v>
      </c>
      <c r="CF21" s="374"/>
      <c r="CG21" s="374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18</v>
      </c>
      <c r="CL21" s="374"/>
      <c r="CM21" s="374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18</v>
      </c>
      <c r="CR21" s="374"/>
      <c r="CS21" s="374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18</v>
      </c>
    </row>
    <row r="22" spans="1:100" ht="12" hidden="1" customHeight="1" thickTop="1">
      <c r="A22" s="81"/>
      <c r="B22" s="411">
        <v>8</v>
      </c>
      <c r="C22" s="420" t="e">
        <f>(VLOOKUP(B22,пр.взв!$B$7:$H$76,2,0))</f>
        <v>#N/A</v>
      </c>
      <c r="D22" s="422" t="e">
        <f>(VLOOKUP(B22,пр.взв!$B$7:$H$76,3,0))</f>
        <v>#N/A</v>
      </c>
      <c r="E22" s="424" t="e">
        <f>(VLOOKUP(B22,пр.взв!$B$7:$H$76,5,0))</f>
        <v>#N/A</v>
      </c>
      <c r="F22" s="439">
        <f t="shared" ref="F22:F78" si="49">IF(ISERROR(C22),0,B20)</f>
        <v>0</v>
      </c>
      <c r="G22" s="42"/>
      <c r="H22" s="456"/>
      <c r="I22" s="42"/>
      <c r="J22" s="456" t="str">
        <f t="shared" si="20"/>
        <v xml:space="preserve"> </v>
      </c>
      <c r="K22" s="42"/>
      <c r="L22" s="456" t="str">
        <f t="shared" ref="L22" si="50">IF(J22="Х","Х",IF(K22&lt;2.5," ",IF(K22&gt;=2.5,IF(G22+I22+K22&gt;=6,"Х",IF(AA22&lt;6," "," ")))))</f>
        <v xml:space="preserve"> </v>
      </c>
      <c r="M22" s="42"/>
      <c r="N22" s="456" t="str">
        <f>IF(L22="Х","Х",IF(M22&lt;2.5," ",IF(M22&gt;=2.5,IF(G22+I22+K22+M22&gt;=6,"Х",IF(AA22&lt;6," "," ")))))</f>
        <v xml:space="preserve"> </v>
      </c>
      <c r="O22" s="42"/>
      <c r="P22" s="456" t="str">
        <f>IF(N22="Х","Х",IF(O22&lt;2.5," ",IF(O22&gt;=2.5,IF(G22+I22+K22+M22+O22&gt;=6,"Х",IF(AA22&lt;6," "," ")))))</f>
        <v xml:space="preserve"> </v>
      </c>
      <c r="Q22" s="42"/>
      <c r="R22" s="456" t="str">
        <f>IF(P22="Х","Х",IF(Q22&lt;2.5," ",IF(Q22&gt;=2.5,IF(G22+I22+K22+M22+O22+Q22&gt;=6,"Х",IF(AA22&lt;6," "," ")))))</f>
        <v xml:space="preserve"> </v>
      </c>
      <c r="S22" s="42"/>
      <c r="T22" s="456" t="str">
        <f t="shared" ref="T22" si="51">IF(R22="Х","Х",IF(S22&lt;2.5," ",IF(S22&gt;=2.5,IF(G22+I22+K22+M22+O22+Q22+S22&gt;=6,"Х",IF(AA22&lt;6," "," ")))))</f>
        <v xml:space="preserve"> </v>
      </c>
      <c r="U22" s="46"/>
      <c r="V22" s="456" t="str">
        <f>IF(T22="А1",$AX$7,IF(T22="Б2",$AX$6,IF(T22="Б1",$AY$7,IF(T22="А2",$AY$6,IF(T22="Х","Х",IF(T22&lt;6," "," "))))))</f>
        <v xml:space="preserve"> </v>
      </c>
      <c r="W22" s="42"/>
      <c r="X22" s="456" t="str">
        <f t="shared" ref="X22" si="52">IF(T22="Х","Х",IF(ISBLANK(W22),"",IF(W22&gt;2.5," ",IF(B22=AZ$6,AZ$7,AZ$6))))</f>
        <v/>
      </c>
      <c r="Y22" s="42"/>
      <c r="Z22" s="464" t="b">
        <f>IF(H22="Х",F5,IF(J22="Х",H5,IF(L22="Х",J5,IF(N22="Х",L5,IF(P22="Х",N5,IF(R22="Х",P5,IF(T22="Х",R5,IF(V22="Х",T5))))))))</f>
        <v>0</v>
      </c>
      <c r="AA22" s="415">
        <f>SUM(G22+I22+K22+M22+O22+Q22+S22+U22+W22+Y22)</f>
        <v>0</v>
      </c>
      <c r="AB22" s="426">
        <f t="shared" si="1"/>
        <v>20607</v>
      </c>
      <c r="AC22" s="393">
        <f>AB22</f>
        <v>20607</v>
      </c>
      <c r="AD22" s="384" t="str">
        <f>COUNTIF(AE$6:AE$119,"&gt;"&amp;AE$6:AE$119)+1&amp;REPT("-"&amp;COUNTIF(AE$6:AE$119,"&gt;="&amp;AE$6:AE$119),COUNTIF(AE$6:AE$119,AE22)&gt;1)</f>
        <v>6-56</v>
      </c>
      <c r="AE22" s="385">
        <f t="shared" si="44"/>
        <v>80</v>
      </c>
      <c r="AF22" s="387" t="str">
        <f>IF(OR(F22="Х",F22="св")," ",IF(AND(G22&gt;=0,G22&lt;3),"1"," "))</f>
        <v>1</v>
      </c>
      <c r="AG22" s="387" t="str">
        <f>IF(OR(H22="Х",H22="св")," ",IF(AND(I22&gt;=0,I22&lt;3),"1"," "))</f>
        <v>1</v>
      </c>
      <c r="AH22" s="387" t="str">
        <f>IF(OR(J22="Х",J22="св")," ",IF(AND(K22&gt;=0,K22&lt;3),"1"," "))</f>
        <v>1</v>
      </c>
      <c r="AI22" s="387" t="str">
        <f>IF(OR(L22="Х",L22="св")," ",IF(AND(M22&gt;=0,M22&lt;3),"1"," "))</f>
        <v>1</v>
      </c>
      <c r="AJ22" s="387" t="str">
        <f>IF(OR(N22="Х",N22="св")," ",IF(AND(O22&gt;=0,O22&lt;3),"1"," "))</f>
        <v>1</v>
      </c>
      <c r="AK22" s="387" t="str">
        <f>IF(OR(P22="Х",P22="св")," ",IF(AND(Q22&gt;=0,Q22&lt;3),"1"," "))</f>
        <v>1</v>
      </c>
      <c r="AL22" s="387" t="str">
        <f>IF(OR(R22="Х",R22="св")," ",IF(AND(S22&gt;=0,S22&lt;3),"1"," "))</f>
        <v>1</v>
      </c>
      <c r="AM22" s="387" t="str">
        <f>IF(OR(T22="Х",T22="св")," ",IF(AND(U22&gt;=0,U22&lt;3),"1"," "))</f>
        <v>1</v>
      </c>
      <c r="AN22" s="388">
        <f>COUNTIF(AF22:AM23,1)</f>
        <v>8</v>
      </c>
      <c r="AO22" s="390">
        <f>AE22-AA22</f>
        <v>80</v>
      </c>
      <c r="AP22" s="391">
        <f t="shared" si="10"/>
        <v>0</v>
      </c>
      <c r="AQ22" s="384" t="str">
        <f>COUNTIF(AE$6:AE$119,"&gt;"&amp;AE$6:AE$119)+1&amp;REPT("-"&amp;COUNTIF(AE$6:AE$119,"&gt;="&amp;AE$6:AE$119),COUNTIF(AE$6:AE$119,AE22)&gt;1)</f>
        <v>6-56</v>
      </c>
      <c r="AR22" s="392"/>
      <c r="AS22" s="183"/>
      <c r="AT22" s="183"/>
      <c r="AU22" s="183"/>
      <c r="AV22" s="383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4">
        <f>IF(J22="х"," ",B22)</f>
        <v>8</v>
      </c>
      <c r="BV22" s="374">
        <f>IF(L22="х"," ",B22)</f>
        <v>8</v>
      </c>
      <c r="BW22" s="374" t="str">
        <f>IF(BV22=" "," ",L22)</f>
        <v xml:space="preserve"> </v>
      </c>
      <c r="BX22" s="374" t="str">
        <f>IF(BU22=" "," ",J22)</f>
        <v xml:space="preserve"> </v>
      </c>
      <c r="BY22" s="61">
        <f>IF(BU22&lt;BX22,BU22,0)</f>
        <v>8</v>
      </c>
      <c r="BZ22" s="61">
        <f t="shared" si="48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19</v>
      </c>
      <c r="CF22" s="374">
        <f>IF(N22="х"," ",B22)</f>
        <v>8</v>
      </c>
      <c r="CG22" s="374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19</v>
      </c>
      <c r="CL22" s="374">
        <f>IF(P22="х"," ",B22)</f>
        <v>8</v>
      </c>
      <c r="CM22" s="374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19</v>
      </c>
      <c r="CR22" s="374">
        <f t="shared" ref="CR22" si="53">IF(R22="х"," ",B22)</f>
        <v>8</v>
      </c>
      <c r="CS22" s="374" t="str">
        <f t="shared" ref="CS22" si="54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19</v>
      </c>
    </row>
    <row r="23" spans="1:100" ht="12" hidden="1" customHeight="1" thickBot="1">
      <c r="A23" s="81"/>
      <c r="B23" s="412"/>
      <c r="C23" s="421"/>
      <c r="D23" s="423"/>
      <c r="E23" s="425"/>
      <c r="F23" s="438"/>
      <c r="G23" s="44"/>
      <c r="H23" s="435"/>
      <c r="I23" s="44"/>
      <c r="J23" s="435"/>
      <c r="K23" s="44"/>
      <c r="L23" s="435"/>
      <c r="M23" s="59"/>
      <c r="N23" s="435"/>
      <c r="O23" s="44"/>
      <c r="P23" s="435"/>
      <c r="Q23" s="44"/>
      <c r="R23" s="435"/>
      <c r="S23" s="44"/>
      <c r="T23" s="435"/>
      <c r="U23" s="47"/>
      <c r="V23" s="435"/>
      <c r="W23" s="44"/>
      <c r="X23" s="435"/>
      <c r="Y23" s="44"/>
      <c r="Z23" s="419"/>
      <c r="AA23" s="416"/>
      <c r="AB23" s="427"/>
      <c r="AC23" s="393"/>
      <c r="AD23" s="384"/>
      <c r="AE23" s="386"/>
      <c r="AF23" s="387"/>
      <c r="AG23" s="387"/>
      <c r="AH23" s="387"/>
      <c r="AI23" s="387"/>
      <c r="AJ23" s="387"/>
      <c r="AK23" s="387"/>
      <c r="AL23" s="387"/>
      <c r="AM23" s="387"/>
      <c r="AN23" s="389"/>
      <c r="AO23" s="384"/>
      <c r="AP23" s="391"/>
      <c r="AQ23" s="384"/>
      <c r="AR23" s="392"/>
      <c r="AS23" s="183"/>
      <c r="AT23" s="183"/>
      <c r="AU23" s="183"/>
      <c r="AV23" s="383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4"/>
      <c r="BV23" s="374"/>
      <c r="BW23" s="374"/>
      <c r="BX23" s="374"/>
      <c r="BY23" s="61" t="str">
        <f>IF(BY22&gt;=1,BX22,0)</f>
        <v xml:space="preserve"> </v>
      </c>
      <c r="BZ23" s="61" t="str">
        <f t="shared" si="48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20</v>
      </c>
      <c r="CF23" s="374"/>
      <c r="CG23" s="374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20</v>
      </c>
      <c r="CL23" s="374"/>
      <c r="CM23" s="374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20</v>
      </c>
      <c r="CR23" s="374"/>
      <c r="CS23" s="374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20</v>
      </c>
    </row>
    <row r="24" spans="1:100" ht="12" hidden="1" customHeight="1" thickTop="1">
      <c r="A24" s="81"/>
      <c r="B24" s="431">
        <v>9</v>
      </c>
      <c r="C24" s="432" t="e">
        <f>(VLOOKUP(B24,пр.взв!$B$7:$H$76,2,0))</f>
        <v>#N/A</v>
      </c>
      <c r="D24" s="433" t="e">
        <f>(VLOOKUP(B24,пр.взв!$B$7:$H$76,3,0))</f>
        <v>#N/A</v>
      </c>
      <c r="E24" s="454" t="e">
        <f>(VLOOKUP(B24,пр.взв!$B$7:$H$76,5,0))</f>
        <v>#N/A</v>
      </c>
      <c r="F24" s="437">
        <f t="shared" si="49"/>
        <v>0</v>
      </c>
      <c r="G24" s="41"/>
      <c r="H24" s="436"/>
      <c r="I24" s="41"/>
      <c r="J24" s="436" t="str">
        <f t="shared" si="20"/>
        <v xml:space="preserve"> </v>
      </c>
      <c r="K24" s="41"/>
      <c r="L24" s="436" t="str">
        <f t="shared" ref="L24" si="55">IF(J24="Х","Х",IF(K24&lt;2.5," ",IF(K24&gt;=2.5,IF(G24+I24+K24&gt;=6,"Х",IF(AA24&lt;6," "," ")))))</f>
        <v xml:space="preserve"> </v>
      </c>
      <c r="M24" s="41"/>
      <c r="N24" s="436" t="str">
        <f>IF(L24="Х","Х",IF(M24&lt;2.5," ",IF(M24&gt;=2.5,IF(G24+I24+K24+M24&gt;=6,"Х",IF(AA24&lt;6," "," ")))))</f>
        <v xml:space="preserve"> </v>
      </c>
      <c r="O24" s="41"/>
      <c r="P24" s="436" t="str">
        <f>IF(N24="Х","Х",IF(O24&lt;2.5," ",IF(O24&gt;=2.5,IF(G24+I24+K24+M24+O24&gt;=6,"Х",IF(AA24&lt;6," "," ")))))</f>
        <v xml:space="preserve"> </v>
      </c>
      <c r="Q24" s="41"/>
      <c r="R24" s="436" t="str">
        <f>IF(P24="Х","Х",IF(Q24&lt;2.5," ",IF(Q24&gt;=2.5,IF(G24+I24+K24+M24+O24+Q24&gt;=6,"Х",IF(AA24&lt;6," "," ")))))</f>
        <v xml:space="preserve"> </v>
      </c>
      <c r="S24" s="41"/>
      <c r="T24" s="436" t="str">
        <f t="shared" ref="T24" si="56">IF(R24="Х","Х",IF(S24&lt;2.5," ",IF(S24&gt;=2.5,IF(G24+I24+K24+M24+O24+Q24+S24&gt;=6,"Х",IF(AA24&lt;6," "," ")))))</f>
        <v xml:space="preserve"> </v>
      </c>
      <c r="U24" s="45"/>
      <c r="V24" s="436" t="str">
        <f>IF(T24="А1",$AX$7,IF(T24="Б2",$AX$6,IF(T24="Б1",$AY$7,IF(T24="А2",$AY$6,IF(T24="Х","Х",IF(T24&lt;6," "," "))))))</f>
        <v xml:space="preserve"> </v>
      </c>
      <c r="W24" s="41"/>
      <c r="X24" s="436" t="str">
        <f t="shared" ref="X24" si="57">IF(T24="Х","Х",IF(ISBLANK(W24),"",IF(W24&gt;2.5," ",IF(B24=AZ$6,AZ$7,AZ$6))))</f>
        <v/>
      </c>
      <c r="Y24" s="41"/>
      <c r="Z24" s="418" t="b">
        <f>IF(H24="Х",F5,IF(J24="Х",H5,IF(L24="Х",J5,IF(N24="Х",L5,IF(P24="Х",N5,IF(R24="Х",P5,IF(T24="Х",R5,IF(V24="Х",T5))))))))</f>
        <v>0</v>
      </c>
      <c r="AA24" s="417">
        <f>SUM(G24+I24+K24+M24+O24+Q24+S24+U24+W24+Y24)</f>
        <v>0</v>
      </c>
      <c r="AB24" s="426">
        <f t="shared" si="1"/>
        <v>20607</v>
      </c>
      <c r="AC24" s="383">
        <f>AB24</f>
        <v>20607</v>
      </c>
      <c r="AD24" s="384" t="str">
        <f>COUNTIF(AE$6:AE$119,"&gt;"&amp;AE$6:AE$119)+1&amp;REPT("-"&amp;COUNTIF(AE$6:AE$119,"&gt;="&amp;AE$6:AE$119),COUNTIF(AE$6:AE$119,AE24)&gt;1)</f>
        <v>6-56</v>
      </c>
      <c r="AE24" s="385">
        <f t="shared" si="44"/>
        <v>80</v>
      </c>
      <c r="AF24" s="387" t="str">
        <f>IF(OR(F24="Х",F24="св")," ",IF(AND(G24&gt;=0,G24&lt;3),"1"," "))</f>
        <v>1</v>
      </c>
      <c r="AG24" s="387" t="str">
        <f>IF(OR(H24="Х",H24="св")," ",IF(AND(I24&gt;=0,I24&lt;3),"1"," "))</f>
        <v>1</v>
      </c>
      <c r="AH24" s="387" t="str">
        <f>IF(OR(J24="Х",J24="св")," ",IF(AND(K24&gt;=0,K24&lt;3),"1"," "))</f>
        <v>1</v>
      </c>
      <c r="AI24" s="387" t="str">
        <f>IF(OR(L24="Х",L24="св")," ",IF(AND(M24&gt;=0,M24&lt;3),"1"," "))</f>
        <v>1</v>
      </c>
      <c r="AJ24" s="387" t="str">
        <f>IF(OR(N24="Х",N24="св")," ",IF(AND(O24&gt;=0,O24&lt;3),"1"," "))</f>
        <v>1</v>
      </c>
      <c r="AK24" s="387" t="str">
        <f>IF(OR(P24="Х",P24="св")," ",IF(AND(Q24&gt;=0,Q24&lt;3),"1"," "))</f>
        <v>1</v>
      </c>
      <c r="AL24" s="387" t="str">
        <f>IF(OR(R24="Х",R24="св")," ",IF(AND(S24&gt;=0,S24&lt;3),"1"," "))</f>
        <v>1</v>
      </c>
      <c r="AM24" s="387" t="str">
        <f>IF(OR(T24="Х",T24="св")," ",IF(AND(U24&gt;=0,U24&lt;3),"1"," "))</f>
        <v>1</v>
      </c>
      <c r="AN24" s="388">
        <f>COUNTIF(AF24:AM25,1)</f>
        <v>8</v>
      </c>
      <c r="AO24" s="390">
        <f>AE24-AA24</f>
        <v>80</v>
      </c>
      <c r="AP24" s="391">
        <f t="shared" si="10"/>
        <v>0</v>
      </c>
      <c r="AQ24" s="384" t="str">
        <f>COUNTIF(AE$6:AE$119,"&gt;"&amp;AE$6:AE$119)+1&amp;REPT("-"&amp;COUNTIF(AE$6:AE$119,"&gt;="&amp;AE$6:AE$119),COUNTIF(AE$6:AE$119,AE24)&gt;1)</f>
        <v>6-56</v>
      </c>
      <c r="AR24" s="392"/>
      <c r="AS24" s="183"/>
      <c r="AT24" s="183"/>
      <c r="AU24" s="183"/>
      <c r="AV24" s="383">
        <f t="shared" ref="AV24" si="58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4">
        <f>IF(J24="х"," ",B24)</f>
        <v>9</v>
      </c>
      <c r="BV24" s="374">
        <f>IF(L24="х"," ",B24)</f>
        <v>9</v>
      </c>
      <c r="BW24" s="374" t="str">
        <f>IF(BV24=" "," ",L24)</f>
        <v xml:space="preserve"> </v>
      </c>
      <c r="BX24" s="374" t="str">
        <f>IF(BU24=" "," ",J24)</f>
        <v xml:space="preserve"> </v>
      </c>
      <c r="BY24" s="61">
        <f>IF(BU24&lt;BX24,BU24,0)</f>
        <v>9</v>
      </c>
      <c r="BZ24" s="61">
        <f t="shared" si="48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21</v>
      </c>
      <c r="CF24" s="374">
        <f>IF(N24="х"," ",B24)</f>
        <v>9</v>
      </c>
      <c r="CG24" s="374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21</v>
      </c>
      <c r="CL24" s="374">
        <f>IF(P24="х"," ",B24)</f>
        <v>9</v>
      </c>
      <c r="CM24" s="374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21</v>
      </c>
      <c r="CR24" s="374">
        <f t="shared" ref="CR24" si="59">IF(R24="х"," ",B24)</f>
        <v>9</v>
      </c>
      <c r="CS24" s="374" t="str">
        <f t="shared" ref="CS24" si="60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21</v>
      </c>
    </row>
    <row r="25" spans="1:100" ht="12" hidden="1" customHeight="1" thickBot="1">
      <c r="A25" s="81"/>
      <c r="B25" s="412"/>
      <c r="C25" s="421"/>
      <c r="D25" s="423"/>
      <c r="E25" s="425"/>
      <c r="F25" s="438"/>
      <c r="G25" s="43"/>
      <c r="H25" s="436"/>
      <c r="I25" s="43"/>
      <c r="J25" s="435"/>
      <c r="K25" s="59"/>
      <c r="L25" s="435"/>
      <c r="M25" s="43"/>
      <c r="N25" s="436"/>
      <c r="O25" s="43"/>
      <c r="P25" s="436"/>
      <c r="Q25" s="59"/>
      <c r="R25" s="435"/>
      <c r="S25" s="43"/>
      <c r="T25" s="435"/>
      <c r="U25" s="128"/>
      <c r="V25" s="435"/>
      <c r="W25" s="59"/>
      <c r="X25" s="435"/>
      <c r="Y25" s="59"/>
      <c r="Z25" s="418"/>
      <c r="AA25" s="417"/>
      <c r="AB25" s="427"/>
      <c r="AC25" s="383"/>
      <c r="AD25" s="384"/>
      <c r="AE25" s="386"/>
      <c r="AF25" s="387"/>
      <c r="AG25" s="387"/>
      <c r="AH25" s="387"/>
      <c r="AI25" s="387"/>
      <c r="AJ25" s="387"/>
      <c r="AK25" s="387"/>
      <c r="AL25" s="387"/>
      <c r="AM25" s="387"/>
      <c r="AN25" s="389"/>
      <c r="AO25" s="384"/>
      <c r="AP25" s="391"/>
      <c r="AQ25" s="384"/>
      <c r="AR25" s="392"/>
      <c r="AS25" s="183"/>
      <c r="AT25" s="183"/>
      <c r="AU25" s="183"/>
      <c r="AV25" s="383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4"/>
      <c r="BV25" s="374"/>
      <c r="BW25" s="374"/>
      <c r="BX25" s="374"/>
      <c r="BY25" s="61" t="str">
        <f>IF(BY24&gt;=1,BX24,0)</f>
        <v xml:space="preserve"> </v>
      </c>
      <c r="BZ25" s="61" t="str">
        <f t="shared" si="48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22</v>
      </c>
      <c r="CF25" s="374"/>
      <c r="CG25" s="374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22</v>
      </c>
      <c r="CL25" s="374"/>
      <c r="CM25" s="374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22</v>
      </c>
      <c r="CR25" s="374"/>
      <c r="CS25" s="374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22</v>
      </c>
    </row>
    <row r="26" spans="1:100" ht="12" hidden="1" customHeight="1" thickTop="1">
      <c r="A26" s="81"/>
      <c r="B26" s="430">
        <v>10</v>
      </c>
      <c r="C26" s="420" t="e">
        <f>(VLOOKUP(B26,пр.взв!$B$7:$H$76,2,0))</f>
        <v>#N/A</v>
      </c>
      <c r="D26" s="422" t="e">
        <f>(VLOOKUP(B26,пр.взв!$B$7:$H$76,3,0))</f>
        <v>#N/A</v>
      </c>
      <c r="E26" s="424" t="e">
        <f>(VLOOKUP(B26,пр.взв!$B$7:$H$76,5,0))</f>
        <v>#N/A</v>
      </c>
      <c r="F26" s="439">
        <f t="shared" ref="F26" si="61">IF(ISERROR(C26),0,B24)</f>
        <v>0</v>
      </c>
      <c r="G26" s="42"/>
      <c r="H26" s="456"/>
      <c r="I26" s="42"/>
      <c r="J26" s="436" t="str">
        <f t="shared" si="20"/>
        <v xml:space="preserve"> </v>
      </c>
      <c r="K26" s="42"/>
      <c r="L26" s="434" t="str">
        <f t="shared" ref="L26" si="62">IF(J26="Х","Х",IF(K26&lt;2.5," ",IF(K26&gt;=2.5,IF(G26+I26+K26&gt;=6,"Х",IF(AA26&lt;6," "," ")))))</f>
        <v xml:space="preserve"> </v>
      </c>
      <c r="M26" s="42"/>
      <c r="N26" s="456" t="str">
        <f>IF(L26="Х","Х",IF(M26&lt;2.5," ",IF(M26&gt;=2.5,IF(G26+I26+K26+M26&gt;=6,"Х",IF(AA26&lt;6," "," ")))))</f>
        <v xml:space="preserve"> </v>
      </c>
      <c r="O26" s="42"/>
      <c r="P26" s="456" t="str">
        <f>IF(N26="Х","Х",IF(O26&lt;2.5," ",IF(O26&gt;=2.5,IF(G26+I26+K26+M26+O26&gt;=6,"Х",IF(AA26&lt;6," "," ")))))</f>
        <v xml:space="preserve"> </v>
      </c>
      <c r="Q26" s="42"/>
      <c r="R26" s="456" t="str">
        <f>IF(P26="Х","Х",IF(Q26&lt;2.5," ",IF(Q26&gt;=2.5,IF(G26+I26+K26+M26+O26+Q26&gt;=6,"Х",IF(AA26&lt;6," "," ")))))</f>
        <v xml:space="preserve"> </v>
      </c>
      <c r="S26" s="42"/>
      <c r="T26" s="456" t="str">
        <f>IF(R26="Х","Х",IF(S26&lt;2.5," ",IF(S26&gt;=2.5,IF(G26+I26+K26+M26+O26+Q26+S26&gt;=6,"Х",IF(AA26&lt;6," "," ")))))</f>
        <v xml:space="preserve"> </v>
      </c>
      <c r="U26" s="42"/>
      <c r="V26" s="434" t="str">
        <f>IF(T26="А1",$AX$7,IF(T26="Б2",$AX$6,IF(T26="Б1",$AY$7,IF(T26="А2",$AY$6,IF(T26="Х","Х",IF(T26&lt;6," "," "))))))</f>
        <v xml:space="preserve"> </v>
      </c>
      <c r="W26" s="42"/>
      <c r="X26" s="434" t="str">
        <f t="shared" ref="X26" si="63">IF(T26="Х","Х",IF(ISBLANK(W26),"",IF(W26&gt;2.5," ",IF(B26=AZ$6,AZ$7,AZ$6))))</f>
        <v/>
      </c>
      <c r="Y26" s="42"/>
      <c r="Z26" s="441" t="b">
        <f>IF(H26="Х",F5,IF(J26="Х",H5,IF(L26="Х",J5,IF(N26="Х",L5,IF(P26="Х",N5,IF(R26="Х",P5,IF(T26="Х",R5,IF(V26="Х",T5))))))))</f>
        <v>0</v>
      </c>
      <c r="AA26" s="415">
        <f>SUM(G26+I26+K26+M26+O26+Q26+S26+U26+W26+Y26)</f>
        <v>0</v>
      </c>
      <c r="AB26" s="426">
        <f t="shared" si="1"/>
        <v>20607</v>
      </c>
      <c r="AC26" s="393">
        <f>AB26</f>
        <v>20607</v>
      </c>
      <c r="AD26" s="384" t="str">
        <f>COUNTIF(AE$6:AE$119,"&gt;"&amp;AE$6:AE$119)+1&amp;REPT("-"&amp;COUNTIF(AE$6:AE$119,"&gt;="&amp;AE$6:AE$119),COUNTIF(AE$6:AE$119,AE26)&gt;1)</f>
        <v>6-56</v>
      </c>
      <c r="AE26" s="385">
        <f t="shared" si="44"/>
        <v>80</v>
      </c>
      <c r="AF26" s="387" t="str">
        <f>IF(OR(F26="Х",F26="св")," ",IF(AND(G26&gt;=0,G26&lt;3),"1"," "))</f>
        <v>1</v>
      </c>
      <c r="AG26" s="387" t="str">
        <f>IF(OR(H26="Х",H26="св")," ",IF(AND(I26&gt;=0,I26&lt;3),"1"," "))</f>
        <v>1</v>
      </c>
      <c r="AH26" s="387" t="str">
        <f>IF(OR(J26="Х",J26="св")," ",IF(AND(K26&gt;=0,K26&lt;3),"1"," "))</f>
        <v>1</v>
      </c>
      <c r="AI26" s="387" t="str">
        <f>IF(OR(L26="Х",L26="св")," ",IF(AND(M26&gt;=0,M26&lt;3),"1"," "))</f>
        <v>1</v>
      </c>
      <c r="AJ26" s="387" t="str">
        <f>IF(OR(N26="Х",N26="св")," ",IF(AND(O26&gt;=0,O26&lt;3),"1"," "))</f>
        <v>1</v>
      </c>
      <c r="AK26" s="387" t="str">
        <f>IF(OR(P26="Х",P26="св")," ",IF(AND(Q26&gt;=0,Q26&lt;3),"1"," "))</f>
        <v>1</v>
      </c>
      <c r="AL26" s="387" t="str">
        <f>IF(OR(R26="Х",R26="св")," ",IF(AND(S26&gt;=0,S26&lt;3),"1"," "))</f>
        <v>1</v>
      </c>
      <c r="AM26" s="387" t="str">
        <f>IF(OR(T26="Х",T26="св")," ",IF(AND(U26&gt;=0,U26&lt;3),"1"," "))</f>
        <v>1</v>
      </c>
      <c r="AN26" s="388">
        <f>COUNTIF(AF26:AM27,1)</f>
        <v>8</v>
      </c>
      <c r="AO26" s="390">
        <f>AE26-AA26</f>
        <v>80</v>
      </c>
      <c r="AP26" s="391">
        <f t="shared" si="10"/>
        <v>0</v>
      </c>
      <c r="AQ26" s="384" t="str">
        <f>COUNTIF(AE$6:AE$119,"&gt;"&amp;AE$6:AE$119)+1&amp;REPT("-"&amp;COUNTIF(AE$6:AE$119,"&gt;="&amp;AE$6:AE$119),COUNTIF(AE$6:AE$119,AE26)&gt;1)</f>
        <v>6-56</v>
      </c>
      <c r="AR26" s="392"/>
      <c r="AS26" s="183"/>
      <c r="AT26" s="183"/>
      <c r="AU26" s="183"/>
      <c r="AV26" s="383">
        <f t="shared" ref="AV26:AV88" si="64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4">
        <f>IF(J26="х"," ",B26)</f>
        <v>10</v>
      </c>
      <c r="BV26" s="374">
        <f>IF(L26="х"," ",B26)</f>
        <v>10</v>
      </c>
      <c r="BW26" s="374" t="str">
        <f>IF(BV26=" "," ",L26)</f>
        <v xml:space="preserve"> </v>
      </c>
      <c r="BX26" s="374" t="str">
        <f>IF(BU26=" "," ",J26)</f>
        <v xml:space="preserve"> </v>
      </c>
      <c r="BY26" s="61">
        <f>IF(BU26&lt;BX26,BU26,0)</f>
        <v>10</v>
      </c>
      <c r="BZ26" s="61">
        <f t="shared" si="48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23</v>
      </c>
      <c r="CF26" s="374">
        <f>IF(N26="х"," ",B26)</f>
        <v>10</v>
      </c>
      <c r="CG26" s="374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23</v>
      </c>
      <c r="CL26" s="374">
        <f>IF(P26="х"," ",B26)</f>
        <v>10</v>
      </c>
      <c r="CM26" s="374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23</v>
      </c>
      <c r="CR26" s="374">
        <f t="shared" ref="CR26" si="65">IF(R26="х"," ",B26)</f>
        <v>10</v>
      </c>
      <c r="CS26" s="374" t="str">
        <f t="shared" ref="CS26" si="66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23</v>
      </c>
    </row>
    <row r="27" spans="1:100" ht="12" hidden="1" customHeight="1" thickBot="1">
      <c r="A27" s="81"/>
      <c r="B27" s="429"/>
      <c r="C27" s="421"/>
      <c r="D27" s="423"/>
      <c r="E27" s="425"/>
      <c r="F27" s="438"/>
      <c r="G27" s="44"/>
      <c r="H27" s="435"/>
      <c r="I27" s="44"/>
      <c r="J27" s="435"/>
      <c r="K27" s="44"/>
      <c r="L27" s="435"/>
      <c r="M27" s="44"/>
      <c r="N27" s="435"/>
      <c r="O27" s="44"/>
      <c r="P27" s="435"/>
      <c r="Q27" s="44"/>
      <c r="R27" s="435"/>
      <c r="S27" s="44"/>
      <c r="T27" s="435"/>
      <c r="U27" s="47"/>
      <c r="V27" s="435"/>
      <c r="W27" s="44"/>
      <c r="X27" s="435"/>
      <c r="Y27" s="44"/>
      <c r="Z27" s="427"/>
      <c r="AA27" s="416"/>
      <c r="AB27" s="427"/>
      <c r="AC27" s="393"/>
      <c r="AD27" s="384"/>
      <c r="AE27" s="386"/>
      <c r="AF27" s="387"/>
      <c r="AG27" s="387"/>
      <c r="AH27" s="387"/>
      <c r="AI27" s="387"/>
      <c r="AJ27" s="387"/>
      <c r="AK27" s="387"/>
      <c r="AL27" s="387"/>
      <c r="AM27" s="387"/>
      <c r="AN27" s="389"/>
      <c r="AO27" s="384"/>
      <c r="AP27" s="391"/>
      <c r="AQ27" s="384"/>
      <c r="AR27" s="392"/>
      <c r="AS27" s="183"/>
      <c r="AT27" s="183"/>
      <c r="AU27" s="183"/>
      <c r="AV27" s="383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4"/>
      <c r="BV27" s="374"/>
      <c r="BW27" s="374"/>
      <c r="BX27" s="374"/>
      <c r="BY27" s="61" t="str">
        <f>IF(BY26&gt;=1,BX26,0)</f>
        <v xml:space="preserve"> </v>
      </c>
      <c r="BZ27" s="61" t="str">
        <f t="shared" si="48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24</v>
      </c>
      <c r="CF27" s="374"/>
      <c r="CG27" s="374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24</v>
      </c>
      <c r="CL27" s="374"/>
      <c r="CM27" s="374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24</v>
      </c>
      <c r="CR27" s="374"/>
      <c r="CS27" s="374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24</v>
      </c>
    </row>
    <row r="28" spans="1:100" ht="12" hidden="1" customHeight="1" thickTop="1">
      <c r="A28" s="81"/>
      <c r="B28" s="431">
        <v>11</v>
      </c>
      <c r="C28" s="420" t="e">
        <f>(VLOOKUP(B28,пр.взв!$B$7:$H$76,2,0))</f>
        <v>#N/A</v>
      </c>
      <c r="D28" s="422" t="e">
        <f>(VLOOKUP(B28,пр.взв!$B$7:$H$76,3,0))</f>
        <v>#N/A</v>
      </c>
      <c r="E28" s="424" t="e">
        <f>(VLOOKUP(B28,пр.взв!$B$7:$H$76,5,0))</f>
        <v>#N/A</v>
      </c>
      <c r="F28" s="440">
        <f t="shared" si="40"/>
        <v>0</v>
      </c>
      <c r="G28" s="41"/>
      <c r="H28" s="436"/>
      <c r="I28" s="41"/>
      <c r="J28" s="436" t="str">
        <f t="shared" si="20"/>
        <v xml:space="preserve"> </v>
      </c>
      <c r="K28" s="41"/>
      <c r="L28" s="434" t="str">
        <f t="shared" ref="L28" si="67">IF(J28="Х","Х",IF(K28&lt;2.5," ",IF(K28&gt;=2.5,IF(G28+I28+K28&gt;=6,"Х",IF(AA28&lt;6," "," ")))))</f>
        <v xml:space="preserve"> </v>
      </c>
      <c r="M28" s="41"/>
      <c r="N28" s="436" t="str">
        <f>IF(L28="Х","Х",IF(M28&lt;2.5," ",IF(M28&gt;=2.5,IF(G28+I28+K28+M28&gt;=6,"Х",IF(AA28&lt;6," "," ")))))</f>
        <v xml:space="preserve"> </v>
      </c>
      <c r="O28" s="41"/>
      <c r="P28" s="436" t="str">
        <f>IF(N28="Х","Х",IF(O28&lt;2.5," ",IF(O28&gt;=2.5,IF(G28+I28+K28+M28+O28&gt;=6,"Х",IF(AA28&lt;6," "," ")))))</f>
        <v xml:space="preserve"> </v>
      </c>
      <c r="Q28" s="41"/>
      <c r="R28" s="436" t="str">
        <f>IF(P28="Х","Х",IF(Q28&lt;2.5," ",IF(Q28&gt;=2.5,IF(G28+I28+K28+M28+O28+Q28&gt;=6,"Х",IF(AA28&lt;6," "," ")))))</f>
        <v xml:space="preserve"> </v>
      </c>
      <c r="S28" s="41"/>
      <c r="T28" s="436" t="str">
        <f>IF(R28="Х","Х",IF(S28&lt;2.5," ",IF(S28&gt;=2.5,IF(G28+I28+K28+M28+O28+Q28+S28&gt;=6,"Х",IF(AA28&lt;6," "," ")))))</f>
        <v xml:space="preserve"> </v>
      </c>
      <c r="U28" s="45"/>
      <c r="V28" s="434" t="str">
        <f>IF(T28="А1",$AX$7,IF(T28="Б2",$AX$6,IF(T28="Б1",$AY$7,IF(T28="А2",$AY$6,IF(T28="Х","Х",IF(T28&lt;6," "," "))))))</f>
        <v xml:space="preserve"> </v>
      </c>
      <c r="W28" s="41"/>
      <c r="X28" s="434" t="str">
        <f t="shared" ref="X28" si="68">IF(T28="Х","Х",IF(ISBLANK(W28),"",IF(W28&gt;2.5," ",IF(B28=AZ$6,AZ$7,AZ$6))))</f>
        <v/>
      </c>
      <c r="Y28" s="41"/>
      <c r="Z28" s="418" t="b">
        <f>IF(H28="Х","1",IF(J28="Х","2",IF(L28="Х","3",IF(N28="Х","4",IF(P28="Х","5",IF(R28="Х","6",IF(T28="Х","7",IF(V28="Х","8"))))))))</f>
        <v>0</v>
      </c>
      <c r="AA28" s="417">
        <f>SUM(G28+I28+K28+M28+O28+Q28+S28+U28+W28+Y28)</f>
        <v>0</v>
      </c>
      <c r="AB28" s="426">
        <f t="shared" ref="AB28" si="69">AD28+0</f>
        <v>20607</v>
      </c>
      <c r="AC28" s="383">
        <f>AB28</f>
        <v>20607</v>
      </c>
      <c r="AD28" s="384" t="str">
        <f>COUNTIF(AE$6:AE$119,"&gt;"&amp;AE$6:AE$119)+1&amp;REPT("-"&amp;COUNTIF(AE$6:AE$119,"&gt;="&amp;AE$6:AE$119),COUNTIF(AE$6:AE$119,AE28)&gt;1)</f>
        <v>6-56</v>
      </c>
      <c r="AE28" s="385">
        <f t="shared" si="44"/>
        <v>80</v>
      </c>
      <c r="AF28" s="387" t="str">
        <f>IF(OR(F28="Х",F28="св")," ",IF(AND(G28&gt;=0,G28&lt;3),"1"," "))</f>
        <v>1</v>
      </c>
      <c r="AG28" s="387" t="str">
        <f>IF(OR(H28="Х",H28="св")," ",IF(AND(I28&gt;=0,I28&lt;3),"1"," "))</f>
        <v>1</v>
      </c>
      <c r="AH28" s="387" t="str">
        <f>IF(OR(J28="Х",J28="св")," ",IF(AND(K28&gt;=0,K28&lt;3),"1"," "))</f>
        <v>1</v>
      </c>
      <c r="AI28" s="387" t="str">
        <f>IF(OR(L28="Х",L28="св")," ",IF(AND(M28&gt;=0,M28&lt;3),"1"," "))</f>
        <v>1</v>
      </c>
      <c r="AJ28" s="387" t="str">
        <f>IF(OR(N28="Х",N28="св")," ",IF(AND(O28&gt;=0,O28&lt;3),"1"," "))</f>
        <v>1</v>
      </c>
      <c r="AK28" s="387" t="str">
        <f>IF(OR(P28="Х",P28="св")," ",IF(AND(Q28&gt;=0,Q28&lt;3),"1"," "))</f>
        <v>1</v>
      </c>
      <c r="AL28" s="387" t="str">
        <f>IF(OR(R28="Х",R28="св")," ",IF(AND(S28&gt;=0,S28&lt;3),"1"," "))</f>
        <v>1</v>
      </c>
      <c r="AM28" s="387" t="str">
        <f>IF(OR(T28="Х",T28="св")," ",IF(AND(U28&gt;=0,U28&lt;3),"1"," "))</f>
        <v>1</v>
      </c>
      <c r="AN28" s="388">
        <f>COUNTIF(AF28:AM29,1)</f>
        <v>8</v>
      </c>
      <c r="AO28" s="390">
        <f>AE28-AA28</f>
        <v>80</v>
      </c>
      <c r="AP28" s="391">
        <f t="shared" si="10"/>
        <v>0</v>
      </c>
      <c r="AQ28" s="384" t="str">
        <f>COUNTIF(AE$6:AE$119,"&gt;"&amp;AE$6:AE$119)+1&amp;REPT("-"&amp;COUNTIF(AE$6:AE$119,"&gt;="&amp;AE$6:AE$119),COUNTIF(AE$6:AE$119,AE28)&gt;1)</f>
        <v>6-56</v>
      </c>
      <c r="AR28" s="392"/>
      <c r="AS28" s="183"/>
      <c r="AT28" s="183"/>
      <c r="AU28" s="183"/>
      <c r="AV28" s="383">
        <f t="shared" si="64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4">
        <f>IF(J28="х"," ",B28)</f>
        <v>11</v>
      </c>
      <c r="BV28" s="374">
        <f>IF(L28="х"," ",B28)</f>
        <v>11</v>
      </c>
      <c r="BW28" s="374" t="str">
        <f>IF(BV28=" "," ",L28)</f>
        <v xml:space="preserve"> </v>
      </c>
      <c r="BX28" s="374" t="str">
        <f>IF(BU28=" "," ",J28)</f>
        <v xml:space="preserve"> </v>
      </c>
      <c r="BY28" s="61">
        <f>IF(BU28&lt;BX28,BU28,0)</f>
        <v>11</v>
      </c>
      <c r="BZ28" s="61">
        <f t="shared" si="48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25</v>
      </c>
      <c r="CF28" s="374">
        <f>IF(N28="х"," ",B28)</f>
        <v>11</v>
      </c>
      <c r="CG28" s="374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25</v>
      </c>
      <c r="CL28" s="374">
        <f>IF(P28="х"," ",B28)</f>
        <v>11</v>
      </c>
      <c r="CM28" s="374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25</v>
      </c>
      <c r="CR28" s="374">
        <f t="shared" ref="CR28" si="70">IF(R28="х"," ",B28)</f>
        <v>11</v>
      </c>
      <c r="CS28" s="374" t="str">
        <f t="shared" ref="CS28" si="71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25</v>
      </c>
    </row>
    <row r="29" spans="1:100" ht="12" hidden="1" customHeight="1" thickBot="1">
      <c r="A29" s="81"/>
      <c r="B29" s="412"/>
      <c r="C29" s="421"/>
      <c r="D29" s="423"/>
      <c r="E29" s="425"/>
      <c r="F29" s="438"/>
      <c r="G29" s="44"/>
      <c r="H29" s="435"/>
      <c r="I29" s="44"/>
      <c r="J29" s="435"/>
      <c r="K29" s="44"/>
      <c r="L29" s="435"/>
      <c r="M29" s="44"/>
      <c r="N29" s="435"/>
      <c r="O29" s="44"/>
      <c r="P29" s="435"/>
      <c r="Q29" s="44"/>
      <c r="R29" s="435"/>
      <c r="S29" s="44"/>
      <c r="T29" s="435"/>
      <c r="U29" s="47"/>
      <c r="V29" s="435"/>
      <c r="W29" s="44"/>
      <c r="X29" s="435"/>
      <c r="Y29" s="44"/>
      <c r="Z29" s="419"/>
      <c r="AA29" s="416"/>
      <c r="AB29" s="427"/>
      <c r="AC29" s="383"/>
      <c r="AD29" s="384"/>
      <c r="AE29" s="386"/>
      <c r="AF29" s="387"/>
      <c r="AG29" s="387"/>
      <c r="AH29" s="387"/>
      <c r="AI29" s="387"/>
      <c r="AJ29" s="387"/>
      <c r="AK29" s="387"/>
      <c r="AL29" s="387"/>
      <c r="AM29" s="387"/>
      <c r="AN29" s="389"/>
      <c r="AO29" s="384"/>
      <c r="AP29" s="391"/>
      <c r="AQ29" s="384"/>
      <c r="AR29" s="392"/>
      <c r="AS29" s="183"/>
      <c r="AT29" s="183"/>
      <c r="AU29" s="183"/>
      <c r="AV29" s="383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4"/>
      <c r="BV29" s="374"/>
      <c r="BW29" s="374"/>
      <c r="BX29" s="374"/>
      <c r="BY29" s="61" t="str">
        <f>IF(BY28&gt;=1,BX28,0)</f>
        <v xml:space="preserve"> </v>
      </c>
      <c r="BZ29" s="61" t="str">
        <f t="shared" si="48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26</v>
      </c>
      <c r="CF29" s="374"/>
      <c r="CG29" s="374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26</v>
      </c>
      <c r="CL29" s="374"/>
      <c r="CM29" s="374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26</v>
      </c>
      <c r="CR29" s="374"/>
      <c r="CS29" s="374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26</v>
      </c>
    </row>
    <row r="30" spans="1:100" ht="12" hidden="1" customHeight="1" thickTop="1">
      <c r="A30" s="81"/>
      <c r="B30" s="411">
        <v>12</v>
      </c>
      <c r="C30" s="420" t="e">
        <f>(VLOOKUP(B30,пр.взв!$B$7:$H$76,2,0))</f>
        <v>#N/A</v>
      </c>
      <c r="D30" s="422" t="e">
        <f>(VLOOKUP(B30,пр.взв!$B$7:$H$76,3,0))</f>
        <v>#N/A</v>
      </c>
      <c r="E30" s="424" t="e">
        <f>(VLOOKUP(B30,пр.взв!$B$7:$H$76,5,0))</f>
        <v>#N/A</v>
      </c>
      <c r="F30" s="439">
        <f t="shared" si="49"/>
        <v>0</v>
      </c>
      <c r="G30" s="42"/>
      <c r="H30" s="456"/>
      <c r="I30" s="42"/>
      <c r="J30" s="436" t="str">
        <f t="shared" si="20"/>
        <v xml:space="preserve"> </v>
      </c>
      <c r="K30" s="42"/>
      <c r="L30" s="434" t="str">
        <f t="shared" ref="L30" si="72">IF(J30="Х","Х",IF(K30&lt;2.5," ",IF(K30&gt;=2.5,IF(G30+I30+K30&gt;=6,"Х",IF(AA30&lt;6," "," ")))))</f>
        <v xml:space="preserve"> </v>
      </c>
      <c r="M30" s="42"/>
      <c r="N30" s="456" t="str">
        <f>IF(L30="Х","Х",IF(M30&lt;2.5," ",IF(M30&gt;=2.5,IF(G30+I30+K30+M30&gt;=6,"Х",IF(AA30&lt;6," "," ")))))</f>
        <v xml:space="preserve"> </v>
      </c>
      <c r="O30" s="42"/>
      <c r="P30" s="456" t="str">
        <f>IF(N30="Х","Х",IF(O30&lt;2.5," ",IF(O30&gt;=2.5,IF(G30+I30+K30+M30+O30&gt;=6,"Х",IF(AA30&lt;6," "," ")))))</f>
        <v xml:space="preserve"> </v>
      </c>
      <c r="Q30" s="42"/>
      <c r="R30" s="456" t="str">
        <f>IF(P30="Х","Х",IF(Q30&lt;2.5," ",IF(Q30&gt;=2.5,IF(G30+I30+K30+M30+O30+Q30&gt;=6,"Х",IF(AA30&lt;6," "," ")))))</f>
        <v xml:space="preserve"> </v>
      </c>
      <c r="S30" s="42"/>
      <c r="T30" s="456" t="str">
        <f>IF(R30="Х","Х",IF(S30&lt;2.5," ",IF(S30&gt;=2.5,IF(G30+I30+K30+M30+O30+Q30+S30&gt;=6,"Х",IF(AA30&lt;6," "," ")))))</f>
        <v xml:space="preserve"> </v>
      </c>
      <c r="U30" s="46"/>
      <c r="V30" s="434" t="str">
        <f>IF(T30="А1",$AX$7,IF(T30="Б2",$AX$6,IF(T30="Б1",$AY$7,IF(T30="А2",$AY$6,IF(T30="Х","Х",IF(T30&lt;6," "," "))))))</f>
        <v xml:space="preserve"> </v>
      </c>
      <c r="W30" s="42"/>
      <c r="X30" s="434" t="str">
        <f t="shared" ref="X30" si="73">IF(T30="Х","Х",IF(ISBLANK(W30),"",IF(W30&gt;2.5," ",IF(B30=AZ$6,AZ$7,AZ$6))))</f>
        <v/>
      </c>
      <c r="Y30" s="42"/>
      <c r="Z30" s="464" t="b">
        <f>IF(H30="Х","1",IF(J30="Х","2",IF(L30="Х","3",IF(N30="Х","4",IF(P30="Х","5",IF(R30="Х","6",IF(T30="Х","7",IF(V30="Х","8"))))))))</f>
        <v>0</v>
      </c>
      <c r="AA30" s="415">
        <f>SUM(G30+I30+K30+M30+O30+Q30+S30+U30+W30+Y30)</f>
        <v>0</v>
      </c>
      <c r="AB30" s="426">
        <f t="shared" ref="AB30" si="74">AD30+0</f>
        <v>20607</v>
      </c>
      <c r="AC30" s="383">
        <f>AB30</f>
        <v>20607</v>
      </c>
      <c r="AD30" s="384" t="str">
        <f>COUNTIF(AE$6:AE$119,"&gt;"&amp;AE$6:AE$119)+1&amp;REPT("-"&amp;COUNTIF(AE$6:AE$119,"&gt;="&amp;AE$6:AE$119),COUNTIF(AE$6:AE$119,AE30)&gt;1)</f>
        <v>6-56</v>
      </c>
      <c r="AE30" s="385">
        <f t="shared" si="44"/>
        <v>80</v>
      </c>
      <c r="AF30" s="387" t="str">
        <f>IF(OR(F30="Х",F30="св")," ",IF(AND(G30&gt;=0,G30&lt;3),"1"," "))</f>
        <v>1</v>
      </c>
      <c r="AG30" s="387" t="str">
        <f>IF(OR(H30="Х",H30="св")," ",IF(AND(I30&gt;=0,I30&lt;3),"1"," "))</f>
        <v>1</v>
      </c>
      <c r="AH30" s="387" t="str">
        <f>IF(OR(J30="Х",J30="св")," ",IF(AND(K30&gt;=0,K30&lt;3),"1"," "))</f>
        <v>1</v>
      </c>
      <c r="AI30" s="387" t="str">
        <f>IF(OR(L30="Х",L30="св")," ",IF(AND(M30&gt;=0,M30&lt;3),"1"," "))</f>
        <v>1</v>
      </c>
      <c r="AJ30" s="387" t="str">
        <f>IF(OR(N30="Х",N30="св")," ",IF(AND(O30&gt;=0,O30&lt;3),"1"," "))</f>
        <v>1</v>
      </c>
      <c r="AK30" s="387" t="str">
        <f>IF(OR(P30="Х",P30="св")," ",IF(AND(Q30&gt;=0,Q30&lt;3),"1"," "))</f>
        <v>1</v>
      </c>
      <c r="AL30" s="387" t="str">
        <f>IF(OR(R30="Х",R30="св")," ",IF(AND(S30&gt;=0,S30&lt;3),"1"," "))</f>
        <v>1</v>
      </c>
      <c r="AM30" s="387" t="str">
        <f>IF(OR(T30="Х",T30="св")," ",IF(AND(U30&gt;=0,U30&lt;3),"1"," "))</f>
        <v>1</v>
      </c>
      <c r="AN30" s="388">
        <f>COUNTIF(AF30:AM31,1)</f>
        <v>8</v>
      </c>
      <c r="AO30" s="390">
        <f>AE30-AA30</f>
        <v>80</v>
      </c>
      <c r="AP30" s="391">
        <f t="shared" si="10"/>
        <v>0</v>
      </c>
      <c r="AQ30" s="384" t="str">
        <f>COUNTIF(AE$6:AE$119,"&gt;"&amp;AE$6:AE$119)+1&amp;REPT("-"&amp;COUNTIF(AE$6:AE$119,"&gt;="&amp;AE$6:AE$119),COUNTIF(AE$6:AE$119,AE30)&gt;1)</f>
        <v>6-56</v>
      </c>
      <c r="AR30" s="392"/>
      <c r="AS30" s="183"/>
      <c r="AT30" s="183"/>
      <c r="AU30" s="183"/>
      <c r="AV30" s="383">
        <f t="shared" si="64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4">
        <f>IF(J30="х"," ",B30)</f>
        <v>12</v>
      </c>
      <c r="BV30" s="374">
        <f>IF(L30="х"," ",B30)</f>
        <v>12</v>
      </c>
      <c r="BW30" s="374" t="str">
        <f>IF(BV30=" "," ",L30)</f>
        <v xml:space="preserve"> </v>
      </c>
      <c r="BX30" s="374" t="str">
        <f>IF(BU30=" "," ",J30)</f>
        <v xml:space="preserve"> </v>
      </c>
      <c r="BY30" s="61">
        <f>IF(BU30&lt;BX30,BU30,0)</f>
        <v>12</v>
      </c>
      <c r="BZ30" s="61">
        <f t="shared" si="48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27</v>
      </c>
      <c r="CF30" s="374">
        <f>IF(N30="х"," ",B30)</f>
        <v>12</v>
      </c>
      <c r="CG30" s="374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27</v>
      </c>
      <c r="CL30" s="374">
        <f>IF(P30="х"," ",B30)</f>
        <v>12</v>
      </c>
      <c r="CM30" s="374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27</v>
      </c>
      <c r="CR30" s="374">
        <f t="shared" ref="CR30" si="75">IF(R30="х"," ",B30)</f>
        <v>12</v>
      </c>
      <c r="CS30" s="374" t="str">
        <f t="shared" ref="CS30" si="76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27</v>
      </c>
    </row>
    <row r="31" spans="1:100" ht="12" hidden="1" customHeight="1" thickBot="1">
      <c r="A31" s="81"/>
      <c r="B31" s="412"/>
      <c r="C31" s="421"/>
      <c r="D31" s="423"/>
      <c r="E31" s="425"/>
      <c r="F31" s="438"/>
      <c r="G31" s="44"/>
      <c r="H31" s="435"/>
      <c r="I31" s="44"/>
      <c r="J31" s="435"/>
      <c r="K31" s="44"/>
      <c r="L31" s="435"/>
      <c r="M31" s="44"/>
      <c r="N31" s="435"/>
      <c r="O31" s="44"/>
      <c r="P31" s="435"/>
      <c r="Q31" s="44"/>
      <c r="R31" s="435"/>
      <c r="S31" s="44"/>
      <c r="T31" s="435"/>
      <c r="U31" s="47"/>
      <c r="V31" s="435"/>
      <c r="W31" s="44"/>
      <c r="X31" s="435"/>
      <c r="Y31" s="44"/>
      <c r="Z31" s="419"/>
      <c r="AA31" s="416"/>
      <c r="AB31" s="427"/>
      <c r="AC31" s="383"/>
      <c r="AD31" s="384"/>
      <c r="AE31" s="386"/>
      <c r="AF31" s="387"/>
      <c r="AG31" s="387"/>
      <c r="AH31" s="387"/>
      <c r="AI31" s="387"/>
      <c r="AJ31" s="387"/>
      <c r="AK31" s="387"/>
      <c r="AL31" s="387"/>
      <c r="AM31" s="387"/>
      <c r="AN31" s="389"/>
      <c r="AO31" s="384"/>
      <c r="AP31" s="391"/>
      <c r="AQ31" s="384"/>
      <c r="AR31" s="392"/>
      <c r="AS31" s="183"/>
      <c r="AT31" s="183"/>
      <c r="AU31" s="183"/>
      <c r="AV31" s="383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4"/>
      <c r="BV31" s="374"/>
      <c r="BW31" s="374"/>
      <c r="BX31" s="374"/>
      <c r="BY31" s="61" t="str">
        <f>IF(BY30&gt;=1,BX30,0)</f>
        <v xml:space="preserve"> </v>
      </c>
      <c r="BZ31" s="61" t="str">
        <f t="shared" si="48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28</v>
      </c>
      <c r="CF31" s="374"/>
      <c r="CG31" s="374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28</v>
      </c>
      <c r="CL31" s="374"/>
      <c r="CM31" s="374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28</v>
      </c>
      <c r="CR31" s="374"/>
      <c r="CS31" s="374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28</v>
      </c>
    </row>
    <row r="32" spans="1:100" ht="12" hidden="1" customHeight="1" thickTop="1">
      <c r="A32" s="200"/>
      <c r="B32" s="411">
        <v>13</v>
      </c>
      <c r="C32" s="420" t="e">
        <f>(VLOOKUP(B32,пр.взв!$B$7:$H$76,2,0))</f>
        <v>#N/A</v>
      </c>
      <c r="D32" s="422" t="e">
        <f>(VLOOKUP(B32,пр.взв!$B$7:$H$76,3,0))</f>
        <v>#N/A</v>
      </c>
      <c r="E32" s="424" t="e">
        <f>(VLOOKUP(B32,пр.взв!$B$7:$H$76,5,0))</f>
        <v>#N/A</v>
      </c>
      <c r="F32" s="440">
        <f t="shared" ref="F32" si="77">IF(ISERROR(C32),0,B34)</f>
        <v>0</v>
      </c>
      <c r="G32" s="42"/>
      <c r="H32" s="456"/>
      <c r="I32" s="42"/>
      <c r="J32" s="436" t="str">
        <f t="shared" si="20"/>
        <v xml:space="preserve"> </v>
      </c>
      <c r="K32" s="42"/>
      <c r="L32" s="434" t="str">
        <f t="shared" ref="L32" si="78">IF(J32="Х","Х",IF(K32&lt;2.5," ",IF(K32&gt;=2.5,IF(G32+I32+K32&gt;=6,"Х",IF(AA32&lt;6," "," ")))))</f>
        <v xml:space="preserve"> </v>
      </c>
      <c r="M32" s="42"/>
      <c r="N32" s="456" t="str">
        <f>IF(L32="Х","Х",IF(M32&lt;2.5," ",IF(M32&gt;=2.5,IF(G32+I32+K32+M32&gt;=6,"Х",IF(AA32&lt;6," "," ")))))</f>
        <v xml:space="preserve"> </v>
      </c>
      <c r="O32" s="42"/>
      <c r="P32" s="456" t="str">
        <f>IF(N32="Х","Х",IF(O32&lt;2.5," ",IF(O32&gt;=2.5,IF(G32+I32+K32+M32+O32&gt;=6,"Х",IF(AA32&lt;6," "," ")))))</f>
        <v xml:space="preserve"> </v>
      </c>
      <c r="Q32" s="42"/>
      <c r="R32" s="456" t="str">
        <f>IF(P32="Х","Х",IF(Q32&lt;2.5," ",IF(Q32&gt;=2.5,IF(G32+I32+K32+M32+O32+Q32&gt;=6,"Х",IF(AA32&lt;6," "," ")))))</f>
        <v xml:space="preserve"> </v>
      </c>
      <c r="S32" s="42"/>
      <c r="T32" s="456" t="str">
        <f>IF(R32="Х","Х",IF(S32&lt;2.5," ",IF(S32&gt;=2.5,IF(G32+I32+K32+M32+O32+Q32+S32&gt;=6,"Х",IF(AA32&lt;6," "," ")))))</f>
        <v xml:space="preserve"> </v>
      </c>
      <c r="U32" s="46"/>
      <c r="V32" s="434" t="str">
        <f>IF(T32="А1",$AX$7,IF(T32="Б2",$AX$6,IF(T32="Б1",$AY$7,IF(T32="А2",$AY$6,IF(T32="Х","Х",IF(T32&lt;6," "," "))))))</f>
        <v xml:space="preserve"> </v>
      </c>
      <c r="W32" s="42"/>
      <c r="X32" s="434" t="str">
        <f t="shared" ref="X32" si="79">IF(T32="Х","Х",IF(ISBLANK(W32),"",IF(W32&gt;2.5," ",IF(B32=AZ$6,AZ$7,AZ$6))))</f>
        <v/>
      </c>
      <c r="Y32" s="42"/>
      <c r="Z32" s="464" t="b">
        <f>IF(H32="Х","1",IF(J32="Х","2",IF(L32="Х","3",IF(N32="Х","4",IF(P32="Х","5",IF(R32="Х","6",IF(T32="Х","7",IF(V32="Х","8"))))))))</f>
        <v>0</v>
      </c>
      <c r="AA32" s="415">
        <f>SUM(G32+I32+K32+M32+O32+Q32+S32+U32+W32+Y32)</f>
        <v>0</v>
      </c>
      <c r="AB32" s="426">
        <f t="shared" ref="AB32" si="80">AD32+0</f>
        <v>20607</v>
      </c>
      <c r="AC32" s="383">
        <f>AB32</f>
        <v>20607</v>
      </c>
      <c r="AD32" s="384" t="str">
        <f>COUNTIF(AE$6:AE$119,"&gt;"&amp;AE$6:AE$119)+1&amp;REPT("-"&amp;COUNTIF(AE$6:AE$119,"&gt;="&amp;AE$6:AE$119),COUNTIF(AE$6:AE$119,AE32)&gt;1)</f>
        <v>6-56</v>
      </c>
      <c r="AE32" s="385">
        <f t="shared" si="44"/>
        <v>80</v>
      </c>
      <c r="AF32" s="387" t="str">
        <f>IF(OR(F32="Х",F32="св")," ",IF(AND(G32&gt;=0,G32&lt;3),"1"," "))</f>
        <v>1</v>
      </c>
      <c r="AG32" s="387" t="str">
        <f>IF(OR(H32="Х",H32="св")," ",IF(AND(I32&gt;=0,I32&lt;3),"1"," "))</f>
        <v>1</v>
      </c>
      <c r="AH32" s="387" t="str">
        <f>IF(OR(J32="Х",J32="св")," ",IF(AND(K32&gt;=0,K32&lt;3),"1"," "))</f>
        <v>1</v>
      </c>
      <c r="AI32" s="387" t="str">
        <f>IF(OR(L32="Х",L32="св")," ",IF(AND(M32&gt;=0,M32&lt;3),"1"," "))</f>
        <v>1</v>
      </c>
      <c r="AJ32" s="387" t="str">
        <f>IF(OR(N32="Х",N32="св")," ",IF(AND(O32&gt;=0,O32&lt;3),"1"," "))</f>
        <v>1</v>
      </c>
      <c r="AK32" s="387" t="str">
        <f>IF(OR(P32="Х",P32="св")," ",IF(AND(Q32&gt;=0,Q32&lt;3),"1"," "))</f>
        <v>1</v>
      </c>
      <c r="AL32" s="387" t="str">
        <f>IF(OR(R32="Х",R32="св")," ",IF(AND(S32&gt;=0,S32&lt;3),"1"," "))</f>
        <v>1</v>
      </c>
      <c r="AM32" s="387" t="str">
        <f>IF(OR(T32="Х",T32="св")," ",IF(AND(U32&gt;=0,U32&lt;3),"1"," "))</f>
        <v>1</v>
      </c>
      <c r="AN32" s="388">
        <f>COUNTIF(AF32:AM33,1)</f>
        <v>8</v>
      </c>
      <c r="AO32" s="390">
        <f>AE32-AA32</f>
        <v>80</v>
      </c>
      <c r="AP32" s="391">
        <f t="shared" si="10"/>
        <v>0</v>
      </c>
      <c r="AQ32" s="384" t="str">
        <f>COUNTIF(AE$6:AE$119,"&gt;"&amp;AE$6:AE$119)+1&amp;REPT("-"&amp;COUNTIF(AE$6:AE$119,"&gt;="&amp;AE$6:AE$119),COUNTIF(AE$6:AE$119,AE32)&gt;1)</f>
        <v>6-56</v>
      </c>
      <c r="AR32" s="392"/>
      <c r="AS32" s="183"/>
      <c r="AT32" s="183"/>
      <c r="AU32" s="183"/>
      <c r="AV32" s="383">
        <f t="shared" si="64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4">
        <f>IF(J32="х"," ",B32)</f>
        <v>13</v>
      </c>
      <c r="BV32" s="374">
        <f>IF(L32="х"," ",B32)</f>
        <v>13</v>
      </c>
      <c r="BW32" s="374" t="str">
        <f>IF(BV32=" "," ",L32)</f>
        <v xml:space="preserve"> </v>
      </c>
      <c r="BX32" s="374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29</v>
      </c>
      <c r="CF32" s="374">
        <f>IF(N32="х"," ",B32)</f>
        <v>13</v>
      </c>
      <c r="CG32" s="374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29</v>
      </c>
      <c r="CL32" s="374">
        <f>IF(P32="х"," ",B32)</f>
        <v>13</v>
      </c>
      <c r="CM32" s="374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29</v>
      </c>
      <c r="CR32" s="374">
        <f t="shared" ref="CR32" si="81">IF(R32="х"," ",B32)</f>
        <v>13</v>
      </c>
      <c r="CS32" s="374" t="str">
        <f t="shared" ref="CS32" si="82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29</v>
      </c>
    </row>
    <row r="33" spans="1:100" ht="12" hidden="1" customHeight="1" thickBot="1">
      <c r="A33" s="200"/>
      <c r="B33" s="412"/>
      <c r="C33" s="421"/>
      <c r="D33" s="423"/>
      <c r="E33" s="425"/>
      <c r="F33" s="438"/>
      <c r="G33" s="44"/>
      <c r="H33" s="435"/>
      <c r="I33" s="44"/>
      <c r="J33" s="435"/>
      <c r="K33" s="44"/>
      <c r="L33" s="435"/>
      <c r="M33" s="44"/>
      <c r="N33" s="435"/>
      <c r="O33" s="44"/>
      <c r="P33" s="435"/>
      <c r="Q33" s="44"/>
      <c r="R33" s="435"/>
      <c r="S33" s="44"/>
      <c r="T33" s="435"/>
      <c r="U33" s="47"/>
      <c r="V33" s="435"/>
      <c r="W33" s="44"/>
      <c r="X33" s="435"/>
      <c r="Y33" s="44"/>
      <c r="Z33" s="419"/>
      <c r="AA33" s="416"/>
      <c r="AB33" s="427"/>
      <c r="AC33" s="383"/>
      <c r="AD33" s="384"/>
      <c r="AE33" s="386"/>
      <c r="AF33" s="387"/>
      <c r="AG33" s="387"/>
      <c r="AH33" s="387"/>
      <c r="AI33" s="387"/>
      <c r="AJ33" s="387"/>
      <c r="AK33" s="387"/>
      <c r="AL33" s="387"/>
      <c r="AM33" s="387"/>
      <c r="AN33" s="389"/>
      <c r="AO33" s="384"/>
      <c r="AP33" s="391"/>
      <c r="AQ33" s="384"/>
      <c r="AR33" s="392"/>
      <c r="AS33" s="183"/>
      <c r="AT33" s="183"/>
      <c r="AU33" s="183"/>
      <c r="AV33" s="383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4"/>
      <c r="BV33" s="374"/>
      <c r="BW33" s="374"/>
      <c r="BX33" s="374"/>
      <c r="BY33" s="61" t="str">
        <f>IF(BY32&gt;=1,BX32,0)</f>
        <v xml:space="preserve"> </v>
      </c>
      <c r="BZ33" s="61" t="str">
        <f t="shared" ref="BZ33:BZ96" si="8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30</v>
      </c>
      <c r="CF33" s="374"/>
      <c r="CG33" s="374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30</v>
      </c>
      <c r="CL33" s="374"/>
      <c r="CM33" s="374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30</v>
      </c>
      <c r="CR33" s="374"/>
      <c r="CS33" s="374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30</v>
      </c>
    </row>
    <row r="34" spans="1:100" ht="12" hidden="1" customHeight="1" thickTop="1">
      <c r="A34" s="201"/>
      <c r="B34" s="411">
        <v>14</v>
      </c>
      <c r="C34" s="420" t="e">
        <f>(VLOOKUP(B34,пр.взв!$B$7:$H$76,2,0))</f>
        <v>#N/A</v>
      </c>
      <c r="D34" s="422" t="e">
        <f>(VLOOKUP(B34,пр.взв!$B$7:$H$76,3,0))</f>
        <v>#N/A</v>
      </c>
      <c r="E34" s="424" t="e">
        <f>(VLOOKUP(B34,пр.взв!$B$7:$H$76,5,0))</f>
        <v>#N/A</v>
      </c>
      <c r="F34" s="439">
        <f t="shared" ref="F34" si="84">IF(ISERROR(C34),0,B32)</f>
        <v>0</v>
      </c>
      <c r="G34" s="42"/>
      <c r="H34" s="456"/>
      <c r="I34" s="42"/>
      <c r="J34" s="436" t="str">
        <f t="shared" si="20"/>
        <v xml:space="preserve"> </v>
      </c>
      <c r="K34" s="42"/>
      <c r="L34" s="434" t="str">
        <f t="shared" ref="L34" si="85">IF(J34="Х","Х",IF(K34&lt;2.5," ",IF(K34&gt;=2.5,IF(G34+I34+K34&gt;=6,"Х",IF(AA34&lt;6," "," ")))))</f>
        <v xml:space="preserve"> </v>
      </c>
      <c r="M34" s="42"/>
      <c r="N34" s="456" t="str">
        <f>IF(L34="Х","Х",IF(M34&lt;2.5," ",IF(M34&gt;=2.5,IF(G34+I34+K34+M34&gt;=6,"Х",IF(AA34&lt;6," "," ")))))</f>
        <v xml:space="preserve"> </v>
      </c>
      <c r="O34" s="42"/>
      <c r="P34" s="456" t="str">
        <f>IF(N34="Х","Х",IF(O34&lt;2.5," ",IF(O34&gt;=2.5,IF(G34+I34+K34+M34+O34&gt;=6,"Х",IF(AA34&lt;6," "," ")))))</f>
        <v xml:space="preserve"> </v>
      </c>
      <c r="Q34" s="42"/>
      <c r="R34" s="456" t="str">
        <f>IF(P34="Х","Х",IF(Q34&lt;2.5," ",IF(Q34&gt;=2.5,IF(G34+I34+K34+M34+O34+Q34&gt;=6,"Х",IF(AA34&lt;6," "," ")))))</f>
        <v xml:space="preserve"> </v>
      </c>
      <c r="S34" s="42"/>
      <c r="T34" s="456" t="str">
        <f>IF(R34="Х","Х",IF(S34&lt;2.5," ",IF(S34&gt;=2.5,IF(G34+I34+K34+M34+O34+Q34+S34&gt;=6,"Х",IF(AA34&lt;6," "," ")))))</f>
        <v xml:space="preserve"> </v>
      </c>
      <c r="U34" s="46"/>
      <c r="V34" s="434" t="str">
        <f>IF(T34="А1",$AX$7,IF(T34="Б2",$AX$6,IF(T34="Б1",$AY$7,IF(T34="А2",$AY$6,IF(T34="Х","Х",IF(T34&lt;6," "," "))))))</f>
        <v xml:space="preserve"> </v>
      </c>
      <c r="W34" s="42"/>
      <c r="X34" s="434" t="str">
        <f t="shared" ref="X34" si="86">IF(T34="Х","Х",IF(ISBLANK(W34),"",IF(W34&gt;2.5," ",IF(B34=AZ$6,AZ$7,AZ$6))))</f>
        <v/>
      </c>
      <c r="Y34" s="42"/>
      <c r="Z34" s="464" t="b">
        <f>IF(H34="Х","1",IF(J34="Х","2",IF(L34="Х","3",IF(N34="Х","4",IF(P34="Х","5",IF(R34="Х","6",IF(T34="Х","7",IF(V34="Х","8"))))))))</f>
        <v>0</v>
      </c>
      <c r="AA34" s="415">
        <f>SUM(G34+I34+K34+M34+O34+Q34+S34+U34+W34+Y34)</f>
        <v>0</v>
      </c>
      <c r="AB34" s="426">
        <f t="shared" ref="AB34" si="87">AD34+0</f>
        <v>20607</v>
      </c>
      <c r="AC34" s="383">
        <f>AB34</f>
        <v>20607</v>
      </c>
      <c r="AD34" s="384" t="str">
        <f>COUNTIF(AE$6:AE$119,"&gt;"&amp;AE$6:AE$119)+1&amp;REPT("-"&amp;COUNTIF(AE$6:AE$119,"&gt;="&amp;AE$6:AE$119),COUNTIF(AE$6:AE$119,AE34)&gt;1)</f>
        <v>6-56</v>
      </c>
      <c r="AE34" s="385">
        <f t="shared" si="44"/>
        <v>80</v>
      </c>
      <c r="AF34" s="387" t="str">
        <f>IF(OR(F34="Х",F34="св")," ",IF(AND(G34&gt;=0,G34&lt;3),"1"," "))</f>
        <v>1</v>
      </c>
      <c r="AG34" s="387" t="str">
        <f>IF(OR(H34="Х",H34="св")," ",IF(AND(I34&gt;=0,I34&lt;3),"1"," "))</f>
        <v>1</v>
      </c>
      <c r="AH34" s="387" t="str">
        <f>IF(OR(J34="Х",J34="св")," ",IF(AND(K34&gt;=0,K34&lt;3),"1"," "))</f>
        <v>1</v>
      </c>
      <c r="AI34" s="387" t="str">
        <f>IF(OR(L34="Х",L34="св")," ",IF(AND(M34&gt;=0,M34&lt;3),"1"," "))</f>
        <v>1</v>
      </c>
      <c r="AJ34" s="387" t="str">
        <f>IF(OR(N34="Х",N34="св")," ",IF(AND(O34&gt;=0,O34&lt;3),"1"," "))</f>
        <v>1</v>
      </c>
      <c r="AK34" s="387" t="str">
        <f>IF(OR(P34="Х",P34="св")," ",IF(AND(Q34&gt;=0,Q34&lt;3),"1"," "))</f>
        <v>1</v>
      </c>
      <c r="AL34" s="387" t="str">
        <f>IF(OR(R34="Х",R34="св")," ",IF(AND(S34&gt;=0,S34&lt;3),"1"," "))</f>
        <v>1</v>
      </c>
      <c r="AM34" s="387" t="str">
        <f>IF(OR(T34="Х",T34="св")," ",IF(AND(U34&gt;=0,U34&lt;3),"1"," "))</f>
        <v>1</v>
      </c>
      <c r="AN34" s="388">
        <f>COUNTIF(AF34:AM35,1)</f>
        <v>8</v>
      </c>
      <c r="AO34" s="390">
        <f>AE34-AA34</f>
        <v>80</v>
      </c>
      <c r="AP34" s="391">
        <f t="shared" si="10"/>
        <v>0</v>
      </c>
      <c r="AQ34" s="384" t="str">
        <f>COUNTIF(AE$6:AE$119,"&gt;"&amp;AE$6:AE$119)+1&amp;REPT("-"&amp;COUNTIF(AE$6:AE$119,"&gt;="&amp;AE$6:AE$119),COUNTIF(AE$6:AE$119,AE34)&gt;1)</f>
        <v>6-56</v>
      </c>
      <c r="AR34" s="392"/>
      <c r="AS34" s="183"/>
      <c r="AT34" s="183"/>
      <c r="AU34" s="183"/>
      <c r="AV34" s="383">
        <f t="shared" si="64"/>
        <v>14</v>
      </c>
      <c r="AW34" s="90"/>
      <c r="AX34" s="83"/>
      <c r="BU34" s="374">
        <f>IF(J34="х"," ",B34)</f>
        <v>14</v>
      </c>
      <c r="BV34" s="374">
        <f>IF(L34="х"," ",B34)</f>
        <v>14</v>
      </c>
      <c r="BW34" s="374" t="str">
        <f>IF(BV34=" "," ",L34)</f>
        <v xml:space="preserve"> </v>
      </c>
      <c r="BX34" s="374" t="str">
        <f>IF(BU34=" "," ",J34)</f>
        <v xml:space="preserve"> </v>
      </c>
      <c r="BY34" s="61">
        <f>IF(BU34&lt;BX34,BU34,0)</f>
        <v>14</v>
      </c>
      <c r="BZ34" s="61">
        <f t="shared" si="83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31</v>
      </c>
      <c r="CF34" s="374">
        <f>IF(N34="х"," ",B34)</f>
        <v>14</v>
      </c>
      <c r="CG34" s="374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31</v>
      </c>
      <c r="CL34" s="374">
        <f>IF(P34="х"," ",B34)</f>
        <v>14</v>
      </c>
      <c r="CM34" s="374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31</v>
      </c>
      <c r="CR34" s="374">
        <f t="shared" ref="CR34" si="88">IF(R34="х"," ",B34)</f>
        <v>14</v>
      </c>
      <c r="CS34" s="374" t="str">
        <f t="shared" ref="CS34" si="89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31</v>
      </c>
    </row>
    <row r="35" spans="1:100" ht="12" hidden="1" customHeight="1" thickBot="1">
      <c r="A35" s="201"/>
      <c r="B35" s="412"/>
      <c r="C35" s="421"/>
      <c r="D35" s="423"/>
      <c r="E35" s="425"/>
      <c r="F35" s="438"/>
      <c r="G35" s="44"/>
      <c r="H35" s="435"/>
      <c r="I35" s="44"/>
      <c r="J35" s="435"/>
      <c r="K35" s="44"/>
      <c r="L35" s="435"/>
      <c r="M35" s="44"/>
      <c r="N35" s="435"/>
      <c r="O35" s="44"/>
      <c r="P35" s="435"/>
      <c r="Q35" s="44"/>
      <c r="R35" s="435"/>
      <c r="S35" s="44"/>
      <c r="T35" s="435"/>
      <c r="U35" s="47"/>
      <c r="V35" s="435"/>
      <c r="W35" s="44"/>
      <c r="X35" s="435"/>
      <c r="Y35" s="44"/>
      <c r="Z35" s="419"/>
      <c r="AA35" s="416"/>
      <c r="AB35" s="427"/>
      <c r="AC35" s="383"/>
      <c r="AD35" s="384"/>
      <c r="AE35" s="386"/>
      <c r="AF35" s="387"/>
      <c r="AG35" s="387"/>
      <c r="AH35" s="387"/>
      <c r="AI35" s="387"/>
      <c r="AJ35" s="387"/>
      <c r="AK35" s="387"/>
      <c r="AL35" s="387"/>
      <c r="AM35" s="387"/>
      <c r="AN35" s="389"/>
      <c r="AO35" s="384"/>
      <c r="AP35" s="391"/>
      <c r="AQ35" s="384"/>
      <c r="AR35" s="392"/>
      <c r="AS35" s="183"/>
      <c r="AT35" s="183"/>
      <c r="AU35" s="183"/>
      <c r="AV35" s="383"/>
      <c r="BI35" s="2"/>
      <c r="BU35" s="374"/>
      <c r="BV35" s="374"/>
      <c r="BW35" s="374"/>
      <c r="BX35" s="374"/>
      <c r="BY35" s="61" t="str">
        <f>IF(BY34&gt;=1,BX34,0)</f>
        <v xml:space="preserve"> </v>
      </c>
      <c r="BZ35" s="61" t="str">
        <f t="shared" si="8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32</v>
      </c>
      <c r="CF35" s="374"/>
      <c r="CG35" s="374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32</v>
      </c>
      <c r="CL35" s="374"/>
      <c r="CM35" s="374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32</v>
      </c>
      <c r="CR35" s="374"/>
      <c r="CS35" s="374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32</v>
      </c>
    </row>
    <row r="36" spans="1:100" ht="12" hidden="1" customHeight="1" thickTop="1">
      <c r="A36" s="201"/>
      <c r="B36" s="411">
        <v>15</v>
      </c>
      <c r="C36" s="420" t="e">
        <f>(VLOOKUP(B36,пр.взв!$B$7:$H$76,2,0))</f>
        <v>#N/A</v>
      </c>
      <c r="D36" s="422" t="e">
        <f>(VLOOKUP(B36,пр.взв!$B$7:$H$76,3,0))</f>
        <v>#N/A</v>
      </c>
      <c r="E36" s="424" t="e">
        <f>(VLOOKUP(B36,пр.взв!$B$7:$H$76,5,0))</f>
        <v>#N/A</v>
      </c>
      <c r="F36" s="440">
        <f t="shared" si="40"/>
        <v>0</v>
      </c>
      <c r="G36" s="42"/>
      <c r="H36" s="456"/>
      <c r="I36" s="42"/>
      <c r="J36" s="436" t="str">
        <f t="shared" si="20"/>
        <v xml:space="preserve"> </v>
      </c>
      <c r="K36" s="42"/>
      <c r="L36" s="434" t="str">
        <f t="shared" ref="L36" si="90">IF(J36="Х","Х",IF(K36&lt;2.5," ",IF(K36&gt;=2.5,IF(G36+I36+K36&gt;=6,"Х",IF(AA36&lt;6," "," ")))))</f>
        <v xml:space="preserve"> </v>
      </c>
      <c r="M36" s="42"/>
      <c r="N36" s="456" t="str">
        <f>IF(L36="Х","Х",IF(M36&lt;2.5," ",IF(M36&gt;=2.5,IF(G36+I36+K36+M36&gt;=6,"Х",IF(AA36&lt;6," "," ")))))</f>
        <v xml:space="preserve"> </v>
      </c>
      <c r="O36" s="42"/>
      <c r="P36" s="456" t="str">
        <f>IF(N36="Х","Х",IF(O36&lt;2.5," ",IF(O36&gt;=2.5,IF(G36+I36+K36+M36+O36&gt;=6,"Х",IF(AA36&lt;6," "," ")))))</f>
        <v xml:space="preserve"> </v>
      </c>
      <c r="Q36" s="42"/>
      <c r="R36" s="456" t="str">
        <f>IF(P36="Х","Х",IF(Q36&lt;2.5," ",IF(Q36&gt;=2.5,IF(G36+I36+K36+M36+O36+Q36&gt;=6,"Х",IF(AA36&lt;6," "," ")))))</f>
        <v xml:space="preserve"> </v>
      </c>
      <c r="S36" s="42"/>
      <c r="T36" s="456" t="str">
        <f>IF(R36="Х","Х",IF(S36&lt;2.5," ",IF(S36&gt;=2.5,IF(G36+I36+K36+M36+O36+Q36+S36&gt;=6,"Х",IF(AA36&lt;6," "," ")))))</f>
        <v xml:space="preserve"> </v>
      </c>
      <c r="U36" s="46"/>
      <c r="V36" s="434" t="str">
        <f>IF(T36="А1",$AX$7,IF(T36="Б2",$AX$6,IF(T36="Б1",$AY$7,IF(T36="А2",$AY$6,IF(T36="Х","Х",IF(T36&lt;6," "," "))))))</f>
        <v xml:space="preserve"> </v>
      </c>
      <c r="W36" s="42"/>
      <c r="X36" s="434" t="str">
        <f t="shared" ref="X36" si="91">IF(T36="Х","Х",IF(ISBLANK(W36),"",IF(W36&gt;2.5," ",IF(B36=AZ$6,AZ$7,AZ$6))))</f>
        <v/>
      </c>
      <c r="Y36" s="42"/>
      <c r="Z36" s="464" t="b">
        <f>IF(H36="Х","1",IF(J36="Х","2",IF(L36="Х","3",IF(N36="Х","4",IF(P36="Х","5",IF(R36="Х","6",IF(T36="Х","7",IF(V36="Х","8"))))))))</f>
        <v>0</v>
      </c>
      <c r="AA36" s="415">
        <f>SUM(G36+I36+K36+M36+O36+Q36+S36+U36+W36+Y36)</f>
        <v>0</v>
      </c>
      <c r="AB36" s="426">
        <f t="shared" ref="AB36" si="92">AD36+0</f>
        <v>20607</v>
      </c>
      <c r="AC36" s="383">
        <f>AB36</f>
        <v>20607</v>
      </c>
      <c r="AD36" s="384" t="str">
        <f>COUNTIF(AE$6:AE$119,"&gt;"&amp;AE$6:AE$119)+1&amp;REPT("-"&amp;COUNTIF(AE$6:AE$119,"&gt;="&amp;AE$6:AE$119),COUNTIF(AE$6:AE$119,AE36)&gt;1)</f>
        <v>6-56</v>
      </c>
      <c r="AE36" s="385">
        <f t="shared" si="44"/>
        <v>80</v>
      </c>
      <c r="AF36" s="387" t="str">
        <f>IF(OR(F36="Х",F36="св")," ",IF(AND(G36&gt;=0,G36&lt;3),"1"," "))</f>
        <v>1</v>
      </c>
      <c r="AG36" s="387" t="str">
        <f>IF(OR(H36="Х",H36="св")," ",IF(AND(I36&gt;=0,I36&lt;3),"1"," "))</f>
        <v>1</v>
      </c>
      <c r="AH36" s="387" t="str">
        <f>IF(OR(J36="Х",J36="св")," ",IF(AND(K36&gt;=0,K36&lt;3),"1"," "))</f>
        <v>1</v>
      </c>
      <c r="AI36" s="387" t="str">
        <f>IF(OR(L36="Х",L36="св")," ",IF(AND(M36&gt;=0,M36&lt;3),"1"," "))</f>
        <v>1</v>
      </c>
      <c r="AJ36" s="387" t="str">
        <f>IF(OR(N36="Х",N36="св")," ",IF(AND(O36&gt;=0,O36&lt;3),"1"," "))</f>
        <v>1</v>
      </c>
      <c r="AK36" s="387" t="str">
        <f>IF(OR(P36="Х",P36="св")," ",IF(AND(Q36&gt;=0,Q36&lt;3),"1"," "))</f>
        <v>1</v>
      </c>
      <c r="AL36" s="387" t="str">
        <f>IF(OR(R36="Х",R36="св")," ",IF(AND(S36&gt;=0,S36&lt;3),"1"," "))</f>
        <v>1</v>
      </c>
      <c r="AM36" s="387" t="str">
        <f>IF(OR(T36="Х",T36="св")," ",IF(AND(U36&gt;=0,U36&lt;3),"1"," "))</f>
        <v>1</v>
      </c>
      <c r="AN36" s="388">
        <f>COUNTIF(AF36:AM37,1)</f>
        <v>8</v>
      </c>
      <c r="AO36" s="390">
        <f>AE36-AA36</f>
        <v>80</v>
      </c>
      <c r="AP36" s="391">
        <f t="shared" si="10"/>
        <v>0</v>
      </c>
      <c r="AQ36" s="384" t="str">
        <f>COUNTIF(AE$6:AE$119,"&gt;"&amp;AE$6:AE$119)+1&amp;REPT("-"&amp;COUNTIF(AE$6:AE$119,"&gt;="&amp;AE$6:AE$119),COUNTIF(AE$6:AE$119,AE36)&gt;1)</f>
        <v>6-56</v>
      </c>
      <c r="AR36" s="392"/>
      <c r="AS36" s="183"/>
      <c r="AT36" s="183"/>
      <c r="AU36" s="183"/>
      <c r="AV36" s="383">
        <f t="shared" si="64"/>
        <v>15</v>
      </c>
      <c r="BU36" s="374">
        <f>IF(J36="х"," ",B36)</f>
        <v>15</v>
      </c>
      <c r="BV36" s="374">
        <f>IF(L36="х"," ",B36)</f>
        <v>15</v>
      </c>
      <c r="BW36" s="374" t="str">
        <f>IF(BV36=" "," ",L36)</f>
        <v xml:space="preserve"> </v>
      </c>
      <c r="BX36" s="374" t="str">
        <f>IF(BU36=" "," ",J36)</f>
        <v xml:space="preserve"> </v>
      </c>
      <c r="BY36" s="61">
        <f>IF(BU36&lt;BX36,BU36,0)</f>
        <v>15</v>
      </c>
      <c r="BZ36" s="61">
        <f t="shared" si="83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33</v>
      </c>
      <c r="CF36" s="374">
        <f>IF(N36="х"," ",B36)</f>
        <v>15</v>
      </c>
      <c r="CG36" s="374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33</v>
      </c>
      <c r="CL36" s="374">
        <f>IF(P36="х"," ",B36)</f>
        <v>15</v>
      </c>
      <c r="CM36" s="374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33</v>
      </c>
      <c r="CR36" s="374">
        <f t="shared" ref="CR36" si="93">IF(R36="х"," ",B36)</f>
        <v>15</v>
      </c>
      <c r="CS36" s="374" t="str">
        <f t="shared" ref="CS36" si="94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33</v>
      </c>
    </row>
    <row r="37" spans="1:100" ht="12" hidden="1" customHeight="1" thickBot="1">
      <c r="A37" s="201"/>
      <c r="B37" s="412"/>
      <c r="C37" s="421"/>
      <c r="D37" s="423"/>
      <c r="E37" s="425"/>
      <c r="F37" s="438"/>
      <c r="G37" s="44"/>
      <c r="H37" s="435"/>
      <c r="I37" s="44"/>
      <c r="J37" s="435"/>
      <c r="K37" s="44"/>
      <c r="L37" s="435"/>
      <c r="M37" s="44"/>
      <c r="N37" s="435"/>
      <c r="O37" s="44"/>
      <c r="P37" s="435"/>
      <c r="Q37" s="44"/>
      <c r="R37" s="435"/>
      <c r="S37" s="44"/>
      <c r="T37" s="435"/>
      <c r="U37" s="47"/>
      <c r="V37" s="435"/>
      <c r="W37" s="44"/>
      <c r="X37" s="435"/>
      <c r="Y37" s="44"/>
      <c r="Z37" s="419"/>
      <c r="AA37" s="416"/>
      <c r="AB37" s="427"/>
      <c r="AC37" s="383"/>
      <c r="AD37" s="384"/>
      <c r="AE37" s="386"/>
      <c r="AF37" s="387"/>
      <c r="AG37" s="387"/>
      <c r="AH37" s="387"/>
      <c r="AI37" s="387"/>
      <c r="AJ37" s="387"/>
      <c r="AK37" s="387"/>
      <c r="AL37" s="387"/>
      <c r="AM37" s="387"/>
      <c r="AN37" s="389"/>
      <c r="AO37" s="384"/>
      <c r="AP37" s="391"/>
      <c r="AQ37" s="384"/>
      <c r="AR37" s="392"/>
      <c r="AS37" s="183"/>
      <c r="AT37" s="183"/>
      <c r="AU37" s="183"/>
      <c r="AV37" s="383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4"/>
      <c r="BV37" s="374"/>
      <c r="BW37" s="374"/>
      <c r="BX37" s="374"/>
      <c r="BY37" s="61" t="str">
        <f>IF(BY36&gt;=1,BX36,0)</f>
        <v xml:space="preserve"> </v>
      </c>
      <c r="BZ37" s="61" t="str">
        <f t="shared" si="8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34</v>
      </c>
      <c r="CF37" s="374"/>
      <c r="CG37" s="374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34</v>
      </c>
      <c r="CL37" s="374"/>
      <c r="CM37" s="374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34</v>
      </c>
      <c r="CR37" s="374"/>
      <c r="CS37" s="374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34</v>
      </c>
    </row>
    <row r="38" spans="1:100" ht="12" hidden="1" customHeight="1" thickTop="1">
      <c r="A38" s="201"/>
      <c r="B38" s="411">
        <v>16</v>
      </c>
      <c r="C38" s="420" t="e">
        <f>(VLOOKUP(B38,пр.взв!$B$7:$H$76,2,0))</f>
        <v>#N/A</v>
      </c>
      <c r="D38" s="422" t="e">
        <f>(VLOOKUP(B38,пр.взв!$B$7:$H$76,3,0))</f>
        <v>#N/A</v>
      </c>
      <c r="E38" s="424" t="e">
        <f>(VLOOKUP(B38,пр.взв!$B$7:$H$76,5,0))</f>
        <v>#N/A</v>
      </c>
      <c r="F38" s="439">
        <f t="shared" si="49"/>
        <v>0</v>
      </c>
      <c r="G38" s="42"/>
      <c r="H38" s="456"/>
      <c r="I38" s="42"/>
      <c r="J38" s="436" t="str">
        <f t="shared" si="20"/>
        <v xml:space="preserve"> </v>
      </c>
      <c r="K38" s="42"/>
      <c r="L38" s="434" t="str">
        <f t="shared" ref="L38" si="95">IF(J38="Х","Х",IF(K38&lt;2.5," ",IF(K38&gt;=2.5,IF(G38+I38+K38&gt;=6,"Х",IF(AA38&lt;6," "," ")))))</f>
        <v xml:space="preserve"> </v>
      </c>
      <c r="M38" s="42"/>
      <c r="N38" s="456" t="str">
        <f>IF(L38="Х","Х",IF(M38&lt;2.5," ",IF(M38&gt;=2.5,IF(G38+I38+K38+M38&gt;=6,"Х",IF(AA38&lt;6," "," ")))))</f>
        <v xml:space="preserve"> </v>
      </c>
      <c r="O38" s="42"/>
      <c r="P38" s="456" t="str">
        <f>IF(N38="Х","Х",IF(O38&lt;2.5," ",IF(O38&gt;=2.5,IF(G38+I38+K38+M38+O38&gt;=6,"Х",IF(AA38&lt;6," "," ")))))</f>
        <v xml:space="preserve"> </v>
      </c>
      <c r="Q38" s="42"/>
      <c r="R38" s="456" t="str">
        <f>IF(P38="Х","Х",IF(Q38&lt;2.5," ",IF(Q38&gt;=2.5,IF(G38+I38+K38+M38+O38+Q38&gt;=6,"Х",IF(AA38&lt;6," "," ")))))</f>
        <v xml:space="preserve"> </v>
      </c>
      <c r="S38" s="42"/>
      <c r="T38" s="456" t="str">
        <f>IF(R38="Х","Х",IF(S38&lt;2.5," ",IF(S38&gt;=2.5,IF(G38+I38+K38+M38+O38+Q38+S38&gt;=6,"Х",IF(AA38&lt;6," "," ")))))</f>
        <v xml:space="preserve"> </v>
      </c>
      <c r="U38" s="46"/>
      <c r="V38" s="434" t="str">
        <f>IF(T38="А1",$AX$7,IF(T38="Б2",$AX$6,IF(T38="Б1",$AY$7,IF(T38="А2",$AY$6,IF(T38="Х","Х",IF(T38&lt;6," "," "))))))</f>
        <v xml:space="preserve"> </v>
      </c>
      <c r="W38" s="42"/>
      <c r="X38" s="434" t="str">
        <f t="shared" ref="X38" si="96">IF(T38="Х","Х",IF(ISBLANK(W38),"",IF(W38&gt;2.5," ",IF(B38=AZ$6,AZ$7,AZ$6))))</f>
        <v/>
      </c>
      <c r="Y38" s="42"/>
      <c r="Z38" s="464" t="b">
        <f>IF(H38="Х","1",IF(J38="Х","2",IF(L38="Х","3",IF(N38="Х","4",IF(P38="Х","5",IF(R38="Х","6",IF(T38="Х","7",IF(V38="Х","8"))))))))</f>
        <v>0</v>
      </c>
      <c r="AA38" s="415">
        <f>SUM(G38+I38+K38+M38+O38+Q38+S38+U38+W38+Y38)</f>
        <v>0</v>
      </c>
      <c r="AB38" s="426">
        <f t="shared" ref="AB38" si="97">AD38+0</f>
        <v>20607</v>
      </c>
      <c r="AC38" s="383">
        <f>AB38</f>
        <v>20607</v>
      </c>
      <c r="AD38" s="384" t="str">
        <f>COUNTIF(AE$6:AE$119,"&gt;"&amp;AE$6:AE$119)+1&amp;REPT("-"&amp;COUNTIF(AE$6:AE$119,"&gt;="&amp;AE$6:AE$119),COUNTIF(AE$6:AE$119,AE38)&gt;1)</f>
        <v>6-56</v>
      </c>
      <c r="AE38" s="385">
        <f t="shared" si="44"/>
        <v>80</v>
      </c>
      <c r="AF38" s="387" t="str">
        <f>IF(OR(F38="Х",F38="св")," ",IF(AND(G38&gt;=0,G38&lt;3),"1"," "))</f>
        <v>1</v>
      </c>
      <c r="AG38" s="387" t="str">
        <f>IF(OR(H38="Х",H38="св")," ",IF(AND(I38&gt;=0,I38&lt;3),"1"," "))</f>
        <v>1</v>
      </c>
      <c r="AH38" s="387" t="str">
        <f>IF(OR(J38="Х",J38="св")," ",IF(AND(K38&gt;=0,K38&lt;3),"1"," "))</f>
        <v>1</v>
      </c>
      <c r="AI38" s="387" t="str">
        <f>IF(OR(L38="Х",L38="св")," ",IF(AND(M38&gt;=0,M38&lt;3),"1"," "))</f>
        <v>1</v>
      </c>
      <c r="AJ38" s="387" t="str">
        <f>IF(OR(N38="Х",N38="св")," ",IF(AND(O38&gt;=0,O38&lt;3),"1"," "))</f>
        <v>1</v>
      </c>
      <c r="AK38" s="387" t="str">
        <f>IF(OR(P38="Х",P38="св")," ",IF(AND(Q38&gt;=0,Q38&lt;3),"1"," "))</f>
        <v>1</v>
      </c>
      <c r="AL38" s="387" t="str">
        <f>IF(OR(R38="Х",R38="св")," ",IF(AND(S38&gt;=0,S38&lt;3),"1"," "))</f>
        <v>1</v>
      </c>
      <c r="AM38" s="387" t="str">
        <f>IF(OR(T38="Х",T38="св")," ",IF(AND(U38&gt;=0,U38&lt;3),"1"," "))</f>
        <v>1</v>
      </c>
      <c r="AN38" s="388">
        <f>COUNTIF(AF38:AM39,1)</f>
        <v>8</v>
      </c>
      <c r="AO38" s="390">
        <f>AE38-AA38</f>
        <v>80</v>
      </c>
      <c r="AP38" s="391">
        <f t="shared" si="10"/>
        <v>0</v>
      </c>
      <c r="AQ38" s="384" t="str">
        <f>COUNTIF(AE$6:AE$119,"&gt;"&amp;AE$6:AE$119)+1&amp;REPT("-"&amp;COUNTIF(AE$6:AE$119,"&gt;="&amp;AE$6:AE$119),COUNTIF(AE$6:AE$119,AE38)&gt;1)</f>
        <v>6-56</v>
      </c>
      <c r="AR38" s="392"/>
      <c r="AS38" s="183"/>
      <c r="AT38" s="183"/>
      <c r="AU38" s="183"/>
      <c r="AV38" s="383">
        <f t="shared" si="64"/>
        <v>16</v>
      </c>
      <c r="AW38" s="413"/>
      <c r="AX38" s="414"/>
      <c r="AY38" s="123"/>
      <c r="AZ38" s="19"/>
      <c r="BA38" s="2"/>
      <c r="BB38" s="2"/>
      <c r="BC38" s="2"/>
      <c r="BD38" s="2"/>
      <c r="BE38" s="2"/>
      <c r="BF38" s="2"/>
      <c r="BG38" s="2"/>
      <c r="BU38" s="374">
        <f>IF(J38="х"," ",B38)</f>
        <v>16</v>
      </c>
      <c r="BV38" s="374">
        <f>IF(L38="х"," ",B38)</f>
        <v>16</v>
      </c>
      <c r="BW38" s="374" t="str">
        <f>IF(BV38=" "," ",L38)</f>
        <v xml:space="preserve"> </v>
      </c>
      <c r="BX38" s="374" t="str">
        <f>IF(BU38=" "," ",J38)</f>
        <v xml:space="preserve"> </v>
      </c>
      <c r="BY38" s="61">
        <f>IF(BU38&lt;BX38,BU38,0)</f>
        <v>16</v>
      </c>
      <c r="BZ38" s="61">
        <f t="shared" si="83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35</v>
      </c>
      <c r="CF38" s="374">
        <f>IF(N38="х"," ",B38)</f>
        <v>16</v>
      </c>
      <c r="CG38" s="374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35</v>
      </c>
      <c r="CL38" s="374">
        <f>IF(P38="х"," ",B38)</f>
        <v>16</v>
      </c>
      <c r="CM38" s="374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35</v>
      </c>
      <c r="CR38" s="374">
        <f t="shared" ref="CR38" si="98">IF(R38="х"," ",B38)</f>
        <v>16</v>
      </c>
      <c r="CS38" s="374" t="str">
        <f t="shared" ref="CS38" si="99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35</v>
      </c>
    </row>
    <row r="39" spans="1:100" ht="12" hidden="1" customHeight="1" thickBot="1">
      <c r="A39" s="201"/>
      <c r="B39" s="412"/>
      <c r="C39" s="421"/>
      <c r="D39" s="423"/>
      <c r="E39" s="425"/>
      <c r="F39" s="438"/>
      <c r="G39" s="44"/>
      <c r="H39" s="435"/>
      <c r="I39" s="44"/>
      <c r="J39" s="435"/>
      <c r="K39" s="44"/>
      <c r="L39" s="435"/>
      <c r="M39" s="44"/>
      <c r="N39" s="435"/>
      <c r="O39" s="44"/>
      <c r="P39" s="435"/>
      <c r="Q39" s="44"/>
      <c r="R39" s="435"/>
      <c r="S39" s="44"/>
      <c r="T39" s="435"/>
      <c r="U39" s="47"/>
      <c r="V39" s="435"/>
      <c r="W39" s="44"/>
      <c r="X39" s="435"/>
      <c r="Y39" s="44"/>
      <c r="Z39" s="419"/>
      <c r="AA39" s="416"/>
      <c r="AB39" s="427"/>
      <c r="AC39" s="383"/>
      <c r="AD39" s="384"/>
      <c r="AE39" s="386"/>
      <c r="AF39" s="387"/>
      <c r="AG39" s="387"/>
      <c r="AH39" s="387"/>
      <c r="AI39" s="387"/>
      <c r="AJ39" s="387"/>
      <c r="AK39" s="387"/>
      <c r="AL39" s="387"/>
      <c r="AM39" s="387"/>
      <c r="AN39" s="389"/>
      <c r="AO39" s="384"/>
      <c r="AP39" s="391"/>
      <c r="AQ39" s="384"/>
      <c r="AR39" s="392"/>
      <c r="AS39" s="183"/>
      <c r="AT39" s="183"/>
      <c r="AU39" s="183"/>
      <c r="AV39" s="383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4"/>
      <c r="BV39" s="374"/>
      <c r="BW39" s="374"/>
      <c r="BX39" s="374"/>
      <c r="BY39" s="61" t="str">
        <f>IF(BY38&gt;=1,BX38,0)</f>
        <v xml:space="preserve"> </v>
      </c>
      <c r="BZ39" s="61" t="str">
        <f t="shared" si="8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36</v>
      </c>
      <c r="CF39" s="374"/>
      <c r="CG39" s="374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36</v>
      </c>
      <c r="CL39" s="374"/>
      <c r="CM39" s="374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36</v>
      </c>
      <c r="CR39" s="374"/>
      <c r="CS39" s="374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36</v>
      </c>
    </row>
    <row r="40" spans="1:100" ht="12" hidden="1" customHeight="1" thickTop="1">
      <c r="A40" s="201"/>
      <c r="B40" s="411">
        <v>17</v>
      </c>
      <c r="C40" s="420" t="e">
        <f>(VLOOKUP(B40,пр.взв!$B$7:$H$76,2,0))</f>
        <v>#N/A</v>
      </c>
      <c r="D40" s="422" t="e">
        <f>(VLOOKUP(B40,пр.взв!$B$7:$H$76,3,0))</f>
        <v>#N/A</v>
      </c>
      <c r="E40" s="424" t="e">
        <f>(VLOOKUP(B40,пр.взв!$B$7:$H$76,5,0))</f>
        <v>#N/A</v>
      </c>
      <c r="F40" s="440">
        <f t="shared" ref="F40" si="100">IF(ISERROR(C40),0,B42)</f>
        <v>0</v>
      </c>
      <c r="G40" s="42"/>
      <c r="H40" s="456"/>
      <c r="I40" s="42"/>
      <c r="J40" s="436" t="str">
        <f t="shared" si="20"/>
        <v xml:space="preserve"> </v>
      </c>
      <c r="K40" s="42"/>
      <c r="L40" s="434" t="str">
        <f t="shared" ref="L40" si="101">IF(J40="Х","Х",IF(K40&lt;2.5," ",IF(K40&gt;=2.5,IF(G40+I40+K40&gt;=6,"Х",IF(AA40&lt;6," "," ")))))</f>
        <v xml:space="preserve"> </v>
      </c>
      <c r="M40" s="42"/>
      <c r="N40" s="456" t="str">
        <f>IF(L40="Х","Х",IF(M40&lt;2.5," ",IF(M40&gt;=2.5,IF(G40+I40+K40+M40&gt;=6,"Х",IF(AA40&lt;6," "," ")))))</f>
        <v xml:space="preserve"> </v>
      </c>
      <c r="O40" s="42"/>
      <c r="P40" s="456" t="str">
        <f>IF(N40="Х","Х",IF(O40&lt;2.5," ",IF(O40&gt;=2.5,IF(G40+I40+K40+M40+O40&gt;=6,"Х",IF(AA40&lt;6," "," ")))))</f>
        <v xml:space="preserve"> </v>
      </c>
      <c r="Q40" s="42"/>
      <c r="R40" s="456" t="str">
        <f>IF(P40="Х","Х",IF(Q40&lt;2.5," ",IF(Q40&gt;=2.5,IF(G40+I40+K40+M40+O40+Q40&gt;=6,"Х",IF(AA40&lt;6," "," ")))))</f>
        <v xml:space="preserve"> </v>
      </c>
      <c r="S40" s="42"/>
      <c r="T40" s="456" t="str">
        <f>IF(R40="Х","Х",IF(S40&lt;2.5," ",IF(S40&gt;=2.5,IF(G40+I40+K40+M40+O40+Q40+S40&gt;=6,"Х",IF(AA40&lt;6," "," ")))))</f>
        <v xml:space="preserve"> </v>
      </c>
      <c r="U40" s="46"/>
      <c r="V40" s="434" t="str">
        <f>IF(T40="А1",$AX$7,IF(T40="Б2",$AX$6,IF(T40="Б1",$AY$7,IF(T40="А2",$AY$6,IF(T40="Х","Х",IF(T40&lt;6," "," "))))))</f>
        <v xml:space="preserve"> </v>
      </c>
      <c r="W40" s="42"/>
      <c r="X40" s="434" t="str">
        <f t="shared" ref="X40" si="102">IF(T40="Х","Х",IF(ISBLANK(W40),"",IF(W40&gt;2.5," ",IF(B40=AZ$6,AZ$7,AZ$6))))</f>
        <v/>
      </c>
      <c r="Y40" s="42"/>
      <c r="Z40" s="464" t="b">
        <f>IF(H40="Х","1",IF(J40="Х","2",IF(L40="Х","3",IF(N40="Х","4",IF(P40="Х","5",IF(R40="Х","6",IF(T40="Х","7",IF(V40="Х","8"))))))))</f>
        <v>0</v>
      </c>
      <c r="AA40" s="415">
        <f>SUM(G40+I40+K40+M40+O40+Q40+S40+U40+W40+Y40)</f>
        <v>0</v>
      </c>
      <c r="AB40" s="426">
        <f t="shared" ref="AB40" si="103">AD40+0</f>
        <v>20607</v>
      </c>
      <c r="AC40" s="383">
        <f>AB40</f>
        <v>20607</v>
      </c>
      <c r="AD40" s="384" t="str">
        <f>COUNTIF(AE$6:AE$119,"&gt;"&amp;AE$6:AE$119)+1&amp;REPT("-"&amp;COUNTIF(AE$6:AE$119,"&gt;="&amp;AE$6:AE$119),COUNTIF(AE$6:AE$119,AE40)&gt;1)</f>
        <v>6-56</v>
      </c>
      <c r="AE40" s="385">
        <f t="shared" si="44"/>
        <v>80</v>
      </c>
      <c r="AF40" s="387" t="str">
        <f>IF(OR(F40="Х",F40="св")," ",IF(AND(G40&gt;=0,G40&lt;3),"1"," "))</f>
        <v>1</v>
      </c>
      <c r="AG40" s="387" t="str">
        <f>IF(OR(H40="Х",H40="св")," ",IF(AND(I40&gt;=0,I40&lt;3),"1"," "))</f>
        <v>1</v>
      </c>
      <c r="AH40" s="387" t="str">
        <f>IF(OR(J40="Х",J40="св")," ",IF(AND(K40&gt;=0,K40&lt;3),"1"," "))</f>
        <v>1</v>
      </c>
      <c r="AI40" s="387" t="str">
        <f>IF(OR(L40="Х",L40="св")," ",IF(AND(M40&gt;=0,M40&lt;3),"1"," "))</f>
        <v>1</v>
      </c>
      <c r="AJ40" s="387" t="str">
        <f>IF(OR(N40="Х",N40="св")," ",IF(AND(O40&gt;=0,O40&lt;3),"1"," "))</f>
        <v>1</v>
      </c>
      <c r="AK40" s="387" t="str">
        <f>IF(OR(P40="Х",P40="св")," ",IF(AND(Q40&gt;=0,Q40&lt;3),"1"," "))</f>
        <v>1</v>
      </c>
      <c r="AL40" s="387" t="str">
        <f>IF(OR(R40="Х",R40="св")," ",IF(AND(S40&gt;=0,S40&lt;3),"1"," "))</f>
        <v>1</v>
      </c>
      <c r="AM40" s="387" t="str">
        <f>IF(OR(T40="Х",T40="св")," ",IF(AND(U40&gt;=0,U40&lt;3),"1"," "))</f>
        <v>1</v>
      </c>
      <c r="AN40" s="388">
        <f>COUNTIF(AF40:AM41,1)</f>
        <v>8</v>
      </c>
      <c r="AO40" s="390">
        <f>AE40-AA40</f>
        <v>80</v>
      </c>
      <c r="AP40" s="391">
        <f t="shared" si="10"/>
        <v>0</v>
      </c>
      <c r="AQ40" s="384" t="str">
        <f>COUNTIF(AE$6:AE$119,"&gt;"&amp;AE$6:AE$119)+1&amp;REPT("-"&amp;COUNTIF(AE$6:AE$119,"&gt;="&amp;AE$6:AE$119),COUNTIF(AE$6:AE$119,AE40)&gt;1)</f>
        <v>6-56</v>
      </c>
      <c r="AR40" s="392"/>
      <c r="AS40" s="183"/>
      <c r="AT40" s="183"/>
      <c r="AU40" s="183"/>
      <c r="AV40" s="383">
        <f t="shared" si="64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4">
        <f>IF(J40="х"," ",B40)</f>
        <v>17</v>
      </c>
      <c r="BV40" s="374">
        <f>IF(L40="х"," ",B40)</f>
        <v>17</v>
      </c>
      <c r="BW40" s="374" t="str">
        <f>IF(BV40=" "," ",L40)</f>
        <v xml:space="preserve"> </v>
      </c>
      <c r="BX40" s="374" t="str">
        <f>IF(BU40=" "," ",J40)</f>
        <v xml:space="preserve"> </v>
      </c>
      <c r="BY40" s="61">
        <f>IF(BU40&lt;BX40,BU40,0)</f>
        <v>17</v>
      </c>
      <c r="BZ40" s="61">
        <f t="shared" si="8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37</v>
      </c>
      <c r="CF40" s="374">
        <f>IF(N40="х"," ",B40)</f>
        <v>17</v>
      </c>
      <c r="CG40" s="374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37</v>
      </c>
      <c r="CL40" s="374">
        <f>IF(P40="х"," ",B40)</f>
        <v>17</v>
      </c>
      <c r="CM40" s="374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37</v>
      </c>
      <c r="CR40" s="374">
        <f t="shared" ref="CR40" si="104">IF(R40="х"," ",B40)</f>
        <v>17</v>
      </c>
      <c r="CS40" s="374" t="str">
        <f t="shared" ref="CS40" si="105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37</v>
      </c>
    </row>
    <row r="41" spans="1:100" ht="12" hidden="1" customHeight="1" thickBot="1">
      <c r="A41" s="201"/>
      <c r="B41" s="412"/>
      <c r="C41" s="421"/>
      <c r="D41" s="423"/>
      <c r="E41" s="425"/>
      <c r="F41" s="438"/>
      <c r="G41" s="44"/>
      <c r="H41" s="435"/>
      <c r="I41" s="44"/>
      <c r="J41" s="435"/>
      <c r="K41" s="44"/>
      <c r="L41" s="435"/>
      <c r="M41" s="44"/>
      <c r="N41" s="435"/>
      <c r="O41" s="44"/>
      <c r="P41" s="435"/>
      <c r="Q41" s="44"/>
      <c r="R41" s="435"/>
      <c r="S41" s="44"/>
      <c r="T41" s="435"/>
      <c r="U41" s="47"/>
      <c r="V41" s="435"/>
      <c r="W41" s="44"/>
      <c r="X41" s="435"/>
      <c r="Y41" s="44"/>
      <c r="Z41" s="419"/>
      <c r="AA41" s="416"/>
      <c r="AB41" s="427"/>
      <c r="AC41" s="383"/>
      <c r="AD41" s="384"/>
      <c r="AE41" s="386"/>
      <c r="AF41" s="387"/>
      <c r="AG41" s="387"/>
      <c r="AH41" s="387"/>
      <c r="AI41" s="387"/>
      <c r="AJ41" s="387"/>
      <c r="AK41" s="387"/>
      <c r="AL41" s="387"/>
      <c r="AM41" s="387"/>
      <c r="AN41" s="389"/>
      <c r="AO41" s="384"/>
      <c r="AP41" s="391"/>
      <c r="AQ41" s="384"/>
      <c r="AR41" s="392"/>
      <c r="AS41" s="183"/>
      <c r="AT41" s="183"/>
      <c r="AU41" s="183"/>
      <c r="AV41" s="383"/>
      <c r="AW41" s="413"/>
      <c r="AX41" s="414"/>
      <c r="AY41" s="123"/>
      <c r="AZ41" s="19"/>
      <c r="BA41" s="2"/>
      <c r="BB41" s="2"/>
      <c r="BC41" s="2"/>
      <c r="BD41" s="2"/>
      <c r="BE41" s="2"/>
      <c r="BF41" s="2"/>
      <c r="BG41" s="2"/>
      <c r="BU41" s="374"/>
      <c r="BV41" s="374"/>
      <c r="BW41" s="374"/>
      <c r="BX41" s="374"/>
      <c r="BY41" s="61" t="str">
        <f>IF(BY40&gt;=1,BX40,0)</f>
        <v xml:space="preserve"> </v>
      </c>
      <c r="BZ41" s="61" t="str">
        <f t="shared" si="83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38</v>
      </c>
      <c r="CF41" s="374"/>
      <c r="CG41" s="374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38</v>
      </c>
      <c r="CL41" s="374"/>
      <c r="CM41" s="374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38</v>
      </c>
      <c r="CR41" s="374"/>
      <c r="CS41" s="374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38</v>
      </c>
    </row>
    <row r="42" spans="1:100" ht="12" hidden="1" customHeight="1" thickTop="1">
      <c r="A42" s="201"/>
      <c r="B42" s="430">
        <v>18</v>
      </c>
      <c r="C42" s="420" t="e">
        <f>(VLOOKUP(B42,пр.взв!$B$7:$H$76,2,0))</f>
        <v>#N/A</v>
      </c>
      <c r="D42" s="422" t="e">
        <f>(VLOOKUP(B42,пр.взв!$B$7:$H$76,3,0))</f>
        <v>#N/A</v>
      </c>
      <c r="E42" s="424" t="e">
        <f>(VLOOKUP(B42,пр.взв!$B$7:$H$76,5,0))</f>
        <v>#N/A</v>
      </c>
      <c r="F42" s="439">
        <f t="shared" ref="F42" si="106">IF(ISERROR(C42),0,B40)</f>
        <v>0</v>
      </c>
      <c r="G42" s="42"/>
      <c r="H42" s="456"/>
      <c r="I42" s="42"/>
      <c r="J42" s="436" t="str">
        <f t="shared" si="20"/>
        <v xml:space="preserve"> </v>
      </c>
      <c r="K42" s="42"/>
      <c r="L42" s="434" t="str">
        <f t="shared" ref="L42" si="107">IF(J42="Х","Х",IF(K42&lt;2.5," ",IF(K42&gt;=2.5,IF(G42+I42+K42&gt;=6,"Х",IF(AA42&lt;6," "," ")))))</f>
        <v xml:space="preserve"> </v>
      </c>
      <c r="M42" s="42"/>
      <c r="N42" s="456" t="str">
        <f>IF(L42="Х","Х",IF(M42&lt;2.5," ",IF(M42&gt;=2.5,IF(G42+I42+K42+M42&gt;=6,"Х",IF(AA42&lt;6," "," ")))))</f>
        <v xml:space="preserve"> </v>
      </c>
      <c r="O42" s="42"/>
      <c r="P42" s="456" t="str">
        <f>IF(N42="Х","Х",IF(O42&lt;2.5," ",IF(O42&gt;=2.5,IF(G42+I42+K42+M42+O42&gt;=6,"Х",IF(AA42&lt;6," "," ")))))</f>
        <v xml:space="preserve"> </v>
      </c>
      <c r="Q42" s="42"/>
      <c r="R42" s="456" t="str">
        <f>IF(P42="Х","Х",IF(Q42&lt;2.5," ",IF(Q42&gt;=2.5,IF(G42+I42+K42+M42+O42+Q42&gt;=6,"Х",IF(AA42&lt;6," "," ")))))</f>
        <v xml:space="preserve"> </v>
      </c>
      <c r="S42" s="42"/>
      <c r="T42" s="456" t="str">
        <f>IF(R42="Х","Х",IF(S42&lt;2.5," ",IF(S42&gt;=2.5,IF(G42+I42+K42+M42+O42+Q42+S42&gt;=6,"Х",IF(AA42&lt;6," "," ")))))</f>
        <v xml:space="preserve"> </v>
      </c>
      <c r="U42" s="46"/>
      <c r="V42" s="434" t="str">
        <f>IF(T42="А1",$AX$7,IF(T42="Б2",$AX$6,IF(T42="Б1",$AY$7,IF(T42="А2",$AY$6,IF(T42="Х","Х",IF(T42&lt;6," "," "))))))</f>
        <v xml:space="preserve"> </v>
      </c>
      <c r="W42" s="42"/>
      <c r="X42" s="434" t="str">
        <f t="shared" ref="X42" si="108">IF(T42="Х","Х",IF(ISBLANK(W42),"",IF(W42&gt;2.5," ",IF(B42=AZ$6,AZ$7,AZ$6))))</f>
        <v/>
      </c>
      <c r="Y42" s="42"/>
      <c r="Z42" s="464" t="b">
        <f>IF(H42="Х","1",IF(J42="Х","2",IF(L42="Х","3",IF(N42="Х","4",IF(P42="Х","5",IF(R42="Х","6",IF(T42="Х","7",IF(V42="Х","8"))))))))</f>
        <v>0</v>
      </c>
      <c r="AA42" s="415">
        <f>SUM(G42+I42+K42+M42+O42+Q42+S42+U42+W42+Y42)</f>
        <v>0</v>
      </c>
      <c r="AB42" s="426">
        <f t="shared" ref="AB42" si="109">AD42+0</f>
        <v>20607</v>
      </c>
      <c r="AC42" s="383">
        <f>AB42</f>
        <v>20607</v>
      </c>
      <c r="AD42" s="384" t="str">
        <f>COUNTIF(AE$6:AE$119,"&gt;"&amp;AE$6:AE$119)+1&amp;REPT("-"&amp;COUNTIF(AE$6:AE$119,"&gt;="&amp;AE$6:AE$119),COUNTIF(AE$6:AE$119,AE42)&gt;1)</f>
        <v>6-56</v>
      </c>
      <c r="AE42" s="385">
        <f t="shared" si="44"/>
        <v>80</v>
      </c>
      <c r="AF42" s="387" t="str">
        <f>IF(OR(F42="Х",F42="св")," ",IF(AND(G42&gt;=0,G42&lt;3),"1"," "))</f>
        <v>1</v>
      </c>
      <c r="AG42" s="387" t="str">
        <f>IF(OR(H42="Х",H42="св")," ",IF(AND(I42&gt;=0,I42&lt;3),"1"," "))</f>
        <v>1</v>
      </c>
      <c r="AH42" s="387" t="str">
        <f>IF(OR(J42="Х",J42="св")," ",IF(AND(K42&gt;=0,K42&lt;3),"1"," "))</f>
        <v>1</v>
      </c>
      <c r="AI42" s="387" t="str">
        <f>IF(OR(L42="Х",L42="св")," ",IF(AND(M42&gt;=0,M42&lt;3),"1"," "))</f>
        <v>1</v>
      </c>
      <c r="AJ42" s="387" t="str">
        <f>IF(OR(N42="Х",N42="св")," ",IF(AND(O42&gt;=0,O42&lt;3),"1"," "))</f>
        <v>1</v>
      </c>
      <c r="AK42" s="387" t="str">
        <f>IF(OR(P42="Х",P42="св")," ",IF(AND(Q42&gt;=0,Q42&lt;3),"1"," "))</f>
        <v>1</v>
      </c>
      <c r="AL42" s="387" t="str">
        <f>IF(OR(R42="Х",R42="св")," ",IF(AND(S42&gt;=0,S42&lt;3),"1"," "))</f>
        <v>1</v>
      </c>
      <c r="AM42" s="387" t="str">
        <f>IF(OR(T42="Х",T42="св")," ",IF(AND(U42&gt;=0,U42&lt;3),"1"," "))</f>
        <v>1</v>
      </c>
      <c r="AN42" s="388">
        <f>COUNTIF(AF42:AM43,1)</f>
        <v>8</v>
      </c>
      <c r="AO42" s="390">
        <f>AE42-AA42</f>
        <v>80</v>
      </c>
      <c r="AP42" s="391">
        <f t="shared" si="10"/>
        <v>0</v>
      </c>
      <c r="AQ42" s="384" t="str">
        <f>COUNTIF(AE$6:AE$119,"&gt;"&amp;AE$6:AE$119)+1&amp;REPT("-"&amp;COUNTIF(AE$6:AE$119,"&gt;="&amp;AE$6:AE$119),COUNTIF(AE$6:AE$119,AE42)&gt;1)</f>
        <v>6-56</v>
      </c>
      <c r="AR42" s="392"/>
      <c r="AS42" s="183"/>
      <c r="AT42" s="183"/>
      <c r="AU42" s="183"/>
      <c r="AV42" s="383">
        <f t="shared" si="64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4">
        <f>IF(J42="х"," ",B42)</f>
        <v>18</v>
      </c>
      <c r="BV42" s="374">
        <f>IF(L42="х"," ",B42)</f>
        <v>18</v>
      </c>
      <c r="BW42" s="374" t="str">
        <f>IF(BV42=" "," ",L42)</f>
        <v xml:space="preserve"> </v>
      </c>
      <c r="BX42" s="374" t="str">
        <f>IF(BU42=" "," ",J42)</f>
        <v xml:space="preserve"> </v>
      </c>
      <c r="BY42" s="61">
        <f>IF(BU42&lt;BX42,BU42,0)</f>
        <v>18</v>
      </c>
      <c r="BZ42" s="61">
        <f t="shared" si="8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39</v>
      </c>
      <c r="CF42" s="374">
        <f>IF(N42="х"," ",B42)</f>
        <v>18</v>
      </c>
      <c r="CG42" s="374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39</v>
      </c>
      <c r="CL42" s="374">
        <f>IF(P42="х"," ",B42)</f>
        <v>18</v>
      </c>
      <c r="CM42" s="374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39</v>
      </c>
      <c r="CR42" s="374">
        <f t="shared" ref="CR42" si="110">IF(R42="х"," ",B42)</f>
        <v>18</v>
      </c>
      <c r="CS42" s="374" t="str">
        <f t="shared" ref="CS42" si="111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39</v>
      </c>
    </row>
    <row r="43" spans="1:100" ht="12" hidden="1" customHeight="1" thickBot="1">
      <c r="A43" s="201"/>
      <c r="B43" s="429"/>
      <c r="C43" s="421"/>
      <c r="D43" s="423"/>
      <c r="E43" s="425"/>
      <c r="F43" s="438"/>
      <c r="G43" s="44"/>
      <c r="H43" s="435"/>
      <c r="I43" s="44"/>
      <c r="J43" s="435"/>
      <c r="K43" s="44"/>
      <c r="L43" s="435"/>
      <c r="M43" s="44"/>
      <c r="N43" s="435"/>
      <c r="O43" s="44"/>
      <c r="P43" s="435"/>
      <c r="Q43" s="44"/>
      <c r="R43" s="435"/>
      <c r="S43" s="44"/>
      <c r="T43" s="435"/>
      <c r="U43" s="47"/>
      <c r="V43" s="435"/>
      <c r="W43" s="44"/>
      <c r="X43" s="435"/>
      <c r="Y43" s="44"/>
      <c r="Z43" s="419"/>
      <c r="AA43" s="416"/>
      <c r="AB43" s="427"/>
      <c r="AC43" s="383"/>
      <c r="AD43" s="384"/>
      <c r="AE43" s="386"/>
      <c r="AF43" s="387"/>
      <c r="AG43" s="387"/>
      <c r="AH43" s="387"/>
      <c r="AI43" s="387"/>
      <c r="AJ43" s="387"/>
      <c r="AK43" s="387"/>
      <c r="AL43" s="387"/>
      <c r="AM43" s="387"/>
      <c r="AN43" s="389"/>
      <c r="AO43" s="384"/>
      <c r="AP43" s="391"/>
      <c r="AQ43" s="384"/>
      <c r="AR43" s="392"/>
      <c r="AS43" s="183"/>
      <c r="AT43" s="183"/>
      <c r="AU43" s="183"/>
      <c r="AV43" s="383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4"/>
      <c r="BV43" s="374"/>
      <c r="BW43" s="374"/>
      <c r="BX43" s="374"/>
      <c r="BY43" s="61" t="str">
        <f>IF(BY42&gt;=1,BX42,0)</f>
        <v xml:space="preserve"> </v>
      </c>
      <c r="BZ43" s="61" t="str">
        <f t="shared" si="8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40</v>
      </c>
      <c r="CF43" s="374"/>
      <c r="CG43" s="374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40</v>
      </c>
      <c r="CL43" s="374"/>
      <c r="CM43" s="374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40</v>
      </c>
      <c r="CR43" s="374"/>
      <c r="CS43" s="374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40</v>
      </c>
    </row>
    <row r="44" spans="1:100" ht="12" hidden="1" customHeight="1" thickTop="1">
      <c r="A44" s="201"/>
      <c r="B44" s="411">
        <v>19</v>
      </c>
      <c r="C44" s="420" t="e">
        <f>(VLOOKUP(B44,пр.взв!$B$7:$H$76,2,0))</f>
        <v>#N/A</v>
      </c>
      <c r="D44" s="422" t="e">
        <f>(VLOOKUP(B44,пр.взв!$B$7:$H$76,3,0))</f>
        <v>#N/A</v>
      </c>
      <c r="E44" s="424" t="e">
        <f>(VLOOKUP(B44,пр.взв!$B$7:$H$76,5,0))</f>
        <v>#N/A</v>
      </c>
      <c r="F44" s="440">
        <f t="shared" si="40"/>
        <v>0</v>
      </c>
      <c r="G44" s="42"/>
      <c r="H44" s="456"/>
      <c r="I44" s="42"/>
      <c r="J44" s="436" t="str">
        <f t="shared" si="20"/>
        <v xml:space="preserve"> </v>
      </c>
      <c r="K44" s="42"/>
      <c r="L44" s="434" t="str">
        <f t="shared" ref="L44" si="112">IF(J44="Х","Х",IF(K44&lt;2.5," ",IF(K44&gt;=2.5,IF(G44+I44+K44&gt;=6,"Х",IF(AA44&lt;6," "," ")))))</f>
        <v xml:space="preserve"> </v>
      </c>
      <c r="M44" s="42"/>
      <c r="N44" s="456" t="str">
        <f>IF(L44="Х","Х",IF(M44&lt;2.5," ",IF(M44&gt;=2.5,IF(G44+I44+K44+M44&gt;=6,"Х",IF(AA44&lt;6," "," ")))))</f>
        <v xml:space="preserve"> </v>
      </c>
      <c r="O44" s="42"/>
      <c r="P44" s="456" t="str">
        <f>IF(N44="Х","Х",IF(O44&lt;2.5," ",IF(O44&gt;=2.5,IF(G44+I44+K44+M44+O44&gt;=6,"Х",IF(AA44&lt;6," "," ")))))</f>
        <v xml:space="preserve"> </v>
      </c>
      <c r="Q44" s="42"/>
      <c r="R44" s="456" t="str">
        <f>IF(P44="Х","Х",IF(Q44&lt;2.5," ",IF(Q44&gt;=2.5,IF(G44+I44+K44+M44+O44+Q44&gt;=6,"Х",IF(AA44&lt;6," "," ")))))</f>
        <v xml:space="preserve"> </v>
      </c>
      <c r="S44" s="42"/>
      <c r="T44" s="456" t="str">
        <f>IF(R44="Х","Х",IF(S44&lt;2.5," ",IF(S44&gt;=2.5,IF(G44+I44+K44+M44+O44+Q44+S44&gt;=6,"Х",IF(AA44&lt;6," "," ")))))</f>
        <v xml:space="preserve"> </v>
      </c>
      <c r="U44" s="46"/>
      <c r="V44" s="434" t="str">
        <f>IF(T44="А1",$AX$7,IF(T44="Б2",$AX$6,IF(T44="Б1",$AY$7,IF(T44="А2",$AY$6,IF(T44="Х","Х",IF(T44&lt;6," "," "))))))</f>
        <v xml:space="preserve"> </v>
      </c>
      <c r="W44" s="42"/>
      <c r="X44" s="434" t="str">
        <f t="shared" ref="X44" si="113">IF(T44="Х","Х",IF(ISBLANK(W44),"",IF(W44&gt;2.5," ",IF(B44=AZ$6,AZ$7,AZ$6))))</f>
        <v/>
      </c>
      <c r="Y44" s="42"/>
      <c r="Z44" s="464" t="b">
        <f>IF(H44="Х","1",IF(J44="Х","2",IF(L44="Х","3",IF(N44="Х","4",IF(P44="Х","5",IF(R44="Х","6",IF(T44="Х","7",IF(V44="Х","8"))))))))</f>
        <v>0</v>
      </c>
      <c r="AA44" s="415">
        <f>SUM(G44+I44+K44+M44+O44+Q44+S44+U44+W44+Y44)</f>
        <v>0</v>
      </c>
      <c r="AB44" s="426">
        <f t="shared" ref="AB44" si="114">AD44+0</f>
        <v>20607</v>
      </c>
      <c r="AC44" s="393">
        <f>AB44</f>
        <v>20607</v>
      </c>
      <c r="AD44" s="384" t="str">
        <f>COUNTIF(AE$6:AE$119,"&gt;"&amp;AE$6:AE$119)+1&amp;REPT("-"&amp;COUNTIF(AE$6:AE$119,"&gt;="&amp;AE$6:AE$119),COUNTIF(AE$6:AE$119,AE44)&gt;1)</f>
        <v>6-56</v>
      </c>
      <c r="AE44" s="385">
        <f t="shared" si="44"/>
        <v>80</v>
      </c>
      <c r="AF44" s="387" t="str">
        <f>IF(OR(F44="Х",F44="св")," ",IF(AND(G44&gt;=0,G44&lt;3),"1"," "))</f>
        <v>1</v>
      </c>
      <c r="AG44" s="387" t="str">
        <f>IF(OR(H44="Х",H44="св")," ",IF(AND(I44&gt;=0,I44&lt;3),"1"," "))</f>
        <v>1</v>
      </c>
      <c r="AH44" s="387" t="str">
        <f>IF(OR(J44="Х",J44="св")," ",IF(AND(K44&gt;=0,K44&lt;3),"1"," "))</f>
        <v>1</v>
      </c>
      <c r="AI44" s="387" t="str">
        <f>IF(OR(L44="Х",L44="св")," ",IF(AND(M44&gt;=0,M44&lt;3),"1"," "))</f>
        <v>1</v>
      </c>
      <c r="AJ44" s="387" t="str">
        <f>IF(OR(N44="Х",N44="св")," ",IF(AND(O44&gt;=0,O44&lt;3),"1"," "))</f>
        <v>1</v>
      </c>
      <c r="AK44" s="387" t="str">
        <f>IF(OR(P44="Х",P44="св")," ",IF(AND(Q44&gt;=0,Q44&lt;3),"1"," "))</f>
        <v>1</v>
      </c>
      <c r="AL44" s="387" t="str">
        <f>IF(OR(R44="Х",R44="св")," ",IF(AND(S44&gt;=0,S44&lt;3),"1"," "))</f>
        <v>1</v>
      </c>
      <c r="AM44" s="387" t="str">
        <f>IF(OR(T44="Х",T44="св")," ",IF(AND(U44&gt;=0,U44&lt;3),"1"," "))</f>
        <v>1</v>
      </c>
      <c r="AN44" s="388">
        <f>COUNTIF(AF44:AM45,1)</f>
        <v>8</v>
      </c>
      <c r="AO44" s="390">
        <f>AE44-AA44</f>
        <v>80</v>
      </c>
      <c r="AP44" s="391">
        <f t="shared" si="10"/>
        <v>0</v>
      </c>
      <c r="AQ44" s="384" t="str">
        <f>COUNTIF(AE$6:AE$119,"&gt;"&amp;AE$6:AE$119)+1&amp;REPT("-"&amp;COUNTIF(AE$6:AE$119,"&gt;="&amp;AE$6:AE$119),COUNTIF(AE$6:AE$119,AE44)&gt;1)</f>
        <v>6-56</v>
      </c>
      <c r="AR44" s="392"/>
      <c r="AS44" s="183"/>
      <c r="AT44" s="183"/>
      <c r="AU44" s="183"/>
      <c r="AV44" s="383">
        <f t="shared" si="64"/>
        <v>19</v>
      </c>
      <c r="AW44" s="413"/>
      <c r="AX44" s="414"/>
      <c r="AY44" s="123"/>
      <c r="AZ44" s="19"/>
      <c r="BA44" s="2"/>
      <c r="BB44" s="2"/>
      <c r="BC44" s="414"/>
      <c r="BD44" s="414"/>
      <c r="BE44" s="123"/>
      <c r="BF44" s="2"/>
      <c r="BG44" s="2"/>
      <c r="BU44" s="374">
        <f>IF(J44="х"," ",B44)</f>
        <v>19</v>
      </c>
      <c r="BV44" s="374">
        <f>IF(L44="х"," ",B44)</f>
        <v>19</v>
      </c>
      <c r="BW44" s="374" t="str">
        <f>IF(BV44=" "," ",L44)</f>
        <v xml:space="preserve"> </v>
      </c>
      <c r="BX44" s="374" t="str">
        <f>IF(BU44=" "," ",J44)</f>
        <v xml:space="preserve"> </v>
      </c>
      <c r="BY44" s="61">
        <f>IF(BU44&lt;BX44,BU44,0)</f>
        <v>19</v>
      </c>
      <c r="BZ44" s="61">
        <f t="shared" si="8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41</v>
      </c>
      <c r="CF44" s="374">
        <f>IF(N44="х"," ",B44)</f>
        <v>19</v>
      </c>
      <c r="CG44" s="374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41</v>
      </c>
      <c r="CL44" s="374">
        <f>IF(P44="х"," ",B44)</f>
        <v>19</v>
      </c>
      <c r="CM44" s="374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41</v>
      </c>
      <c r="CR44" s="374">
        <f t="shared" ref="CR44" si="115">IF(R44="х"," ",B44)</f>
        <v>19</v>
      </c>
      <c r="CS44" s="374" t="str">
        <f t="shared" ref="CS44" si="116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41</v>
      </c>
    </row>
    <row r="45" spans="1:100" ht="12" hidden="1" customHeight="1" thickBot="1">
      <c r="A45" s="201"/>
      <c r="B45" s="412"/>
      <c r="C45" s="421"/>
      <c r="D45" s="423"/>
      <c r="E45" s="425"/>
      <c r="F45" s="438"/>
      <c r="G45" s="44"/>
      <c r="H45" s="435"/>
      <c r="I45" s="44"/>
      <c r="J45" s="435"/>
      <c r="K45" s="44"/>
      <c r="L45" s="435"/>
      <c r="M45" s="44"/>
      <c r="N45" s="435"/>
      <c r="O45" s="44"/>
      <c r="P45" s="435"/>
      <c r="Q45" s="44"/>
      <c r="R45" s="435"/>
      <c r="S45" s="44"/>
      <c r="T45" s="435"/>
      <c r="U45" s="47"/>
      <c r="V45" s="435"/>
      <c r="W45" s="44"/>
      <c r="X45" s="435"/>
      <c r="Y45" s="44"/>
      <c r="Z45" s="419"/>
      <c r="AA45" s="416"/>
      <c r="AB45" s="427"/>
      <c r="AC45" s="393"/>
      <c r="AD45" s="384"/>
      <c r="AE45" s="386"/>
      <c r="AF45" s="387"/>
      <c r="AG45" s="387"/>
      <c r="AH45" s="387"/>
      <c r="AI45" s="387"/>
      <c r="AJ45" s="387"/>
      <c r="AK45" s="387"/>
      <c r="AL45" s="387"/>
      <c r="AM45" s="387"/>
      <c r="AN45" s="389"/>
      <c r="AO45" s="384"/>
      <c r="AP45" s="391"/>
      <c r="AQ45" s="384"/>
      <c r="AR45" s="392"/>
      <c r="AS45" s="183"/>
      <c r="AT45" s="183"/>
      <c r="AU45" s="183"/>
      <c r="AV45" s="383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4"/>
      <c r="BV45" s="374"/>
      <c r="BW45" s="374"/>
      <c r="BX45" s="374"/>
      <c r="BY45" s="61" t="str">
        <f>IF(BY44&gt;=1,BX44,0)</f>
        <v xml:space="preserve"> </v>
      </c>
      <c r="BZ45" s="61" t="str">
        <f t="shared" si="8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42</v>
      </c>
      <c r="CF45" s="374"/>
      <c r="CG45" s="374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42</v>
      </c>
      <c r="CL45" s="374"/>
      <c r="CM45" s="374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42</v>
      </c>
      <c r="CR45" s="374"/>
      <c r="CS45" s="374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42</v>
      </c>
    </row>
    <row r="46" spans="1:100" ht="12" hidden="1" customHeight="1" thickTop="1">
      <c r="A46" s="201"/>
      <c r="B46" s="411">
        <v>20</v>
      </c>
      <c r="C46" s="420" t="e">
        <f>(VLOOKUP(B46,пр.взв!$B$7:$H$76,2,0))</f>
        <v>#N/A</v>
      </c>
      <c r="D46" s="422" t="e">
        <f>(VLOOKUP(B46,пр.взв!$B$7:$H$76,3,0))</f>
        <v>#N/A</v>
      </c>
      <c r="E46" s="424" t="e">
        <f>(VLOOKUP(B46,пр.взв!$B$7:$H$76,5,0))</f>
        <v>#N/A</v>
      </c>
      <c r="F46" s="439">
        <f t="shared" si="49"/>
        <v>0</v>
      </c>
      <c r="G46" s="42"/>
      <c r="H46" s="456"/>
      <c r="I46" s="42"/>
      <c r="J46" s="436" t="str">
        <f t="shared" si="20"/>
        <v xml:space="preserve"> </v>
      </c>
      <c r="K46" s="42"/>
      <c r="L46" s="434" t="str">
        <f t="shared" ref="L46" si="117">IF(J46="Х","Х",IF(K46&lt;2.5," ",IF(K46&gt;=2.5,IF(G46+I46+K46&gt;=6,"Х",IF(AA46&lt;6," "," ")))))</f>
        <v xml:space="preserve"> </v>
      </c>
      <c r="M46" s="42"/>
      <c r="N46" s="456" t="str">
        <f>IF(L46="Х","Х",IF(M46&lt;2.5," ",IF(M46&gt;=2.5,IF(G46+I46+K46+M46&gt;=6,"Х",IF(AA46&lt;6," "," ")))))</f>
        <v xml:space="preserve"> </v>
      </c>
      <c r="O46" s="42"/>
      <c r="P46" s="456" t="str">
        <f>IF(N46="Х","Х",IF(O46&lt;2.5," ",IF(O46&gt;=2.5,IF(G46+I46+K46+M46+O46&gt;=6,"Х",IF(AA46&lt;6," "," ")))))</f>
        <v xml:space="preserve"> </v>
      </c>
      <c r="Q46" s="42"/>
      <c r="R46" s="456" t="str">
        <f>IF(P46="Х","Х",IF(Q46&lt;2.5," ",IF(Q46&gt;=2.5,IF(G46+I46+K46+M46+O46+Q46&gt;=6,"Х",IF(AA46&lt;6," "," ")))))</f>
        <v xml:space="preserve"> </v>
      </c>
      <c r="S46" s="42"/>
      <c r="T46" s="456" t="str">
        <f>IF(R46="Х","Х",IF(S46&lt;2.5," ",IF(S46&gt;=2.5,IF(G46+I46+K46+M46+O46+Q46+S46&gt;=6,"Х",IF(AA46&lt;6," "," ")))))</f>
        <v xml:space="preserve"> </v>
      </c>
      <c r="U46" s="46"/>
      <c r="V46" s="434" t="str">
        <f>IF(T46="А1",$AX$7,IF(T46="Б2",$AX$6,IF(T46="Б1",$AY$7,IF(T46="А2",$AY$6,IF(T46="Х","Х",IF(T46&lt;6," "," "))))))</f>
        <v xml:space="preserve"> </v>
      </c>
      <c r="W46" s="42"/>
      <c r="X46" s="434" t="str">
        <f t="shared" ref="X46" si="118">IF(T46="Х","Х",IF(ISBLANK(W46),"",IF(W46&gt;2.5," ",IF(B46=AZ$6,AZ$7,AZ$6))))</f>
        <v/>
      </c>
      <c r="Y46" s="42"/>
      <c r="Z46" s="464" t="b">
        <f>IF(H46="Х","1",IF(J46="Х","2",IF(L46="Х","3",IF(N46="Х","4",IF(P46="Х","5",IF(R46="Х","6",IF(T46="Х","7",IF(V46="Х","8"))))))))</f>
        <v>0</v>
      </c>
      <c r="AA46" s="415">
        <f>SUM(G46+I46+K46+M46+O46+Q46+S46+U46+W46+Y46)</f>
        <v>0</v>
      </c>
      <c r="AB46" s="426">
        <f t="shared" ref="AB46" si="119">AD46+0</f>
        <v>20607</v>
      </c>
      <c r="AC46" s="383">
        <f>AB46</f>
        <v>20607</v>
      </c>
      <c r="AD46" s="384" t="str">
        <f>COUNTIF(AE$6:AE$119,"&gt;"&amp;AE$6:AE$119)+1&amp;REPT("-"&amp;COUNTIF(AE$6:AE$119,"&gt;="&amp;AE$6:AE$119),COUNTIF(AE$6:AE$119,AE46)&gt;1)</f>
        <v>6-56</v>
      </c>
      <c r="AE46" s="385">
        <f t="shared" si="44"/>
        <v>80</v>
      </c>
      <c r="AF46" s="387" t="str">
        <f>IF(OR(F46="Х",F46="св")," ",IF(AND(G46&gt;=0,G46&lt;3),"1"," "))</f>
        <v>1</v>
      </c>
      <c r="AG46" s="387" t="str">
        <f>IF(OR(H46="Х",H46="св")," ",IF(AND(I46&gt;=0,I46&lt;3),"1"," "))</f>
        <v>1</v>
      </c>
      <c r="AH46" s="387" t="str">
        <f>IF(OR(J46="Х",J46="св")," ",IF(AND(K46&gt;=0,K46&lt;3),"1"," "))</f>
        <v>1</v>
      </c>
      <c r="AI46" s="387" t="str">
        <f>IF(OR(L46="Х",L46="св")," ",IF(AND(M46&gt;=0,M46&lt;3),"1"," "))</f>
        <v>1</v>
      </c>
      <c r="AJ46" s="387" t="str">
        <f>IF(OR(N46="Х",N46="св")," ",IF(AND(O46&gt;=0,O46&lt;3),"1"," "))</f>
        <v>1</v>
      </c>
      <c r="AK46" s="387" t="str">
        <f>IF(OR(P46="Х",P46="св")," ",IF(AND(Q46&gt;=0,Q46&lt;3),"1"," "))</f>
        <v>1</v>
      </c>
      <c r="AL46" s="387" t="str">
        <f>IF(OR(R46="Х",R46="св")," ",IF(AND(S46&gt;=0,S46&lt;3),"1"," "))</f>
        <v>1</v>
      </c>
      <c r="AM46" s="387" t="str">
        <f>IF(OR(T46="Х",T46="св")," ",IF(AND(U46&gt;=0,U46&lt;3),"1"," "))</f>
        <v>1</v>
      </c>
      <c r="AN46" s="388">
        <f>COUNTIF(AF46:AM47,1)</f>
        <v>8</v>
      </c>
      <c r="AO46" s="390">
        <f>AE46-AA46</f>
        <v>80</v>
      </c>
      <c r="AP46" s="391">
        <f t="shared" si="10"/>
        <v>0</v>
      </c>
      <c r="AQ46" s="384" t="str">
        <f>COUNTIF(AE$6:AE$119,"&gt;"&amp;AE$6:AE$119)+1&amp;REPT("-"&amp;COUNTIF(AE$6:AE$119,"&gt;="&amp;AE$6:AE$119),COUNTIF(AE$6:AE$119,AE46)&gt;1)</f>
        <v>6-56</v>
      </c>
      <c r="AR46" s="392"/>
      <c r="AS46" s="183"/>
      <c r="AT46" s="183"/>
      <c r="AU46" s="183"/>
      <c r="AV46" s="383">
        <f t="shared" si="64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4">
        <f>IF(J46="х"," ",B46)</f>
        <v>20</v>
      </c>
      <c r="BV46" s="374">
        <f>IF(L46="х"," ",B46)</f>
        <v>20</v>
      </c>
      <c r="BW46" s="374" t="str">
        <f>IF(BV46=" "," ",L46)</f>
        <v xml:space="preserve"> </v>
      </c>
      <c r="BX46" s="374" t="str">
        <f>IF(BU46=" "," ",J46)</f>
        <v xml:space="preserve"> </v>
      </c>
      <c r="BY46" s="61">
        <f>IF(BU46&lt;BX46,BU46,0)</f>
        <v>20</v>
      </c>
      <c r="BZ46" s="61">
        <f t="shared" si="8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43</v>
      </c>
      <c r="CF46" s="374">
        <f>IF(N46="х"," ",B46)</f>
        <v>20</v>
      </c>
      <c r="CG46" s="374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43</v>
      </c>
      <c r="CL46" s="374">
        <f>IF(P46="х"," ",B46)</f>
        <v>20</v>
      </c>
      <c r="CM46" s="374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43</v>
      </c>
      <c r="CR46" s="374">
        <f t="shared" ref="CR46" si="120">IF(R46="х"," ",B46)</f>
        <v>20</v>
      </c>
      <c r="CS46" s="374" t="str">
        <f t="shared" ref="CS46" si="121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43</v>
      </c>
    </row>
    <row r="47" spans="1:100" ht="12" hidden="1" customHeight="1" thickBot="1">
      <c r="A47" s="201"/>
      <c r="B47" s="412"/>
      <c r="C47" s="421"/>
      <c r="D47" s="423"/>
      <c r="E47" s="425"/>
      <c r="F47" s="438"/>
      <c r="G47" s="44"/>
      <c r="H47" s="435"/>
      <c r="I47" s="44"/>
      <c r="J47" s="435"/>
      <c r="K47" s="44"/>
      <c r="L47" s="435"/>
      <c r="M47" s="44"/>
      <c r="N47" s="435"/>
      <c r="O47" s="44"/>
      <c r="P47" s="435"/>
      <c r="Q47" s="44"/>
      <c r="R47" s="435"/>
      <c r="S47" s="44"/>
      <c r="T47" s="435"/>
      <c r="U47" s="47"/>
      <c r="V47" s="435"/>
      <c r="W47" s="44"/>
      <c r="X47" s="435"/>
      <c r="Y47" s="44"/>
      <c r="Z47" s="419"/>
      <c r="AA47" s="416"/>
      <c r="AB47" s="427"/>
      <c r="AC47" s="383"/>
      <c r="AD47" s="384"/>
      <c r="AE47" s="386"/>
      <c r="AF47" s="387"/>
      <c r="AG47" s="387"/>
      <c r="AH47" s="387"/>
      <c r="AI47" s="387"/>
      <c r="AJ47" s="387"/>
      <c r="AK47" s="387"/>
      <c r="AL47" s="387"/>
      <c r="AM47" s="387"/>
      <c r="AN47" s="389"/>
      <c r="AO47" s="384"/>
      <c r="AP47" s="391"/>
      <c r="AQ47" s="384"/>
      <c r="AR47" s="392"/>
      <c r="AS47" s="183"/>
      <c r="AT47" s="183"/>
      <c r="AU47" s="183"/>
      <c r="AV47" s="383"/>
      <c r="AW47" s="413"/>
      <c r="AX47" s="414"/>
      <c r="AY47" s="123"/>
      <c r="AZ47" s="19"/>
      <c r="BA47" s="2"/>
      <c r="BB47" s="2"/>
      <c r="BC47" s="414"/>
      <c r="BD47" s="414"/>
      <c r="BE47" s="123"/>
      <c r="BF47" s="2"/>
      <c r="BG47" s="2"/>
      <c r="BU47" s="374"/>
      <c r="BV47" s="374"/>
      <c r="BW47" s="374"/>
      <c r="BX47" s="374"/>
      <c r="BY47" s="61" t="str">
        <f>IF(BY46&gt;=1,BX46,0)</f>
        <v xml:space="preserve"> </v>
      </c>
      <c r="BZ47" s="61" t="str">
        <f t="shared" si="8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44</v>
      </c>
      <c r="CF47" s="374"/>
      <c r="CG47" s="374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44</v>
      </c>
      <c r="CL47" s="374"/>
      <c r="CM47" s="374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44</v>
      </c>
      <c r="CR47" s="374"/>
      <c r="CS47" s="374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44</v>
      </c>
    </row>
    <row r="48" spans="1:100" ht="12" hidden="1" customHeight="1" thickTop="1">
      <c r="A48" s="201"/>
      <c r="B48" s="430">
        <v>21</v>
      </c>
      <c r="C48" s="420" t="e">
        <f>(VLOOKUP(B48,пр.взв!$B$7:$H$76,2,0))</f>
        <v>#N/A</v>
      </c>
      <c r="D48" s="422" t="e">
        <f>(VLOOKUP(B48,пр.взв!$B$7:$H$76,3,0))</f>
        <v>#N/A</v>
      </c>
      <c r="E48" s="424" t="e">
        <f>(VLOOKUP(B48,пр.взв!$B$7:$H$76,5,0))</f>
        <v>#N/A</v>
      </c>
      <c r="F48" s="440">
        <f t="shared" ref="F48" si="122">IF(ISERROR(C48),0,B50)</f>
        <v>0</v>
      </c>
      <c r="G48" s="42"/>
      <c r="H48" s="456"/>
      <c r="I48" s="42"/>
      <c r="J48" s="436" t="str">
        <f t="shared" si="20"/>
        <v xml:space="preserve"> </v>
      </c>
      <c r="K48" s="42"/>
      <c r="L48" s="434" t="str">
        <f t="shared" ref="L48" si="123">IF(J48="Х","Х",IF(K48&lt;2.5," ",IF(K48&gt;=2.5,IF(G48+I48+K48&gt;=6,"Х",IF(AA48&lt;6," "," ")))))</f>
        <v xml:space="preserve"> </v>
      </c>
      <c r="M48" s="42"/>
      <c r="N48" s="456" t="str">
        <f>IF(L48="Х","Х",IF(M48&lt;2.5," ",IF(M48&gt;=2.5,IF(G48+I48+K48+M48&gt;=6,"Х",IF(AA48&lt;6," "," ")))))</f>
        <v xml:space="preserve"> </v>
      </c>
      <c r="O48" s="42"/>
      <c r="P48" s="456" t="str">
        <f>IF(N48="Х","Х",IF(O48&lt;2.5," ",IF(O48&gt;=2.5,IF(G48+I48+K48+M48+O48&gt;=6,"Х",IF(AA48&lt;6," "," ")))))</f>
        <v xml:space="preserve"> </v>
      </c>
      <c r="Q48" s="42"/>
      <c r="R48" s="456" t="str">
        <f>IF(P48="Х","Х",IF(Q48&lt;2.5," ",IF(Q48&gt;=2.5,IF(G48+I48+K48+M48+O48+Q48&gt;=6,"Х",IF(AA48&lt;6," "," ")))))</f>
        <v xml:space="preserve"> </v>
      </c>
      <c r="S48" s="42"/>
      <c r="T48" s="456" t="str">
        <f>IF(R48="Х","Х",IF(S48&lt;2.5," ",IF(S48&gt;=2.5,IF(G48+I48+K48+M48+O48+Q48+S48&gt;=6,"Х",IF(AA48&lt;6," "," ")))))</f>
        <v xml:space="preserve"> </v>
      </c>
      <c r="U48" s="46"/>
      <c r="V48" s="434" t="str">
        <f>IF(T48="А1",$AX$7,IF(T48="Б2",$AX$6,IF(T48="Б1",$AY$7,IF(T48="А2",$AY$6,IF(T48="Х","Х",IF(T48&lt;6," "," "))))))</f>
        <v xml:space="preserve"> </v>
      </c>
      <c r="W48" s="42"/>
      <c r="X48" s="434" t="str">
        <f t="shared" ref="X48" si="124">IF(T48="Х","Х",IF(ISBLANK(W48),"",IF(W48&gt;2.5," ",IF(B48=AZ$6,AZ$7,AZ$6))))</f>
        <v/>
      </c>
      <c r="Y48" s="42"/>
      <c r="Z48" s="464" t="b">
        <f>IF(H48="Х","1",IF(J48="Х","2",IF(L48="Х","3",IF(N48="Х","4",IF(P48="Х","5",IF(R48="Х","6",IF(T48="Х","7",IF(V48="Х","8"))))))))</f>
        <v>0</v>
      </c>
      <c r="AA48" s="415">
        <f>SUM(G48+I48+K48+M48+O48+Q48+S48+U48+W48+Y48)</f>
        <v>0</v>
      </c>
      <c r="AB48" s="426">
        <f t="shared" ref="AB48" si="125">AD48+0</f>
        <v>20607</v>
      </c>
      <c r="AC48" s="383">
        <f>AB48</f>
        <v>20607</v>
      </c>
      <c r="AD48" s="384" t="str">
        <f>COUNTIF(AE$6:AE$119,"&gt;"&amp;AE$6:AE$119)+1&amp;REPT("-"&amp;COUNTIF(AE$6:AE$119,"&gt;="&amp;AE$6:AE$119),COUNTIF(AE$6:AE$119,AE48)&gt;1)</f>
        <v>6-56</v>
      </c>
      <c r="AE48" s="385">
        <f t="shared" si="44"/>
        <v>80</v>
      </c>
      <c r="AF48" s="387" t="str">
        <f>IF(OR(F48="Х",F48="св")," ",IF(AND(G48&gt;=0,G48&lt;3),"1"," "))</f>
        <v>1</v>
      </c>
      <c r="AG48" s="387" t="str">
        <f>IF(OR(H48="Х",H48="св")," ",IF(AND(I48&gt;=0,I48&lt;3),"1"," "))</f>
        <v>1</v>
      </c>
      <c r="AH48" s="387" t="str">
        <f>IF(OR(J48="Х",J48="св")," ",IF(AND(K48&gt;=0,K48&lt;3),"1"," "))</f>
        <v>1</v>
      </c>
      <c r="AI48" s="387" t="str">
        <f>IF(OR(L48="Х",L48="св")," ",IF(AND(M48&gt;=0,M48&lt;3),"1"," "))</f>
        <v>1</v>
      </c>
      <c r="AJ48" s="387" t="str">
        <f>IF(OR(N48="Х",N48="св")," ",IF(AND(O48&gt;=0,O48&lt;3),"1"," "))</f>
        <v>1</v>
      </c>
      <c r="AK48" s="387" t="str">
        <f>IF(OR(P48="Х",P48="св")," ",IF(AND(Q48&gt;=0,Q48&lt;3),"1"," "))</f>
        <v>1</v>
      </c>
      <c r="AL48" s="387" t="str">
        <f>IF(OR(R48="Х",R48="св")," ",IF(AND(S48&gt;=0,S48&lt;3),"1"," "))</f>
        <v>1</v>
      </c>
      <c r="AM48" s="387" t="str">
        <f>IF(OR(T48="Х",T48="св")," ",IF(AND(U48&gt;=0,U48&lt;3),"1"," "))</f>
        <v>1</v>
      </c>
      <c r="AN48" s="388">
        <f>COUNTIF(AF48:AM49,1)</f>
        <v>8</v>
      </c>
      <c r="AO48" s="390">
        <f>AE48-AA48</f>
        <v>80</v>
      </c>
      <c r="AP48" s="391">
        <f t="shared" si="10"/>
        <v>0</v>
      </c>
      <c r="AQ48" s="384" t="str">
        <f>COUNTIF(AE$6:AE$119,"&gt;"&amp;AE$6:AE$119)+1&amp;REPT("-"&amp;COUNTIF(AE$6:AE$119,"&gt;="&amp;AE$6:AE$119),COUNTIF(AE$6:AE$119,AE48)&gt;1)</f>
        <v>6-56</v>
      </c>
      <c r="AR48" s="392"/>
      <c r="AS48" s="183"/>
      <c r="AT48" s="183"/>
      <c r="AU48" s="183"/>
      <c r="AV48" s="383">
        <f t="shared" si="64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4">
        <f>IF(J48="х"," ",B48)</f>
        <v>21</v>
      </c>
      <c r="BV48" s="374">
        <f>IF(L48="х"," ",B48)</f>
        <v>21</v>
      </c>
      <c r="BW48" s="374" t="str">
        <f>IF(BV48=" "," ",L48)</f>
        <v xml:space="preserve"> </v>
      </c>
      <c r="BX48" s="374" t="str">
        <f>IF(BU48=" "," ",J48)</f>
        <v xml:space="preserve"> </v>
      </c>
      <c r="BY48" s="61">
        <f>IF(BU48&lt;BX48,BU48,0)</f>
        <v>21</v>
      </c>
      <c r="BZ48" s="61">
        <f t="shared" si="8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45</v>
      </c>
      <c r="CF48" s="374">
        <f>IF(N48="х"," ",B48)</f>
        <v>21</v>
      </c>
      <c r="CG48" s="374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45</v>
      </c>
      <c r="CL48" s="374">
        <f>IF(P48="х"," ",B48)</f>
        <v>21</v>
      </c>
      <c r="CM48" s="374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45</v>
      </c>
      <c r="CR48" s="374">
        <f t="shared" ref="CR48" si="126">IF(R48="х"," ",B48)</f>
        <v>21</v>
      </c>
      <c r="CS48" s="374" t="str">
        <f t="shared" ref="CS48" si="127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45</v>
      </c>
    </row>
    <row r="49" spans="1:100" ht="12" hidden="1" customHeight="1" thickBot="1">
      <c r="A49" s="201"/>
      <c r="B49" s="429"/>
      <c r="C49" s="421"/>
      <c r="D49" s="423"/>
      <c r="E49" s="425"/>
      <c r="F49" s="438"/>
      <c r="G49" s="59"/>
      <c r="H49" s="435"/>
      <c r="I49" s="44"/>
      <c r="J49" s="435"/>
      <c r="K49" s="44"/>
      <c r="L49" s="435"/>
      <c r="M49" s="44"/>
      <c r="N49" s="435"/>
      <c r="O49" s="44"/>
      <c r="P49" s="435"/>
      <c r="Q49" s="44"/>
      <c r="R49" s="435"/>
      <c r="S49" s="44"/>
      <c r="T49" s="435"/>
      <c r="U49" s="47"/>
      <c r="V49" s="435"/>
      <c r="W49" s="44"/>
      <c r="X49" s="435"/>
      <c r="Y49" s="44"/>
      <c r="Z49" s="419"/>
      <c r="AA49" s="416"/>
      <c r="AB49" s="427"/>
      <c r="AC49" s="383"/>
      <c r="AD49" s="384"/>
      <c r="AE49" s="386"/>
      <c r="AF49" s="387"/>
      <c r="AG49" s="387"/>
      <c r="AH49" s="387"/>
      <c r="AI49" s="387"/>
      <c r="AJ49" s="387"/>
      <c r="AK49" s="387"/>
      <c r="AL49" s="387"/>
      <c r="AM49" s="387"/>
      <c r="AN49" s="389"/>
      <c r="AO49" s="384"/>
      <c r="AP49" s="391"/>
      <c r="AQ49" s="384"/>
      <c r="AR49" s="392"/>
      <c r="AS49" s="183"/>
      <c r="AT49" s="183"/>
      <c r="AU49" s="183"/>
      <c r="AV49" s="383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4"/>
      <c r="BV49" s="374"/>
      <c r="BW49" s="374"/>
      <c r="BX49" s="374"/>
      <c r="BY49" s="61" t="str">
        <f>IF(BY48&gt;=1,BX48,0)</f>
        <v xml:space="preserve"> </v>
      </c>
      <c r="BZ49" s="61" t="str">
        <f t="shared" si="8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46</v>
      </c>
      <c r="CF49" s="374"/>
      <c r="CG49" s="374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46</v>
      </c>
      <c r="CL49" s="374"/>
      <c r="CM49" s="374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46</v>
      </c>
      <c r="CR49" s="374"/>
      <c r="CS49" s="374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46</v>
      </c>
    </row>
    <row r="50" spans="1:100" ht="12" hidden="1" customHeight="1" thickTop="1">
      <c r="A50" s="201"/>
      <c r="B50" s="431">
        <v>22</v>
      </c>
      <c r="C50" s="420" t="e">
        <f>(VLOOKUP(B50,пр.взв!$B$7:$H$76,2,0))</f>
        <v>#N/A</v>
      </c>
      <c r="D50" s="422" t="e">
        <f>(VLOOKUP(B50,пр.взв!$B$7:$H$76,3,0))</f>
        <v>#N/A</v>
      </c>
      <c r="E50" s="424" t="e">
        <f>(VLOOKUP(B50,пр.взв!$B$7:$H$76,5,0))</f>
        <v>#N/A</v>
      </c>
      <c r="F50" s="439">
        <f t="shared" ref="F50" si="128">IF(ISERROR(C50),0,B48)</f>
        <v>0</v>
      </c>
      <c r="G50" s="41"/>
      <c r="H50" s="436"/>
      <c r="I50" s="41"/>
      <c r="J50" s="436" t="str">
        <f t="shared" si="20"/>
        <v xml:space="preserve"> </v>
      </c>
      <c r="K50" s="41"/>
      <c r="L50" s="434" t="str">
        <f t="shared" ref="L50" si="129">IF(J50="Х","Х",IF(K50&lt;2.5," ",IF(K50&gt;=2.5,IF(G50+I50+K50&gt;=6,"Х",IF(AA50&lt;6," "," ")))))</f>
        <v xml:space="preserve"> </v>
      </c>
      <c r="M50" s="41"/>
      <c r="N50" s="436" t="str">
        <f>IF(L50="Х","Х",IF(M50&lt;2.5," ",IF(M50&gt;=2.5,IF(G50+I50+K50+M50&gt;=6,"Х",IF(AA50&lt;6," "," ")))))</f>
        <v xml:space="preserve"> </v>
      </c>
      <c r="O50" s="41"/>
      <c r="P50" s="436" t="str">
        <f>IF(N50="Х","Х",IF(O50&lt;2.5," ",IF(O50&gt;=2.5,IF(G50+I50+K50+M50+O50&gt;=6,"Х",IF(AA50&lt;6," "," ")))))</f>
        <v xml:space="preserve"> </v>
      </c>
      <c r="Q50" s="41"/>
      <c r="R50" s="436" t="str">
        <f>IF(P50="Х","Х",IF(Q50&lt;2.5," ",IF(Q50&gt;=2.5,IF(G50+I50+K50+M50+O50+Q50&gt;=6,"Х",IF(AA50&lt;6," "," ")))))</f>
        <v xml:space="preserve"> </v>
      </c>
      <c r="S50" s="41"/>
      <c r="T50" s="436" t="str">
        <f>IF(R50="Х","Х",IF(S50&lt;2.5," ",IF(S50&gt;=2.5,IF(G50+I50+K50+M50+O50+Q50+S50&gt;=6,"Х",IF(AA50&lt;6," "," ")))))</f>
        <v xml:space="preserve"> </v>
      </c>
      <c r="U50" s="45"/>
      <c r="V50" s="434" t="str">
        <f>IF(T50="А1",$AX$7,IF(T50="Б2",$AX$6,IF(T50="Б1",$AY$7,IF(T50="А2",$AY$6,IF(T50="Х","Х",IF(T50&lt;6," "," "))))))</f>
        <v xml:space="preserve"> </v>
      </c>
      <c r="W50" s="41"/>
      <c r="X50" s="434" t="str">
        <f t="shared" ref="X50" si="130">IF(T50="Х","Х",IF(ISBLANK(W50),"",IF(W50&gt;2.5," ",IF(B50=AZ$6,AZ$7,AZ$6))))</f>
        <v/>
      </c>
      <c r="Y50" s="41"/>
      <c r="Z50" s="418" t="b">
        <f>IF(H50="Х","1",IF(J50="Х","2",IF(L50="Х","3",IF(N50="Х","4",IF(P50="Х","5",IF(R50="Х","6",IF(T50="Х","7",IF(V50="Х","8"))))))))</f>
        <v>0</v>
      </c>
      <c r="AA50" s="417">
        <f>SUM(G50+I50+K50+M50+O50+Q50+S50+U50+W50+Y50)</f>
        <v>0</v>
      </c>
      <c r="AB50" s="426">
        <f t="shared" ref="AB50" si="131">AD50+0</f>
        <v>20607</v>
      </c>
      <c r="AC50" s="383">
        <f>AB50</f>
        <v>20607</v>
      </c>
      <c r="AD50" s="384" t="str">
        <f>COUNTIF(AE$6:AE$119,"&gt;"&amp;AE$6:AE$119)+1&amp;REPT("-"&amp;COUNTIF(AE$6:AE$119,"&gt;="&amp;AE$6:AE$119),COUNTIF(AE$6:AE$119,AE50)&gt;1)</f>
        <v>6-56</v>
      </c>
      <c r="AE50" s="385">
        <f t="shared" si="44"/>
        <v>80</v>
      </c>
      <c r="AF50" s="387" t="str">
        <f>IF(OR(F50="Х",F50="св")," ",IF(AND(G50&gt;=0,G50&lt;3),"1"," "))</f>
        <v>1</v>
      </c>
      <c r="AG50" s="387" t="str">
        <f>IF(OR(H50="Х",H50="св")," ",IF(AND(I50&gt;=0,I50&lt;3),"1"," "))</f>
        <v>1</v>
      </c>
      <c r="AH50" s="387" t="str">
        <f>IF(OR(J50="Х",J50="св")," ",IF(AND(K50&gt;=0,K50&lt;3),"1"," "))</f>
        <v>1</v>
      </c>
      <c r="AI50" s="387" t="str">
        <f>IF(OR(L50="Х",L50="св")," ",IF(AND(M50&gt;=0,M50&lt;3),"1"," "))</f>
        <v>1</v>
      </c>
      <c r="AJ50" s="387" t="str">
        <f>IF(OR(N50="Х",N50="св")," ",IF(AND(O50&gt;=0,O50&lt;3),"1"," "))</f>
        <v>1</v>
      </c>
      <c r="AK50" s="387" t="str">
        <f>IF(OR(P50="Х",P50="св")," ",IF(AND(Q50&gt;=0,Q50&lt;3),"1"," "))</f>
        <v>1</v>
      </c>
      <c r="AL50" s="387" t="str">
        <f>IF(OR(R50="Х",R50="св")," ",IF(AND(S50&gt;=0,S50&lt;3),"1"," "))</f>
        <v>1</v>
      </c>
      <c r="AM50" s="387" t="str">
        <f>IF(OR(T50="Х",T50="св")," ",IF(AND(U50&gt;=0,U50&lt;3),"1"," "))</f>
        <v>1</v>
      </c>
      <c r="AN50" s="388">
        <f>COUNTIF(AF50:AM51,1)</f>
        <v>8</v>
      </c>
      <c r="AO50" s="390">
        <f>AE50-AA50</f>
        <v>80</v>
      </c>
      <c r="AP50" s="391">
        <f t="shared" si="10"/>
        <v>0</v>
      </c>
      <c r="AQ50" s="384" t="str">
        <f>COUNTIF(AE$6:AE$119,"&gt;"&amp;AE$6:AE$119)+1&amp;REPT("-"&amp;COUNTIF(AE$6:AE$119,"&gt;="&amp;AE$6:AE$119),COUNTIF(AE$6:AE$119,AE50)&gt;1)</f>
        <v>6-56</v>
      </c>
      <c r="AR50" s="392"/>
      <c r="AS50" s="183"/>
      <c r="AT50" s="183"/>
      <c r="AU50" s="183"/>
      <c r="AV50" s="383">
        <f t="shared" si="64"/>
        <v>22</v>
      </c>
      <c r="AW50" s="413"/>
      <c r="AX50" s="413"/>
      <c r="AY50" s="123"/>
      <c r="AZ50" s="413"/>
      <c r="BA50" s="413"/>
      <c r="BB50" s="123"/>
      <c r="BC50" s="2"/>
      <c r="BD50" s="2"/>
      <c r="BE50" s="2"/>
      <c r="BF50" s="2"/>
      <c r="BG50" s="2"/>
      <c r="BU50" s="374">
        <f>IF(J50="х"," ",B50)</f>
        <v>22</v>
      </c>
      <c r="BV50" s="374">
        <f>IF(L50="х"," ",B50)</f>
        <v>22</v>
      </c>
      <c r="BW50" s="374" t="str">
        <f>IF(BV50=" "," ",L50)</f>
        <v xml:space="preserve"> </v>
      </c>
      <c r="BX50" s="374" t="str">
        <f>IF(BU50=" "," ",J50)</f>
        <v xml:space="preserve"> </v>
      </c>
      <c r="BY50" s="61">
        <f>IF(BU50&lt;BX50,BU50,0)</f>
        <v>22</v>
      </c>
      <c r="BZ50" s="61">
        <f t="shared" si="8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47</v>
      </c>
      <c r="CF50" s="374">
        <f>IF(N50="х"," ",B50)</f>
        <v>22</v>
      </c>
      <c r="CG50" s="374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47</v>
      </c>
      <c r="CL50" s="374">
        <f>IF(P50="х"," ",B50)</f>
        <v>22</v>
      </c>
      <c r="CM50" s="374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47</v>
      </c>
      <c r="CR50" s="374">
        <f t="shared" ref="CR50" si="132">IF(R50="х"," ",B50)</f>
        <v>22</v>
      </c>
      <c r="CS50" s="374" t="str">
        <f t="shared" ref="CS50" si="133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47</v>
      </c>
    </row>
    <row r="51" spans="1:100" ht="12" hidden="1" customHeight="1" thickBot="1">
      <c r="A51" s="201"/>
      <c r="B51" s="412"/>
      <c r="C51" s="421"/>
      <c r="D51" s="423"/>
      <c r="E51" s="425"/>
      <c r="F51" s="438"/>
      <c r="G51" s="44"/>
      <c r="H51" s="435"/>
      <c r="I51" s="44"/>
      <c r="J51" s="435"/>
      <c r="K51" s="44"/>
      <c r="L51" s="435"/>
      <c r="M51" s="44"/>
      <c r="N51" s="435"/>
      <c r="O51" s="44"/>
      <c r="P51" s="435"/>
      <c r="Q51" s="44"/>
      <c r="R51" s="435"/>
      <c r="S51" s="44"/>
      <c r="T51" s="435"/>
      <c r="U51" s="47"/>
      <c r="V51" s="435"/>
      <c r="W51" s="44"/>
      <c r="X51" s="435"/>
      <c r="Y51" s="44"/>
      <c r="Z51" s="419"/>
      <c r="AA51" s="416"/>
      <c r="AB51" s="427"/>
      <c r="AC51" s="383"/>
      <c r="AD51" s="384"/>
      <c r="AE51" s="386"/>
      <c r="AF51" s="387"/>
      <c r="AG51" s="387"/>
      <c r="AH51" s="387"/>
      <c r="AI51" s="387"/>
      <c r="AJ51" s="387"/>
      <c r="AK51" s="387"/>
      <c r="AL51" s="387"/>
      <c r="AM51" s="387"/>
      <c r="AN51" s="389"/>
      <c r="AO51" s="384"/>
      <c r="AP51" s="391"/>
      <c r="AQ51" s="384"/>
      <c r="AR51" s="392"/>
      <c r="AS51" s="183"/>
      <c r="AT51" s="183"/>
      <c r="AU51" s="183"/>
      <c r="AV51" s="383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4"/>
      <c r="BV51" s="374"/>
      <c r="BW51" s="374"/>
      <c r="BX51" s="374"/>
      <c r="BY51" s="61" t="str">
        <f>IF(BY50&gt;=1,BX50,0)</f>
        <v xml:space="preserve"> </v>
      </c>
      <c r="BZ51" s="61" t="str">
        <f t="shared" si="8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48</v>
      </c>
      <c r="CF51" s="374"/>
      <c r="CG51" s="374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48</v>
      </c>
      <c r="CL51" s="374"/>
      <c r="CM51" s="374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48</v>
      </c>
      <c r="CR51" s="374"/>
      <c r="CS51" s="374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48</v>
      </c>
    </row>
    <row r="52" spans="1:100" ht="12" hidden="1" customHeight="1" thickTop="1">
      <c r="A52" s="201"/>
      <c r="B52" s="411">
        <v>23</v>
      </c>
      <c r="C52" s="420" t="e">
        <f>(VLOOKUP(B52,пр.взв!$B$7:$H$76,2,0))</f>
        <v>#N/A</v>
      </c>
      <c r="D52" s="422" t="e">
        <f>(VLOOKUP(B52,пр.взв!$B$7:$H$76,3,0))</f>
        <v>#N/A</v>
      </c>
      <c r="E52" s="424" t="e">
        <f>(VLOOKUP(B52,пр.взв!$B$7:$H$76,5,0))</f>
        <v>#N/A</v>
      </c>
      <c r="F52" s="440">
        <f t="shared" si="40"/>
        <v>0</v>
      </c>
      <c r="G52" s="42"/>
      <c r="H52" s="456"/>
      <c r="I52" s="42"/>
      <c r="J52" s="436" t="str">
        <f t="shared" si="20"/>
        <v xml:space="preserve"> </v>
      </c>
      <c r="K52" s="42"/>
      <c r="L52" s="434" t="str">
        <f t="shared" ref="L52" si="134">IF(J52="Х","Х",IF(K52&lt;2.5," ",IF(K52&gt;=2.5,IF(G52+I52+K52&gt;=6,"Х",IF(AA52&lt;6," "," ")))))</f>
        <v xml:space="preserve"> </v>
      </c>
      <c r="M52" s="42"/>
      <c r="N52" s="456" t="str">
        <f>IF(L52="Х","Х",IF(M52&lt;2.5," ",IF(M52&gt;=2.5,IF(G52+I52+K52+M52&gt;=6,"Х",IF(AA52&lt;6," "," ")))))</f>
        <v xml:space="preserve"> </v>
      </c>
      <c r="O52" s="42"/>
      <c r="P52" s="456" t="str">
        <f>IF(N52="Х","Х",IF(O52&lt;2.5," ",IF(O52&gt;=2.5,IF(G52+I52+K52+M52+O52&gt;=6,"Х",IF(AA52&lt;6," "," ")))))</f>
        <v xml:space="preserve"> </v>
      </c>
      <c r="Q52" s="42"/>
      <c r="R52" s="456" t="str">
        <f>IF(P52="Х","Х",IF(Q52&lt;2.5," ",IF(Q52&gt;=2.5,IF(G52+I52+K52+M52+O52+Q52&gt;=6,"Х",IF(AA52&lt;6," "," ")))))</f>
        <v xml:space="preserve"> </v>
      </c>
      <c r="S52" s="42"/>
      <c r="T52" s="456" t="str">
        <f>IF(R52="Х","Х",IF(S52&lt;2.5," ",IF(S52&gt;=2.5,IF(G52+I52+K52+M52+O52+Q52+S52&gt;=6,"Х",IF(AA52&lt;6," "," ")))))</f>
        <v xml:space="preserve"> </v>
      </c>
      <c r="U52" s="42"/>
      <c r="V52" s="434" t="str">
        <f>IF(T52="А1",$AX$7,IF(T52="Б2",$AX$6,IF(T52="Б1",$AY$7,IF(T52="А2",$AY$6,IF(T52="Х","Х",IF(T52&lt;6," "," "))))))</f>
        <v xml:space="preserve"> </v>
      </c>
      <c r="W52" s="42"/>
      <c r="X52" s="434" t="str">
        <f t="shared" ref="X52" si="135">IF(T52="Х","Х",IF(ISBLANK(W52),"",IF(W52&gt;2.5," ",IF(B52=AZ$6,AZ$7,AZ$6))))</f>
        <v/>
      </c>
      <c r="Y52" s="42"/>
      <c r="Z52" s="441" t="b">
        <f>IF(H52="Х","1",IF(J52="Х","2",IF(L52="Х","3",IF(N52="Х","4",IF(P52="Х","5",IF(R52="Х","6",IF(T52="Х","7",IF(V52="Х","8"))))))))</f>
        <v>0</v>
      </c>
      <c r="AA52" s="415">
        <f>SUM(G52+I52+K52+M52+O52+Q52+S52+U52+W52+Y52)</f>
        <v>0</v>
      </c>
      <c r="AB52" s="426">
        <f t="shared" ref="AB52" si="136">AD52+0</f>
        <v>20607</v>
      </c>
      <c r="AC52" s="383">
        <f>AB52</f>
        <v>20607</v>
      </c>
      <c r="AD52" s="384" t="str">
        <f>COUNTIF(AE$6:AE$119,"&gt;"&amp;AE$6:AE$119)+1&amp;REPT("-"&amp;COUNTIF(AE$6:AE$119,"&gt;="&amp;AE$6:AE$119),COUNTIF(AE$6:AE$119,AE52)&gt;1)</f>
        <v>6-56</v>
      </c>
      <c r="AE52" s="385">
        <f t="shared" si="44"/>
        <v>80</v>
      </c>
      <c r="AF52" s="387" t="str">
        <f>IF(OR(F52="Х",F52="св")," ",IF(AND(G52&gt;=0,G52&lt;3),"1"," "))</f>
        <v>1</v>
      </c>
      <c r="AG52" s="387" t="str">
        <f>IF(OR(H52="Х",H52="св")," ",IF(AND(I52&gt;=0,I52&lt;3),"1"," "))</f>
        <v>1</v>
      </c>
      <c r="AH52" s="387" t="str">
        <f>IF(OR(J52="Х",J52="св")," ",IF(AND(K52&gt;=0,K52&lt;3),"1"," "))</f>
        <v>1</v>
      </c>
      <c r="AI52" s="387" t="str">
        <f>IF(OR(L52="Х",L52="св")," ",IF(AND(M52&gt;=0,M52&lt;3),"1"," "))</f>
        <v>1</v>
      </c>
      <c r="AJ52" s="387" t="str">
        <f>IF(OR(N52="Х",N52="св")," ",IF(AND(O52&gt;=0,O52&lt;3),"1"," "))</f>
        <v>1</v>
      </c>
      <c r="AK52" s="387" t="str">
        <f>IF(OR(P52="Х",P52="св")," ",IF(AND(Q52&gt;=0,Q52&lt;3),"1"," "))</f>
        <v>1</v>
      </c>
      <c r="AL52" s="387" t="str">
        <f>IF(OR(R52="Х",R52="св")," ",IF(AND(S52&gt;=0,S52&lt;3),"1"," "))</f>
        <v>1</v>
      </c>
      <c r="AM52" s="387" t="str">
        <f>IF(OR(T52="Х",T52="св")," ",IF(AND(U52&gt;=0,U52&lt;3),"1"," "))</f>
        <v>1</v>
      </c>
      <c r="AN52" s="388">
        <f>COUNTIF(AF52:AM53,1)</f>
        <v>8</v>
      </c>
      <c r="AO52" s="390">
        <f>AE52-AA52</f>
        <v>80</v>
      </c>
      <c r="AP52" s="391">
        <f t="shared" si="10"/>
        <v>0</v>
      </c>
      <c r="AQ52" s="384" t="str">
        <f>COUNTIF(AE$6:AE$119,"&gt;"&amp;AE$6:AE$119)+1&amp;REPT("-"&amp;COUNTIF(AE$6:AE$119,"&gt;="&amp;AE$6:AE$119),COUNTIF(AE$6:AE$119,AE52)&gt;1)</f>
        <v>6-56</v>
      </c>
      <c r="AR52" s="392"/>
      <c r="AS52" s="183"/>
      <c r="AT52" s="183"/>
      <c r="AU52" s="183"/>
      <c r="AV52" s="383">
        <f t="shared" si="64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4">
        <f>IF(J52="х"," ",B52)</f>
        <v>23</v>
      </c>
      <c r="BV52" s="374">
        <f>IF(L52="х"," ",B52)</f>
        <v>23</v>
      </c>
      <c r="BW52" s="374" t="str">
        <f>IF(BV52=" "," ",L52)</f>
        <v xml:space="preserve"> </v>
      </c>
      <c r="BX52" s="374" t="str">
        <f>IF(BU52=" "," ",J52)</f>
        <v xml:space="preserve"> </v>
      </c>
      <c r="BY52" s="61">
        <f>IF(BU52&lt;BX52,BU52,0)</f>
        <v>23</v>
      </c>
      <c r="BZ52" s="61">
        <f t="shared" si="8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49</v>
      </c>
      <c r="CF52" s="374">
        <f>IF(N52="х"," ",B52)</f>
        <v>23</v>
      </c>
      <c r="CG52" s="374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49</v>
      </c>
      <c r="CL52" s="374">
        <f>IF(P52="х"," ",B52)</f>
        <v>23</v>
      </c>
      <c r="CM52" s="374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49</v>
      </c>
      <c r="CR52" s="374">
        <f t="shared" ref="CR52" si="137">IF(R52="х"," ",B52)</f>
        <v>23</v>
      </c>
      <c r="CS52" s="374" t="str">
        <f t="shared" ref="CS52" si="138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49</v>
      </c>
    </row>
    <row r="53" spans="1:100" ht="12" hidden="1" customHeight="1" thickBot="1">
      <c r="A53" s="201"/>
      <c r="B53" s="412"/>
      <c r="C53" s="421"/>
      <c r="D53" s="423"/>
      <c r="E53" s="425"/>
      <c r="F53" s="438"/>
      <c r="G53" s="44"/>
      <c r="H53" s="435"/>
      <c r="I53" s="44"/>
      <c r="J53" s="435"/>
      <c r="K53" s="44"/>
      <c r="L53" s="435"/>
      <c r="M53" s="44"/>
      <c r="N53" s="435"/>
      <c r="O53" s="44"/>
      <c r="P53" s="435"/>
      <c r="Q53" s="44"/>
      <c r="R53" s="435"/>
      <c r="S53" s="44"/>
      <c r="T53" s="435"/>
      <c r="U53" s="47"/>
      <c r="V53" s="435"/>
      <c r="W53" s="44"/>
      <c r="X53" s="435"/>
      <c r="Y53" s="44"/>
      <c r="Z53" s="427"/>
      <c r="AA53" s="416"/>
      <c r="AB53" s="427"/>
      <c r="AC53" s="383"/>
      <c r="AD53" s="384"/>
      <c r="AE53" s="386"/>
      <c r="AF53" s="387"/>
      <c r="AG53" s="387"/>
      <c r="AH53" s="387"/>
      <c r="AI53" s="387"/>
      <c r="AJ53" s="387"/>
      <c r="AK53" s="387"/>
      <c r="AL53" s="387"/>
      <c r="AM53" s="387"/>
      <c r="AN53" s="389"/>
      <c r="AO53" s="384"/>
      <c r="AP53" s="391"/>
      <c r="AQ53" s="384"/>
      <c r="AR53" s="392"/>
      <c r="AS53" s="183"/>
      <c r="AT53" s="183"/>
      <c r="AU53" s="183"/>
      <c r="AV53" s="383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4"/>
      <c r="BV53" s="374"/>
      <c r="BW53" s="374"/>
      <c r="BX53" s="374"/>
      <c r="BY53" s="61" t="str">
        <f>IF(BY52&gt;=1,BX52,0)</f>
        <v xml:space="preserve"> </v>
      </c>
      <c r="BZ53" s="61" t="str">
        <f t="shared" si="8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50</v>
      </c>
      <c r="CF53" s="374"/>
      <c r="CG53" s="374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50</v>
      </c>
      <c r="CL53" s="374"/>
      <c r="CM53" s="374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50</v>
      </c>
      <c r="CR53" s="374"/>
      <c r="CS53" s="374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50</v>
      </c>
    </row>
    <row r="54" spans="1:100" ht="12" hidden="1" customHeight="1" thickTop="1">
      <c r="A54" s="201"/>
      <c r="B54" s="428">
        <v>24</v>
      </c>
      <c r="C54" s="420" t="e">
        <f>(VLOOKUP(B54,пр.взв!$B$7:$H$76,2,0))</f>
        <v>#N/A</v>
      </c>
      <c r="D54" s="422" t="e">
        <f>(VLOOKUP(B54,пр.взв!$B$7:$H$76,3,0))</f>
        <v>#N/A</v>
      </c>
      <c r="E54" s="424" t="e">
        <f>(VLOOKUP(B54,пр.взв!$B$7:$H$76,5,0))</f>
        <v>#N/A</v>
      </c>
      <c r="F54" s="439">
        <f t="shared" si="49"/>
        <v>0</v>
      </c>
      <c r="G54" s="41"/>
      <c r="H54" s="436"/>
      <c r="I54" s="41"/>
      <c r="J54" s="436" t="str">
        <f t="shared" si="20"/>
        <v xml:space="preserve"> </v>
      </c>
      <c r="K54" s="41"/>
      <c r="L54" s="434" t="str">
        <f t="shared" ref="L54" si="139">IF(J54="Х","Х",IF(K54&lt;2.5," ",IF(K54&gt;=2.5,IF(G54+I54+K54&gt;=6,"Х",IF(AA54&lt;6," "," ")))))</f>
        <v xml:space="preserve"> </v>
      </c>
      <c r="M54" s="41"/>
      <c r="N54" s="436" t="str">
        <f>IF(L54="Х","Х",IF(M54&lt;2.5," ",IF(M54&gt;=2.5,IF(G54+I54+K54+M54&gt;=6,"Х",IF(AA54&lt;6," "," ")))))</f>
        <v xml:space="preserve"> </v>
      </c>
      <c r="O54" s="41"/>
      <c r="P54" s="436" t="str">
        <f>IF(N54="Х","Х",IF(O54&lt;2.5," ",IF(O54&gt;=2.5,IF(G54+I54+K54+M54+O54&gt;=6,"Х",IF(AA54&lt;6," "," ")))))</f>
        <v xml:space="preserve"> </v>
      </c>
      <c r="Q54" s="41"/>
      <c r="R54" s="436" t="str">
        <f>IF(P54="Х","Х",IF(Q54&lt;2.5," ",IF(Q54&gt;=2.5,IF(G54+I54+K54+M54+O54+Q54&gt;=6,"Х",IF(AA54&lt;6," "," ")))))</f>
        <v xml:space="preserve"> </v>
      </c>
      <c r="S54" s="41"/>
      <c r="T54" s="436" t="str">
        <f>IF(R54="Х","Х",IF(S54&lt;2.5," ",IF(S54&gt;=2.5,IF(G54+I54+K54+M54+O54+Q54+S54&gt;=6,"Х",IF(AA54&lt;6," "," ")))))</f>
        <v xml:space="preserve"> </v>
      </c>
      <c r="U54" s="45"/>
      <c r="V54" s="434" t="str">
        <f>IF(T54="А1",$AX$7,IF(T54="Б2",$AX$6,IF(T54="Б1",$AY$7,IF(T54="А2",$AY$6,IF(T54="Х","Х",IF(T54&lt;6," "," "))))))</f>
        <v xml:space="preserve"> </v>
      </c>
      <c r="W54" s="41"/>
      <c r="X54" s="434" t="str">
        <f t="shared" ref="X54" si="140">IF(T54="Х","Х",IF(ISBLANK(W54),"",IF(W54&gt;2.5," ",IF(B54=AZ$6,AZ$7,AZ$6))))</f>
        <v/>
      </c>
      <c r="Y54" s="41"/>
      <c r="Z54" s="418" t="b">
        <f>IF(H54="Х","1",IF(J54="Х","2",IF(L54="Х","3",IF(N54="Х","4",IF(P54="Х","5",IF(R54="Х","6",IF(T54="Х","7",IF(V54="Х","8"))))))))</f>
        <v>0</v>
      </c>
      <c r="AA54" s="417">
        <f>SUM(G54+I54+K54+M54+O54+Q54+S54+U54+W54+Y54)</f>
        <v>0</v>
      </c>
      <c r="AB54" s="426">
        <f t="shared" ref="AB54" si="141">AD54+0</f>
        <v>20607</v>
      </c>
      <c r="AC54" s="383">
        <f>AB54</f>
        <v>20607</v>
      </c>
      <c r="AD54" s="384" t="str">
        <f>COUNTIF(AE$6:AE$119,"&gt;"&amp;AE$6:AE$119)+1&amp;REPT("-"&amp;COUNTIF(AE$6:AE$119,"&gt;="&amp;AE$6:AE$119),COUNTIF(AE$6:AE$119,AE54)&gt;1)</f>
        <v>6-56</v>
      </c>
      <c r="AE54" s="385">
        <f t="shared" si="44"/>
        <v>80</v>
      </c>
      <c r="AF54" s="387" t="str">
        <f>IF(OR(F54="Х",F54="св")," ",IF(AND(G54&gt;=0,G54&lt;3),"1"," "))</f>
        <v>1</v>
      </c>
      <c r="AG54" s="387" t="str">
        <f>IF(OR(H54="Х",H54="св")," ",IF(AND(I54&gt;=0,I54&lt;3),"1"," "))</f>
        <v>1</v>
      </c>
      <c r="AH54" s="387" t="str">
        <f>IF(OR(J54="Х",J54="св")," ",IF(AND(K54&gt;=0,K54&lt;3),"1"," "))</f>
        <v>1</v>
      </c>
      <c r="AI54" s="387" t="str">
        <f>IF(OR(L54="Х",L54="св")," ",IF(AND(M54&gt;=0,M54&lt;3),"1"," "))</f>
        <v>1</v>
      </c>
      <c r="AJ54" s="387" t="str">
        <f>IF(OR(N54="Х",N54="св")," ",IF(AND(O54&gt;=0,O54&lt;3),"1"," "))</f>
        <v>1</v>
      </c>
      <c r="AK54" s="387" t="str">
        <f>IF(OR(P54="Х",P54="св")," ",IF(AND(Q54&gt;=0,Q54&lt;3),"1"," "))</f>
        <v>1</v>
      </c>
      <c r="AL54" s="387" t="str">
        <f>IF(OR(R54="Х",R54="св")," ",IF(AND(S54&gt;=0,S54&lt;3),"1"," "))</f>
        <v>1</v>
      </c>
      <c r="AM54" s="387" t="str">
        <f>IF(OR(T54="Х",T54="св")," ",IF(AND(U54&gt;=0,U54&lt;3),"1"," "))</f>
        <v>1</v>
      </c>
      <c r="AN54" s="388">
        <f>COUNTIF(AF54:AM55,1)</f>
        <v>8</v>
      </c>
      <c r="AO54" s="390">
        <f>AE54-AA54</f>
        <v>80</v>
      </c>
      <c r="AP54" s="391">
        <f t="shared" si="10"/>
        <v>0</v>
      </c>
      <c r="AQ54" s="384" t="str">
        <f>COUNTIF(AE$6:AE$119,"&gt;"&amp;AE$6:AE$119)+1&amp;REPT("-"&amp;COUNTIF(AE$6:AE$119,"&gt;="&amp;AE$6:AE$119),COUNTIF(AE$6:AE$119,AE54)&gt;1)</f>
        <v>6-56</v>
      </c>
      <c r="AR54" s="392"/>
      <c r="AS54" s="183"/>
      <c r="AT54" s="183"/>
      <c r="AU54" s="183"/>
      <c r="AV54" s="383">
        <f t="shared" si="64"/>
        <v>24</v>
      </c>
      <c r="AW54" s="19"/>
      <c r="AX54" s="19"/>
      <c r="AY54" s="19"/>
      <c r="AZ54" s="19"/>
      <c r="BU54" s="374">
        <f>IF(J54="х"," ",B54)</f>
        <v>24</v>
      </c>
      <c r="BV54" s="374">
        <f>IF(L54="х"," ",B54)</f>
        <v>24</v>
      </c>
      <c r="BW54" s="374" t="str">
        <f>IF(BV54=" "," ",L54)</f>
        <v xml:space="preserve"> </v>
      </c>
      <c r="BX54" s="374" t="str">
        <f>IF(BU54=" "," ",J54)</f>
        <v xml:space="preserve"> </v>
      </c>
      <c r="BY54" s="61">
        <f>IF(BU54&lt;BX54,BU54,0)</f>
        <v>24</v>
      </c>
      <c r="BZ54" s="61">
        <f t="shared" si="8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51</v>
      </c>
      <c r="CF54" s="374">
        <f>IF(N54="х"," ",B54)</f>
        <v>24</v>
      </c>
      <c r="CG54" s="374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51</v>
      </c>
      <c r="CL54" s="374">
        <f>IF(P54="х"," ",B54)</f>
        <v>24</v>
      </c>
      <c r="CM54" s="374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51</v>
      </c>
      <c r="CR54" s="374">
        <f t="shared" ref="CR54" si="142">IF(R54="х"," ",B54)</f>
        <v>24</v>
      </c>
      <c r="CS54" s="374" t="str">
        <f t="shared" ref="CS54" si="143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51</v>
      </c>
    </row>
    <row r="55" spans="1:100" ht="12" hidden="1" customHeight="1" thickBot="1">
      <c r="A55" s="201"/>
      <c r="B55" s="429"/>
      <c r="C55" s="421"/>
      <c r="D55" s="423"/>
      <c r="E55" s="425"/>
      <c r="F55" s="438"/>
      <c r="G55" s="59"/>
      <c r="H55" s="435"/>
      <c r="I55" s="44"/>
      <c r="J55" s="435"/>
      <c r="K55" s="44"/>
      <c r="L55" s="435"/>
      <c r="M55" s="44"/>
      <c r="N55" s="435"/>
      <c r="O55" s="44"/>
      <c r="P55" s="435"/>
      <c r="Q55" s="44"/>
      <c r="R55" s="435"/>
      <c r="S55" s="44"/>
      <c r="T55" s="435"/>
      <c r="U55" s="47"/>
      <c r="V55" s="435"/>
      <c r="W55" s="44"/>
      <c r="X55" s="435"/>
      <c r="Y55" s="44"/>
      <c r="Z55" s="419"/>
      <c r="AA55" s="416"/>
      <c r="AB55" s="427"/>
      <c r="AC55" s="383"/>
      <c r="AD55" s="384"/>
      <c r="AE55" s="386"/>
      <c r="AF55" s="387"/>
      <c r="AG55" s="387"/>
      <c r="AH55" s="387"/>
      <c r="AI55" s="387"/>
      <c r="AJ55" s="387"/>
      <c r="AK55" s="387"/>
      <c r="AL55" s="387"/>
      <c r="AM55" s="387"/>
      <c r="AN55" s="389"/>
      <c r="AO55" s="384"/>
      <c r="AP55" s="391"/>
      <c r="AQ55" s="384"/>
      <c r="AR55" s="392"/>
      <c r="AS55" s="183"/>
      <c r="AT55" s="183"/>
      <c r="AU55" s="183"/>
      <c r="AV55" s="383"/>
      <c r="AW55" s="19"/>
      <c r="AX55" s="19"/>
      <c r="AY55" s="19"/>
      <c r="AZ55" s="19"/>
      <c r="BU55" s="374"/>
      <c r="BV55" s="374"/>
      <c r="BW55" s="374"/>
      <c r="BX55" s="374"/>
      <c r="BY55" s="61" t="str">
        <f>IF(BY54&gt;=1,BX54,0)</f>
        <v xml:space="preserve"> </v>
      </c>
      <c r="BZ55" s="61" t="str">
        <f t="shared" si="8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52</v>
      </c>
      <c r="CF55" s="374"/>
      <c r="CG55" s="374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52</v>
      </c>
      <c r="CL55" s="374"/>
      <c r="CM55" s="374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52</v>
      </c>
      <c r="CR55" s="374"/>
      <c r="CS55" s="374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52</v>
      </c>
    </row>
    <row r="56" spans="1:100" ht="12" hidden="1" customHeight="1" thickTop="1">
      <c r="A56" s="201"/>
      <c r="B56" s="428">
        <v>25</v>
      </c>
      <c r="C56" s="420" t="e">
        <f>(VLOOKUP(B56,пр.взв!$B$7:$H$76,2,0))</f>
        <v>#N/A</v>
      </c>
      <c r="D56" s="422" t="e">
        <f>(VLOOKUP(B56,пр.взв!$B$7:$H$76,3,0))</f>
        <v>#N/A</v>
      </c>
      <c r="E56" s="424" t="e">
        <f>(VLOOKUP(B56,пр.взв!$B$7:$H$76,5,0))</f>
        <v>#N/A</v>
      </c>
      <c r="F56" s="440">
        <f t="shared" ref="F56" si="144">IF(ISERROR(C56),0,B58)</f>
        <v>0</v>
      </c>
      <c r="G56" s="41"/>
      <c r="H56" s="436"/>
      <c r="I56" s="41"/>
      <c r="J56" s="436" t="str">
        <f t="shared" si="20"/>
        <v xml:space="preserve"> </v>
      </c>
      <c r="K56" s="41"/>
      <c r="L56" s="434" t="str">
        <f t="shared" ref="L56" si="145">IF(J56="Х","Х",IF(K56&lt;2.5," ",IF(K56&gt;=2.5,IF(G56+I56+K56&gt;=6,"Х",IF(AA56&lt;6," "," ")))))</f>
        <v xml:space="preserve"> </v>
      </c>
      <c r="M56" s="41"/>
      <c r="N56" s="436" t="str">
        <f>IF(L56="Х","Х",IF(M56&lt;2.5," ",IF(M56&gt;=2.5,IF(G56+I56+K56+M56&gt;=6,"Х",IF(AA56&lt;6," "," ")))))</f>
        <v xml:space="preserve"> </v>
      </c>
      <c r="O56" s="41"/>
      <c r="P56" s="436" t="str">
        <f>IF(N56="Х","Х",IF(O56&lt;2.5," ",IF(O56&gt;=2.5,IF(G56+I56+K56+M56+O56&gt;=6,"Х",IF(AA56&lt;6," "," ")))))</f>
        <v xml:space="preserve"> </v>
      </c>
      <c r="Q56" s="41"/>
      <c r="R56" s="436" t="str">
        <f>IF(P56="Х","Х",IF(Q56&lt;2.5," ",IF(Q56&gt;=2.5,IF(G56+I56+K56+M56+O56+Q56&gt;=6,"Х",IF(AA56&lt;6," "," ")))))</f>
        <v xml:space="preserve"> </v>
      </c>
      <c r="S56" s="41"/>
      <c r="T56" s="436" t="str">
        <f>IF(R56="Х","Х",IF(S56&lt;2.5," ",IF(S56&gt;=2.5,IF(G56+I56+K56+M56+O56+Q56+S56&gt;=6,"Х",IF(AA56&lt;6," "," ")))))</f>
        <v xml:space="preserve"> </v>
      </c>
      <c r="U56" s="45"/>
      <c r="V56" s="434" t="str">
        <f>IF(T56="А1",$AX$7,IF(T56="Б2",$AX$6,IF(T56="Б1",$AY$7,IF(T56="А2",$AY$6,IF(T56="Х","Х",IF(T56&lt;6," "," "))))))</f>
        <v xml:space="preserve"> </v>
      </c>
      <c r="W56" s="41"/>
      <c r="X56" s="434" t="str">
        <f t="shared" ref="X56" si="146">IF(T56="Х","Х",IF(ISBLANK(W56),"",IF(W56&gt;2.5," ",IF(B56=AZ$6,AZ$7,AZ$6))))</f>
        <v/>
      </c>
      <c r="Y56" s="41"/>
      <c r="Z56" s="418" t="b">
        <f>IF(H56="Х","1",IF(J56="Х","2",IF(L56="Х","3",IF(N56="Х","4",IF(P56="Х","5",IF(R56="Х","6",IF(T56="Х","7",IF(V56="Х","8"))))))))</f>
        <v>0</v>
      </c>
      <c r="AA56" s="417">
        <f>SUM(G56+I56+K56+M56+O56+Q56+S56+U56+W56+Y56)</f>
        <v>0</v>
      </c>
      <c r="AB56" s="426">
        <f t="shared" ref="AB56" si="147">AD56+0</f>
        <v>20607</v>
      </c>
      <c r="AC56" s="383">
        <f>AB56</f>
        <v>20607</v>
      </c>
      <c r="AD56" s="384" t="str">
        <f>COUNTIF(AE$6:AE$119,"&gt;"&amp;AE$6:AE$119)+1&amp;REPT("-"&amp;COUNTIF(AE$6:AE$119,"&gt;="&amp;AE$6:AE$119),COUNTIF(AE$6:AE$119,AE56)&gt;1)</f>
        <v>6-56</v>
      </c>
      <c r="AE56" s="385">
        <f t="shared" si="44"/>
        <v>80</v>
      </c>
      <c r="AF56" s="387" t="str">
        <f>IF(OR(F56="Х",F56="св")," ",IF(AND(G56&gt;=0,G56&lt;3),"1"," "))</f>
        <v>1</v>
      </c>
      <c r="AG56" s="387" t="str">
        <f>IF(OR(H56="Х",H56="св")," ",IF(AND(I56&gt;=0,I56&lt;3),"1"," "))</f>
        <v>1</v>
      </c>
      <c r="AH56" s="387" t="str">
        <f>IF(OR(J56="Х",J56="св")," ",IF(AND(K56&gt;=0,K56&lt;3),"1"," "))</f>
        <v>1</v>
      </c>
      <c r="AI56" s="387" t="str">
        <f>IF(OR(L56="Х",L56="св")," ",IF(AND(M56&gt;=0,M56&lt;3),"1"," "))</f>
        <v>1</v>
      </c>
      <c r="AJ56" s="387" t="str">
        <f>IF(OR(N56="Х",N56="св")," ",IF(AND(O56&gt;=0,O56&lt;3),"1"," "))</f>
        <v>1</v>
      </c>
      <c r="AK56" s="387" t="str">
        <f>IF(OR(P56="Х",P56="св")," ",IF(AND(Q56&gt;=0,Q56&lt;3),"1"," "))</f>
        <v>1</v>
      </c>
      <c r="AL56" s="387" t="str">
        <f>IF(OR(R56="Х",R56="св")," ",IF(AND(S56&gt;=0,S56&lt;3),"1"," "))</f>
        <v>1</v>
      </c>
      <c r="AM56" s="387" t="str">
        <f>IF(OR(T56="Х",T56="св")," ",IF(AND(U56&gt;=0,U56&lt;3),"1"," "))</f>
        <v>1</v>
      </c>
      <c r="AN56" s="388">
        <f>COUNTIF(AF56:AM57,1)</f>
        <v>8</v>
      </c>
      <c r="AO56" s="390">
        <f>AE56-AA56</f>
        <v>80</v>
      </c>
      <c r="AP56" s="391">
        <f t="shared" si="10"/>
        <v>0</v>
      </c>
      <c r="AQ56" s="384" t="str">
        <f>COUNTIF(AE$6:AE$119,"&gt;"&amp;AE$6:AE$119)+1&amp;REPT("-"&amp;COUNTIF(AE$6:AE$119,"&gt;="&amp;AE$6:AE$119),COUNTIF(AE$6:AE$119,AE56)&gt;1)</f>
        <v>6-56</v>
      </c>
      <c r="AR56" s="392"/>
      <c r="AS56" s="183"/>
      <c r="AT56" s="183"/>
      <c r="AU56" s="183"/>
      <c r="AV56" s="383">
        <f t="shared" si="64"/>
        <v>25</v>
      </c>
      <c r="AW56" s="19"/>
      <c r="AX56" s="19"/>
      <c r="AY56" s="19"/>
      <c r="AZ56" s="19"/>
      <c r="BU56" s="374">
        <f>IF(J56="х"," ",B56)</f>
        <v>25</v>
      </c>
      <c r="BV56" s="374">
        <f>IF(L56="х"," ",B56)</f>
        <v>25</v>
      </c>
      <c r="BW56" s="374" t="str">
        <f>IF(BV56=" "," ",L56)</f>
        <v xml:space="preserve"> </v>
      </c>
      <c r="BX56" s="374" t="str">
        <f>IF(BU56=" "," ",J56)</f>
        <v xml:space="preserve"> </v>
      </c>
      <c r="BY56" s="61">
        <f>IF(BU56&lt;BX56,BU56,0)</f>
        <v>25</v>
      </c>
      <c r="BZ56" s="61">
        <f t="shared" si="8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53</v>
      </c>
      <c r="CF56" s="374">
        <f>IF(N56="х"," ",B56)</f>
        <v>25</v>
      </c>
      <c r="CG56" s="374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53</v>
      </c>
      <c r="CL56" s="374">
        <f>IF(P56="х"," ",B56)</f>
        <v>25</v>
      </c>
      <c r="CM56" s="374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53</v>
      </c>
      <c r="CR56" s="374">
        <f t="shared" ref="CR56" si="148">IF(R56="х"," ",B56)</f>
        <v>25</v>
      </c>
      <c r="CS56" s="374" t="str">
        <f t="shared" ref="CS56" si="149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53</v>
      </c>
    </row>
    <row r="57" spans="1:100" ht="12" hidden="1" customHeight="1" thickBot="1">
      <c r="A57" s="201"/>
      <c r="B57" s="429"/>
      <c r="C57" s="421"/>
      <c r="D57" s="423"/>
      <c r="E57" s="425"/>
      <c r="F57" s="438"/>
      <c r="G57" s="44"/>
      <c r="H57" s="435"/>
      <c r="I57" s="44"/>
      <c r="J57" s="435"/>
      <c r="K57" s="44"/>
      <c r="L57" s="435"/>
      <c r="M57" s="44"/>
      <c r="N57" s="435"/>
      <c r="O57" s="44"/>
      <c r="P57" s="435"/>
      <c r="Q57" s="44"/>
      <c r="R57" s="435"/>
      <c r="S57" s="44"/>
      <c r="T57" s="435"/>
      <c r="U57" s="47"/>
      <c r="V57" s="435"/>
      <c r="W57" s="44"/>
      <c r="X57" s="435"/>
      <c r="Y57" s="44"/>
      <c r="Z57" s="419"/>
      <c r="AA57" s="416"/>
      <c r="AB57" s="427"/>
      <c r="AC57" s="383"/>
      <c r="AD57" s="384"/>
      <c r="AE57" s="386"/>
      <c r="AF57" s="387"/>
      <c r="AG57" s="387"/>
      <c r="AH57" s="387"/>
      <c r="AI57" s="387"/>
      <c r="AJ57" s="387"/>
      <c r="AK57" s="387"/>
      <c r="AL57" s="387"/>
      <c r="AM57" s="387"/>
      <c r="AN57" s="389"/>
      <c r="AO57" s="384"/>
      <c r="AP57" s="391"/>
      <c r="AQ57" s="384"/>
      <c r="AR57" s="392"/>
      <c r="AS57" s="183"/>
      <c r="AT57" s="183"/>
      <c r="AU57" s="183"/>
      <c r="AV57" s="383"/>
      <c r="AW57" s="19"/>
      <c r="AX57" s="19"/>
      <c r="AY57" s="19"/>
      <c r="AZ57" s="19"/>
      <c r="BU57" s="374"/>
      <c r="BV57" s="374"/>
      <c r="BW57" s="374"/>
      <c r="BX57" s="374"/>
      <c r="BY57" s="61" t="str">
        <f>IF(BY56&gt;=1,BX56,0)</f>
        <v xml:space="preserve"> </v>
      </c>
      <c r="BZ57" s="61" t="str">
        <f t="shared" si="8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54</v>
      </c>
      <c r="CF57" s="374"/>
      <c r="CG57" s="374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54</v>
      </c>
      <c r="CL57" s="374"/>
      <c r="CM57" s="374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54</v>
      </c>
      <c r="CR57" s="374"/>
      <c r="CS57" s="374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54</v>
      </c>
    </row>
    <row r="58" spans="1:100" ht="12" hidden="1" customHeight="1" thickTop="1">
      <c r="A58" s="201"/>
      <c r="B58" s="431">
        <v>26</v>
      </c>
      <c r="C58" s="420" t="e">
        <f>(VLOOKUP(B58,пр.взв!$B$7:$H$76,2,0))</f>
        <v>#N/A</v>
      </c>
      <c r="D58" s="422" t="e">
        <f>(VLOOKUP(B58,пр.взв!$B$7:$H$76,3,0))</f>
        <v>#N/A</v>
      </c>
      <c r="E58" s="424" t="e">
        <f>(VLOOKUP(B58,пр.взв!$B$7:$H$76,5,0))</f>
        <v>#N/A</v>
      </c>
      <c r="F58" s="439">
        <f t="shared" ref="F58" si="150">IF(ISERROR(C58),0,B56)</f>
        <v>0</v>
      </c>
      <c r="G58" s="41"/>
      <c r="H58" s="436"/>
      <c r="I58" s="41"/>
      <c r="J58" s="436" t="str">
        <f t="shared" si="20"/>
        <v xml:space="preserve"> </v>
      </c>
      <c r="K58" s="41"/>
      <c r="L58" s="434" t="str">
        <f t="shared" ref="L58" si="151">IF(J58="Х","Х",IF(K58&lt;2.5," ",IF(K58&gt;=2.5,IF(G58+I58+K58&gt;=6,"Х",IF(AA58&lt;6," "," ")))))</f>
        <v xml:space="preserve"> </v>
      </c>
      <c r="M58" s="41"/>
      <c r="N58" s="436" t="str">
        <f>IF(L58="Х","Х",IF(M58&lt;2.5," ",IF(M58&gt;=2.5,IF(G58+I58+K58+M58&gt;=6,"Х",IF(AA58&lt;6," "," ")))))</f>
        <v xml:space="preserve"> </v>
      </c>
      <c r="O58" s="41"/>
      <c r="P58" s="436" t="str">
        <f>IF(N58="Х","Х",IF(O58&lt;2.5," ",IF(O58&gt;=2.5,IF(G58+I58+K58+M58+O58&gt;=6,"Х",IF(AA58&lt;6," "," ")))))</f>
        <v xml:space="preserve"> </v>
      </c>
      <c r="Q58" s="41"/>
      <c r="R58" s="436" t="str">
        <f>IF(P58="Х","Х",IF(Q58&lt;2.5," ",IF(Q58&gt;=2.5,IF(G58+I58+K58+M58+O58+Q58&gt;=6,"Х",IF(AA58&lt;6," "," ")))))</f>
        <v xml:space="preserve"> </v>
      </c>
      <c r="S58" s="41"/>
      <c r="T58" s="436" t="str">
        <f>IF(R58="Х","Х",IF(S58&lt;2.5," ",IF(S58&gt;=2.5,IF(G58+I58+K58+M58+O58+Q58+S58&gt;=6,"Х",IF(AA58&lt;6," "," ")))))</f>
        <v xml:space="preserve"> </v>
      </c>
      <c r="U58" s="45"/>
      <c r="V58" s="434" t="str">
        <f>IF(T58="А1",$AX$7,IF(T58="Б2",$AX$6,IF(T58="Б1",$AY$7,IF(T58="А2",$AY$6,IF(T58="Х","Х",IF(T58&lt;6," "," "))))))</f>
        <v xml:space="preserve"> </v>
      </c>
      <c r="W58" s="41"/>
      <c r="X58" s="434" t="str">
        <f t="shared" ref="X58" si="152">IF(T58="Х","Х",IF(ISBLANK(W58),"",IF(W58&gt;2.5," ",IF(B58=AZ$6,AZ$7,AZ$6))))</f>
        <v/>
      </c>
      <c r="Y58" s="41"/>
      <c r="Z58" s="418" t="b">
        <f>IF(H58="Х","1",IF(J58="Х","2",IF(L58="Х","3",IF(N58="Х","4",IF(P58="Х","5",IF(R58="Х","6",IF(T58="Х","7",IF(V58="Х","8"))))))))</f>
        <v>0</v>
      </c>
      <c r="AA58" s="417">
        <f>SUM(G58+I58+K58+M58+O58+Q58+S58+U58+W58+Y58)</f>
        <v>0</v>
      </c>
      <c r="AB58" s="426">
        <f t="shared" ref="AB58" si="153">AD58+0</f>
        <v>20607</v>
      </c>
      <c r="AC58" s="383">
        <f>AB58</f>
        <v>20607</v>
      </c>
      <c r="AD58" s="384" t="str">
        <f>COUNTIF(AE$6:AE$119,"&gt;"&amp;AE$6:AE$119)+1&amp;REPT("-"&amp;COUNTIF(AE$6:AE$119,"&gt;="&amp;AE$6:AE$119),COUNTIF(AE$6:AE$119,AE58)&gt;1)</f>
        <v>6-56</v>
      </c>
      <c r="AE58" s="385">
        <f t="shared" si="44"/>
        <v>80</v>
      </c>
      <c r="AF58" s="387" t="str">
        <f>IF(OR(F58="Х",F58="св")," ",IF(AND(G58&gt;=0,G58&lt;3),"1"," "))</f>
        <v>1</v>
      </c>
      <c r="AG58" s="387" t="str">
        <f>IF(OR(H58="Х",H58="св")," ",IF(AND(I58&gt;=0,I58&lt;3),"1"," "))</f>
        <v>1</v>
      </c>
      <c r="AH58" s="387" t="str">
        <f>IF(OR(J58="Х",J58="св")," ",IF(AND(K58&gt;=0,K58&lt;3),"1"," "))</f>
        <v>1</v>
      </c>
      <c r="AI58" s="387" t="str">
        <f>IF(OR(L58="Х",L58="св")," ",IF(AND(M58&gt;=0,M58&lt;3),"1"," "))</f>
        <v>1</v>
      </c>
      <c r="AJ58" s="387" t="str">
        <f>IF(OR(N58="Х",N58="св")," ",IF(AND(O58&gt;=0,O58&lt;3),"1"," "))</f>
        <v>1</v>
      </c>
      <c r="AK58" s="387" t="str">
        <f>IF(OR(P58="Х",P58="св")," ",IF(AND(Q58&gt;=0,Q58&lt;3),"1"," "))</f>
        <v>1</v>
      </c>
      <c r="AL58" s="387" t="str">
        <f>IF(OR(R58="Х",R58="св")," ",IF(AND(S58&gt;=0,S58&lt;3),"1"," "))</f>
        <v>1</v>
      </c>
      <c r="AM58" s="387" t="str">
        <f>IF(OR(T58="Х",T58="св")," ",IF(AND(U58&gt;=0,U58&lt;3),"1"," "))</f>
        <v>1</v>
      </c>
      <c r="AN58" s="388">
        <f>COUNTIF(AF58:AM59,1)</f>
        <v>8</v>
      </c>
      <c r="AO58" s="390">
        <f>AE58-AA58</f>
        <v>80</v>
      </c>
      <c r="AP58" s="391">
        <f t="shared" si="10"/>
        <v>0</v>
      </c>
      <c r="AQ58" s="384" t="str">
        <f>COUNTIF(AE$6:AE$119,"&gt;"&amp;AE$6:AE$119)+1&amp;REPT("-"&amp;COUNTIF(AE$6:AE$119,"&gt;="&amp;AE$6:AE$119),COUNTIF(AE$6:AE$119,AE58)&gt;1)</f>
        <v>6-56</v>
      </c>
      <c r="AR58" s="392"/>
      <c r="AS58" s="183"/>
      <c r="AT58" s="183"/>
      <c r="AU58" s="183"/>
      <c r="AV58" s="383">
        <f t="shared" si="64"/>
        <v>26</v>
      </c>
      <c r="AW58" s="19"/>
      <c r="AX58" s="19"/>
      <c r="AY58" s="19"/>
      <c r="AZ58" s="19"/>
      <c r="BU58" s="374">
        <f>IF(J58="х"," ",B58)</f>
        <v>26</v>
      </c>
      <c r="BV58" s="374">
        <f>IF(L58="х"," ",B58)</f>
        <v>26</v>
      </c>
      <c r="BW58" s="374" t="str">
        <f>IF(BV58=" "," ",L58)</f>
        <v xml:space="preserve"> </v>
      </c>
      <c r="BX58" s="374" t="str">
        <f>IF(BU58=" "," ",J58)</f>
        <v xml:space="preserve"> </v>
      </c>
      <c r="BY58" s="61">
        <f>IF(BU58&lt;BX58,BU58,0)</f>
        <v>26</v>
      </c>
      <c r="BZ58" s="61">
        <f t="shared" si="8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55</v>
      </c>
      <c r="CF58" s="374">
        <f>IF(N58="х"," ",B58)</f>
        <v>26</v>
      </c>
      <c r="CG58" s="374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55</v>
      </c>
      <c r="CL58" s="374">
        <f>IF(P58="х"," ",B58)</f>
        <v>26</v>
      </c>
      <c r="CM58" s="374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55</v>
      </c>
      <c r="CR58" s="374">
        <f t="shared" ref="CR58" si="154">IF(R58="х"," ",B58)</f>
        <v>26</v>
      </c>
      <c r="CS58" s="374" t="str">
        <f t="shared" ref="CS58" si="155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55</v>
      </c>
    </row>
    <row r="59" spans="1:100" ht="12" hidden="1" customHeight="1" thickBot="1">
      <c r="A59" s="201"/>
      <c r="B59" s="412"/>
      <c r="C59" s="421"/>
      <c r="D59" s="423"/>
      <c r="E59" s="425"/>
      <c r="F59" s="438"/>
      <c r="G59" s="44"/>
      <c r="H59" s="435"/>
      <c r="I59" s="44"/>
      <c r="J59" s="435"/>
      <c r="K59" s="44"/>
      <c r="L59" s="435"/>
      <c r="M59" s="44"/>
      <c r="N59" s="435"/>
      <c r="O59" s="44"/>
      <c r="P59" s="435"/>
      <c r="Q59" s="44"/>
      <c r="R59" s="435"/>
      <c r="S59" s="44"/>
      <c r="T59" s="435"/>
      <c r="U59" s="47"/>
      <c r="V59" s="435"/>
      <c r="W59" s="44"/>
      <c r="X59" s="435"/>
      <c r="Y59" s="44"/>
      <c r="Z59" s="419"/>
      <c r="AA59" s="416"/>
      <c r="AB59" s="427"/>
      <c r="AC59" s="383"/>
      <c r="AD59" s="384"/>
      <c r="AE59" s="386"/>
      <c r="AF59" s="387"/>
      <c r="AG59" s="387"/>
      <c r="AH59" s="387"/>
      <c r="AI59" s="387"/>
      <c r="AJ59" s="387"/>
      <c r="AK59" s="387"/>
      <c r="AL59" s="387"/>
      <c r="AM59" s="387"/>
      <c r="AN59" s="389"/>
      <c r="AO59" s="384"/>
      <c r="AP59" s="391"/>
      <c r="AQ59" s="384"/>
      <c r="AR59" s="392"/>
      <c r="AS59" s="183"/>
      <c r="AT59" s="183"/>
      <c r="AU59" s="183"/>
      <c r="AV59" s="383"/>
      <c r="AW59" s="19"/>
      <c r="AX59" s="19"/>
      <c r="AY59" s="19"/>
      <c r="AZ59" s="19"/>
      <c r="BU59" s="374"/>
      <c r="BV59" s="374"/>
      <c r="BW59" s="374"/>
      <c r="BX59" s="374"/>
      <c r="BY59" s="61" t="str">
        <f>IF(BY58&gt;=1,BX58,0)</f>
        <v xml:space="preserve"> </v>
      </c>
      <c r="BZ59" s="61" t="str">
        <f t="shared" si="8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56</v>
      </c>
      <c r="CF59" s="374"/>
      <c r="CG59" s="374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56</v>
      </c>
      <c r="CL59" s="374"/>
      <c r="CM59" s="374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56</v>
      </c>
      <c r="CR59" s="374"/>
      <c r="CS59" s="374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56</v>
      </c>
    </row>
    <row r="60" spans="1:100" ht="12" hidden="1" customHeight="1" thickTop="1">
      <c r="A60" s="201"/>
      <c r="B60" s="431">
        <v>27</v>
      </c>
      <c r="C60" s="420" t="e">
        <f>(VLOOKUP(B60,пр.взв!$B$7:$H$76,2,0))</f>
        <v>#N/A</v>
      </c>
      <c r="D60" s="422" t="e">
        <f>(VLOOKUP(B60,пр.взв!$B$7:$H$76,3,0))</f>
        <v>#N/A</v>
      </c>
      <c r="E60" s="424" t="e">
        <f>(VLOOKUP(B60,пр.взв!$B$7:$H$76,5,0))</f>
        <v>#N/A</v>
      </c>
      <c r="F60" s="440">
        <f t="shared" si="40"/>
        <v>0</v>
      </c>
      <c r="G60" s="41"/>
      <c r="H60" s="436"/>
      <c r="I60" s="41"/>
      <c r="J60" s="436" t="str">
        <f t="shared" si="20"/>
        <v xml:space="preserve"> </v>
      </c>
      <c r="K60" s="41"/>
      <c r="L60" s="434" t="str">
        <f t="shared" ref="L60" si="156">IF(J60="Х","Х",IF(K60&lt;2.5," ",IF(K60&gt;=2.5,IF(G60+I60+K60&gt;=6,"Х",IF(AA60&lt;6," "," ")))))</f>
        <v xml:space="preserve"> </v>
      </c>
      <c r="M60" s="41"/>
      <c r="N60" s="436" t="str">
        <f>IF(L60="Х","Х",IF(M60&lt;2.5," ",IF(M60&gt;=2.5,IF(G60+I60+K60+M60&gt;=6,"Х",IF(AA60&lt;6," "," ")))))</f>
        <v xml:space="preserve"> </v>
      </c>
      <c r="O60" s="41"/>
      <c r="P60" s="436" t="str">
        <f>IF(N60="Х","Х",IF(O60&lt;2.5," ",IF(O60&gt;=2.5,IF(G60+I60+K60+M60+O60&gt;=6,"Х",IF(AA60&lt;6," "," ")))))</f>
        <v xml:space="preserve"> </v>
      </c>
      <c r="Q60" s="41"/>
      <c r="R60" s="436" t="str">
        <f>IF(P60="Х","Х",IF(Q60&lt;2.5," ",IF(Q60&gt;=2.5,IF(G60+I60+K60+M60+O60+Q60&gt;=6,"Х",IF(AA60&lt;6," "," ")))))</f>
        <v xml:space="preserve"> </v>
      </c>
      <c r="S60" s="41"/>
      <c r="T60" s="436" t="str">
        <f>IF(R60="Х","Х",IF(S60&lt;2.5," ",IF(S60&gt;=2.5,IF(G60+I60+K60+M60+O60+Q60+S60&gt;=6,"Х",IF(AA60&lt;6," "," ")))))</f>
        <v xml:space="preserve"> </v>
      </c>
      <c r="U60" s="45"/>
      <c r="V60" s="434" t="str">
        <f>IF(T60="А1",$AX$7,IF(T60="Б2",$AX$6,IF(T60="Б1",$AY$7,IF(T60="А2",$AY$6,IF(T60="Х","Х",IF(T60&lt;6," "," "))))))</f>
        <v xml:space="preserve"> </v>
      </c>
      <c r="W60" s="41"/>
      <c r="X60" s="434" t="str">
        <f t="shared" ref="X60" si="157">IF(T60="Х","Х",IF(ISBLANK(W60),"",IF(W60&gt;2.5," ",IF(B60=AZ$6,AZ$7,AZ$6))))</f>
        <v/>
      </c>
      <c r="Y60" s="41"/>
      <c r="Z60" s="418" t="b">
        <f>IF(H60="Х","1",IF(J60="Х","2",IF(L60="Х","3",IF(N60="Х","4",IF(P60="Х","5",IF(R60="Х","6",IF(T60="Х","7",IF(V60="Х","8"))))))))</f>
        <v>0</v>
      </c>
      <c r="AA60" s="417">
        <f>SUM(G60+I60+K60+M60+O60+Q60+S60+U60+W60+Y60)</f>
        <v>0</v>
      </c>
      <c r="AB60" s="426">
        <f t="shared" ref="AB60" si="158">AD60+0</f>
        <v>20607</v>
      </c>
      <c r="AC60" s="383">
        <f>AB60</f>
        <v>20607</v>
      </c>
      <c r="AD60" s="384" t="str">
        <f>COUNTIF(AE$6:AE$119,"&gt;"&amp;AE$6:AE$119)+1&amp;REPT("-"&amp;COUNTIF(AE$6:AE$119,"&gt;="&amp;AE$6:AE$119),COUNTIF(AE$6:AE$119,AE60)&gt;1)</f>
        <v>6-56</v>
      </c>
      <c r="AE60" s="385">
        <f t="shared" si="44"/>
        <v>80</v>
      </c>
      <c r="AF60" s="387" t="str">
        <f>IF(OR(F60="Х",F60="св")," ",IF(AND(G60&gt;=0,G60&lt;3),"1"," "))</f>
        <v>1</v>
      </c>
      <c r="AG60" s="387" t="str">
        <f>IF(OR(H60="Х",H60="св")," ",IF(AND(I60&gt;=0,I60&lt;3),"1"," "))</f>
        <v>1</v>
      </c>
      <c r="AH60" s="387" t="str">
        <f>IF(OR(J60="Х",J60="св")," ",IF(AND(K60&gt;=0,K60&lt;3),"1"," "))</f>
        <v>1</v>
      </c>
      <c r="AI60" s="387" t="str">
        <f>IF(OR(L60="Х",L60="св")," ",IF(AND(M60&gt;=0,M60&lt;3),"1"," "))</f>
        <v>1</v>
      </c>
      <c r="AJ60" s="387" t="str">
        <f>IF(OR(N60="Х",N60="св")," ",IF(AND(O60&gt;=0,O60&lt;3),"1"," "))</f>
        <v>1</v>
      </c>
      <c r="AK60" s="387" t="str">
        <f>IF(OR(P60="Х",P60="св")," ",IF(AND(Q60&gt;=0,Q60&lt;3),"1"," "))</f>
        <v>1</v>
      </c>
      <c r="AL60" s="387" t="str">
        <f>IF(OR(R60="Х",R60="св")," ",IF(AND(S60&gt;=0,S60&lt;3),"1"," "))</f>
        <v>1</v>
      </c>
      <c r="AM60" s="387" t="str">
        <f>IF(OR(T60="Х",T60="св")," ",IF(AND(U60&gt;=0,U60&lt;3),"1"," "))</f>
        <v>1</v>
      </c>
      <c r="AN60" s="388">
        <f>COUNTIF(AF60:AM61,1)</f>
        <v>8</v>
      </c>
      <c r="AO60" s="390">
        <f>AE60-AA60</f>
        <v>80</v>
      </c>
      <c r="AP60" s="391">
        <f t="shared" si="10"/>
        <v>0</v>
      </c>
      <c r="AQ60" s="384" t="str">
        <f>COUNTIF(AE$6:AE$119,"&gt;"&amp;AE$6:AE$119)+1&amp;REPT("-"&amp;COUNTIF(AE$6:AE$119,"&gt;="&amp;AE$6:AE$119),COUNTIF(AE$6:AE$119,AE60)&gt;1)</f>
        <v>6-56</v>
      </c>
      <c r="AR60" s="392"/>
      <c r="AS60" s="183"/>
      <c r="AT60" s="183"/>
      <c r="AU60" s="183"/>
      <c r="AV60" s="383">
        <f t="shared" si="64"/>
        <v>27</v>
      </c>
      <c r="AW60" s="19"/>
      <c r="AX60" s="19"/>
      <c r="AY60" s="19"/>
      <c r="AZ60" s="19"/>
      <c r="BU60" s="374">
        <f>IF(J60="х"," ",B60)</f>
        <v>27</v>
      </c>
      <c r="BV60" s="374">
        <f>IF(L60="х"," ",B60)</f>
        <v>27</v>
      </c>
      <c r="BW60" s="374" t="str">
        <f>IF(BV60=" "," ",L60)</f>
        <v xml:space="preserve"> </v>
      </c>
      <c r="BX60" s="374" t="str">
        <f>IF(BU60=" "," ",J60)</f>
        <v xml:space="preserve"> </v>
      </c>
      <c r="BY60" s="61">
        <f>IF(BU60&lt;BX60,BU60,0)</f>
        <v>27</v>
      </c>
      <c r="BZ60" s="61">
        <f t="shared" si="8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4">
        <f>IF(N60="х"," ",B60)</f>
        <v>27</v>
      </c>
      <c r="CG60" s="374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4">
        <f>IF(P60="х"," ",B60)</f>
        <v>27</v>
      </c>
      <c r="CM60" s="374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4">
        <f t="shared" ref="CR60" si="159">IF(R60="х"," ",B60)</f>
        <v>27</v>
      </c>
      <c r="CS60" s="374" t="str">
        <f t="shared" ref="CS60" si="160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2"/>
      <c r="C61" s="421"/>
      <c r="D61" s="423"/>
      <c r="E61" s="425"/>
      <c r="F61" s="438"/>
      <c r="G61" s="44"/>
      <c r="H61" s="435"/>
      <c r="I61" s="44"/>
      <c r="J61" s="435"/>
      <c r="K61" s="44"/>
      <c r="L61" s="435"/>
      <c r="M61" s="44"/>
      <c r="N61" s="435"/>
      <c r="O61" s="44"/>
      <c r="P61" s="435"/>
      <c r="Q61" s="44"/>
      <c r="R61" s="435"/>
      <c r="S61" s="44"/>
      <c r="T61" s="435"/>
      <c r="U61" s="47"/>
      <c r="V61" s="435"/>
      <c r="W61" s="44"/>
      <c r="X61" s="435"/>
      <c r="Y61" s="44"/>
      <c r="Z61" s="419"/>
      <c r="AA61" s="416"/>
      <c r="AB61" s="427"/>
      <c r="AC61" s="383"/>
      <c r="AD61" s="384"/>
      <c r="AE61" s="386"/>
      <c r="AF61" s="387"/>
      <c r="AG61" s="387"/>
      <c r="AH61" s="387"/>
      <c r="AI61" s="387"/>
      <c r="AJ61" s="387"/>
      <c r="AK61" s="387"/>
      <c r="AL61" s="387"/>
      <c r="AM61" s="387"/>
      <c r="AN61" s="389"/>
      <c r="AO61" s="384"/>
      <c r="AP61" s="391"/>
      <c r="AQ61" s="384"/>
      <c r="AR61" s="392"/>
      <c r="AS61" s="183"/>
      <c r="AT61" s="183"/>
      <c r="AU61" s="183"/>
      <c r="AV61" s="383"/>
      <c r="AW61" s="19"/>
      <c r="AX61" s="19"/>
      <c r="AY61" s="19"/>
      <c r="AZ61" s="19"/>
      <c r="BU61" s="374"/>
      <c r="BV61" s="374"/>
      <c r="BW61" s="374"/>
      <c r="BX61" s="374"/>
      <c r="BY61" s="61" t="str">
        <f>IF(BY60&gt;=1,BX60,0)</f>
        <v xml:space="preserve"> </v>
      </c>
      <c r="BZ61" s="61" t="str">
        <f t="shared" si="8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4"/>
      <c r="CG61" s="374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4"/>
      <c r="CM61" s="374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4"/>
      <c r="CS61" s="374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31">
        <v>28</v>
      </c>
      <c r="C62" s="420" t="e">
        <f>(VLOOKUP(B62,пр.взв!$B$7:$H$76,2,0))</f>
        <v>#N/A</v>
      </c>
      <c r="D62" s="422" t="e">
        <f>(VLOOKUP(B62,пр.взв!$B$7:$H$76,3,0))</f>
        <v>#N/A</v>
      </c>
      <c r="E62" s="424" t="e">
        <f>(VLOOKUP(B62,пр.взв!$B$7:$H$76,5,0))</f>
        <v>#N/A</v>
      </c>
      <c r="F62" s="439">
        <f t="shared" si="49"/>
        <v>0</v>
      </c>
      <c r="G62" s="41"/>
      <c r="H62" s="436"/>
      <c r="I62" s="41"/>
      <c r="J62" s="436" t="str">
        <f t="shared" si="20"/>
        <v xml:space="preserve"> </v>
      </c>
      <c r="K62" s="41"/>
      <c r="L62" s="434" t="str">
        <f t="shared" ref="L62" si="161">IF(J62="Х","Х",IF(K62&lt;2.5," ",IF(K62&gt;=2.5,IF(G62+I62+K62&gt;=6,"Х",IF(AA62&lt;6," "," ")))))</f>
        <v xml:space="preserve"> </v>
      </c>
      <c r="M62" s="41"/>
      <c r="N62" s="436" t="str">
        <f>IF(L62="Х","Х",IF(M62&lt;2.5," ",IF(M62&gt;=2.5,IF(G62+I62+K62+M62&gt;=6,"Х",IF(AA62&lt;6," "," ")))))</f>
        <v xml:space="preserve"> </v>
      </c>
      <c r="O62" s="41"/>
      <c r="P62" s="436" t="str">
        <f>IF(N62="Х","Х",IF(O62&lt;2.5," ",IF(O62&gt;=2.5,IF(G62+I62+K62+M62+O62&gt;=6,"Х",IF(AA62&lt;6," "," ")))))</f>
        <v xml:space="preserve"> </v>
      </c>
      <c r="Q62" s="41"/>
      <c r="R62" s="436" t="str">
        <f>IF(P62="Х","Х",IF(Q62&lt;2.5," ",IF(Q62&gt;=2.5,IF(G62+I62+K62+M62+O62+Q62&gt;=6,"Х",IF(AA62&lt;6," "," ")))))</f>
        <v xml:space="preserve"> </v>
      </c>
      <c r="S62" s="41"/>
      <c r="T62" s="436" t="str">
        <f>IF(R62="Х","Х",IF(S62&lt;2.5," ",IF(S62&gt;=2.5,IF(G62+I62+K62+M62+O62+Q62+S62&gt;=6,"Х",IF(AA62&lt;6," "," ")))))</f>
        <v xml:space="preserve"> </v>
      </c>
      <c r="U62" s="45"/>
      <c r="V62" s="434" t="str">
        <f>IF(T62="А1",$AX$7,IF(T62="Б2",$AX$6,IF(T62="Б1",$AY$7,IF(T62="А2",$AY$6,IF(T62="Х","Х",IF(T62&lt;6," "," "))))))</f>
        <v xml:space="preserve"> </v>
      </c>
      <c r="W62" s="41"/>
      <c r="X62" s="434" t="str">
        <f t="shared" ref="X62" si="162">IF(T62="Х","Х",IF(ISBLANK(W62),"",IF(W62&gt;2.5," ",IF(B62=AZ$6,AZ$7,AZ$6))))</f>
        <v/>
      </c>
      <c r="Y62" s="41"/>
      <c r="Z62" s="418" t="b">
        <f>IF(H62="Х","1",IF(J62="Х","2",IF(L62="Х","3",IF(N62="Х","4",IF(P62="Х","5",IF(R62="Х","6",IF(T62="Х","7",IF(V62="Х","8"))))))))</f>
        <v>0</v>
      </c>
      <c r="AA62" s="417">
        <f>SUM(G62+I62+K62+M62+O62+Q62+S62+U62+W62+Y62)</f>
        <v>0</v>
      </c>
      <c r="AB62" s="426">
        <f t="shared" ref="AB62" si="163">AD62+0</f>
        <v>20607</v>
      </c>
      <c r="AC62" s="383">
        <f>AB62</f>
        <v>20607</v>
      </c>
      <c r="AD62" s="384" t="str">
        <f>COUNTIF(AE$6:AE$119,"&gt;"&amp;AE$6:AE$119)+1&amp;REPT("-"&amp;COUNTIF(AE$6:AE$119,"&gt;="&amp;AE$6:AE$119),COUNTIF(AE$6:AE$119,AE62)&gt;1)</f>
        <v>6-56</v>
      </c>
      <c r="AE62" s="385">
        <f t="shared" si="44"/>
        <v>80</v>
      </c>
      <c r="AF62" s="387" t="str">
        <f>IF(OR(F62="Х",F62="св")," ",IF(AND(G62&gt;=0,G62&lt;3),"1"," "))</f>
        <v>1</v>
      </c>
      <c r="AG62" s="387" t="str">
        <f>IF(OR(H62="Х",H62="св")," ",IF(AND(I62&gt;=0,I62&lt;3),"1"," "))</f>
        <v>1</v>
      </c>
      <c r="AH62" s="387" t="str">
        <f>IF(OR(J62="Х",J62="св")," ",IF(AND(K62&gt;=0,K62&lt;3),"1"," "))</f>
        <v>1</v>
      </c>
      <c r="AI62" s="387" t="str">
        <f>IF(OR(L62="Х",L62="св")," ",IF(AND(M62&gt;=0,M62&lt;3),"1"," "))</f>
        <v>1</v>
      </c>
      <c r="AJ62" s="387" t="str">
        <f>IF(OR(N62="Х",N62="св")," ",IF(AND(O62&gt;=0,O62&lt;3),"1"," "))</f>
        <v>1</v>
      </c>
      <c r="AK62" s="387" t="str">
        <f>IF(OR(P62="Х",P62="св")," ",IF(AND(Q62&gt;=0,Q62&lt;3),"1"," "))</f>
        <v>1</v>
      </c>
      <c r="AL62" s="387" t="str">
        <f>IF(OR(R62="Х",R62="св")," ",IF(AND(S62&gt;=0,S62&lt;3),"1"," "))</f>
        <v>1</v>
      </c>
      <c r="AM62" s="387" t="str">
        <f>IF(OR(T62="Х",T62="св")," ",IF(AND(U62&gt;=0,U62&lt;3),"1"," "))</f>
        <v>1</v>
      </c>
      <c r="AN62" s="388">
        <f>COUNTIF(AF62:AM63,1)</f>
        <v>8</v>
      </c>
      <c r="AO62" s="390">
        <f>AE62-AA62</f>
        <v>80</v>
      </c>
      <c r="AP62" s="391">
        <f t="shared" si="10"/>
        <v>0</v>
      </c>
      <c r="AQ62" s="384" t="str">
        <f>COUNTIF(AE$6:AE$119,"&gt;"&amp;AE$6:AE$119)+1&amp;REPT("-"&amp;COUNTIF(AE$6:AE$119,"&gt;="&amp;AE$6:AE$119),COUNTIF(AE$6:AE$119,AE62)&gt;1)</f>
        <v>6-56</v>
      </c>
      <c r="AR62" s="392"/>
      <c r="AS62" s="183"/>
      <c r="AT62" s="183"/>
      <c r="AU62" s="183"/>
      <c r="AV62" s="383">
        <f t="shared" si="64"/>
        <v>28</v>
      </c>
      <c r="AW62" s="19"/>
      <c r="AX62" s="19"/>
      <c r="AY62" s="19"/>
      <c r="AZ62" s="19"/>
      <c r="BA62" s="28"/>
      <c r="BB62" s="28"/>
      <c r="BC62" s="28"/>
      <c r="BD62" s="28"/>
      <c r="BU62" s="374">
        <f>IF(J62="х"," ",B62)</f>
        <v>28</v>
      </c>
      <c r="BV62" s="374">
        <f>IF(L62="х"," ",B62)</f>
        <v>28</v>
      </c>
      <c r="BW62" s="374" t="str">
        <f>IF(BV62=" "," ",L62)</f>
        <v xml:space="preserve"> </v>
      </c>
      <c r="BX62" s="374" t="str">
        <f>IF(BU62=" "," ",J62)</f>
        <v xml:space="preserve"> </v>
      </c>
      <c r="BY62" s="61">
        <f>IF(BU62&lt;BX62,BU62,0)</f>
        <v>28</v>
      </c>
      <c r="BZ62" s="61">
        <f t="shared" si="8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4">
        <f>IF(N62="х"," ",B62)</f>
        <v>28</v>
      </c>
      <c r="CG62" s="374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4">
        <f>IF(P62="х"," ",B62)</f>
        <v>28</v>
      </c>
      <c r="CM62" s="374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4">
        <f t="shared" ref="CR62" si="164">IF(R62="х"," ",B62)</f>
        <v>28</v>
      </c>
      <c r="CS62" s="374" t="str">
        <f t="shared" ref="CS62" si="165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2"/>
      <c r="C63" s="421"/>
      <c r="D63" s="423"/>
      <c r="E63" s="425"/>
      <c r="F63" s="438"/>
      <c r="G63" s="44"/>
      <c r="H63" s="435"/>
      <c r="I63" s="44"/>
      <c r="J63" s="435"/>
      <c r="K63" s="44"/>
      <c r="L63" s="435"/>
      <c r="M63" s="44"/>
      <c r="N63" s="435"/>
      <c r="O63" s="44"/>
      <c r="P63" s="435"/>
      <c r="Q63" s="44"/>
      <c r="R63" s="435"/>
      <c r="S63" s="44"/>
      <c r="T63" s="435"/>
      <c r="U63" s="47"/>
      <c r="V63" s="435"/>
      <c r="W63" s="44"/>
      <c r="X63" s="435"/>
      <c r="Y63" s="44"/>
      <c r="Z63" s="419"/>
      <c r="AA63" s="416"/>
      <c r="AB63" s="427"/>
      <c r="AC63" s="383"/>
      <c r="AD63" s="384"/>
      <c r="AE63" s="386"/>
      <c r="AF63" s="387"/>
      <c r="AG63" s="387"/>
      <c r="AH63" s="387"/>
      <c r="AI63" s="387"/>
      <c r="AJ63" s="387"/>
      <c r="AK63" s="387"/>
      <c r="AL63" s="387"/>
      <c r="AM63" s="387"/>
      <c r="AN63" s="389"/>
      <c r="AO63" s="384"/>
      <c r="AP63" s="391"/>
      <c r="AQ63" s="384"/>
      <c r="AR63" s="392"/>
      <c r="AS63" s="183"/>
      <c r="AT63" s="183"/>
      <c r="AU63" s="183"/>
      <c r="AV63" s="383"/>
      <c r="AW63" s="19"/>
      <c r="AX63" s="19"/>
      <c r="AY63" s="19"/>
      <c r="AZ63" s="19"/>
      <c r="BA63" s="36"/>
      <c r="BB63" s="37"/>
      <c r="BC63" s="38"/>
      <c r="BD63" s="38"/>
      <c r="BU63" s="374"/>
      <c r="BV63" s="374"/>
      <c r="BW63" s="374"/>
      <c r="BX63" s="374"/>
      <c r="BY63" s="61" t="str">
        <f>IF(BY62&gt;=1,BX62,0)</f>
        <v xml:space="preserve"> </v>
      </c>
      <c r="BZ63" s="61" t="str">
        <f t="shared" si="8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4"/>
      <c r="CG63" s="374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4"/>
      <c r="CM63" s="374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4"/>
      <c r="CS63" s="374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31">
        <v>29</v>
      </c>
      <c r="C64" s="420" t="e">
        <f>(VLOOKUP(B64,пр.взв!$B$7:$H$76,2,0))</f>
        <v>#N/A</v>
      </c>
      <c r="D64" s="422" t="e">
        <f>(VLOOKUP(B64,пр.взв!$B$7:$H$76,3,0))</f>
        <v>#N/A</v>
      </c>
      <c r="E64" s="424" t="e">
        <f>(VLOOKUP(B64,пр.взв!$B$7:$H$76,5,0))</f>
        <v>#N/A</v>
      </c>
      <c r="F64" s="440">
        <f t="shared" ref="F64" si="166">IF(ISERROR(C64),0,B66)</f>
        <v>0</v>
      </c>
      <c r="G64" s="41"/>
      <c r="H64" s="436"/>
      <c r="I64" s="41"/>
      <c r="J64" s="436" t="str">
        <f t="shared" si="20"/>
        <v xml:space="preserve"> </v>
      </c>
      <c r="K64" s="41"/>
      <c r="L64" s="436" t="str">
        <f>IF(J64="Х","Х",IF(K64&lt;2.5," ",IF(K64&gt;=2.5,IF(G64+I64+K64&gt;=6,"Х",IF(AA64&lt;6," "," ")))))</f>
        <v xml:space="preserve"> </v>
      </c>
      <c r="M64" s="41"/>
      <c r="N64" s="436" t="str">
        <f>IF(L64="Х","Х",IF(M64&lt;2.5," ",IF(M64&gt;=2.5,IF(G64+I64+K64+M64&gt;=6,"Х",IF(AA64&lt;6," "," ")))))</f>
        <v xml:space="preserve"> </v>
      </c>
      <c r="O64" s="41"/>
      <c r="P64" s="436" t="str">
        <f>IF(N64="Х","Х",IF(O64&lt;2.5," ",IF(O64&gt;=2.5,IF(G64+I64+K64+M64+O64&gt;=6,"Х",IF(AA64&lt;6," "," ")))))</f>
        <v xml:space="preserve"> </v>
      </c>
      <c r="Q64" s="41"/>
      <c r="R64" s="436" t="str">
        <f>IF(P64="Х","Х",IF(Q64&lt;2.5," ",IF(Q64&gt;=2.5,IF(G64+I64+K64+M64+O64+Q64&gt;=6,"Х",IF(AA64&lt;6," "," ")))))</f>
        <v xml:space="preserve"> </v>
      </c>
      <c r="S64" s="41"/>
      <c r="T64" s="436" t="str">
        <f>IF(R64="Х","Х",IF(S64&lt;2.5," ",IF(S64&gt;=2.5,IF(G64+I64+K64+M64+O64+Q64+S64&gt;=6,"Х",IF(AA64&lt;6," "," ")))))</f>
        <v xml:space="preserve"> </v>
      </c>
      <c r="U64" s="45"/>
      <c r="V64" s="434" t="str">
        <f>IF(T64="А1",$AX$7,IF(T64="Б2",$AX$6,IF(T64="Б1",$AY$7,IF(T64="А2",$AY$6,IF(T64="Х","Х",IF(T64&lt;6," "," "))))))</f>
        <v xml:space="preserve"> </v>
      </c>
      <c r="W64" s="41"/>
      <c r="X64" s="434" t="str">
        <f t="shared" ref="X64" si="167">IF(T64="Х","Х",IF(ISBLANK(W64),"",IF(W64&gt;2.5," ",IF(B64=AZ$6,AZ$7,AZ$6))))</f>
        <v/>
      </c>
      <c r="Y64" s="41"/>
      <c r="Z64" s="418" t="b">
        <f>IF(H64="Х","1",IF(J64="Х","2",IF(L64="Х","3",IF(N64="Х","4",IF(P64="Х","5",IF(R64="Х","6",IF(T64="Х","7",IF(V64="Х","8"))))))))</f>
        <v>0</v>
      </c>
      <c r="AA64" s="417">
        <f>SUM(G64+I64+K64+M64+O64+Q64+S64+U64+W64+Y64)</f>
        <v>0</v>
      </c>
      <c r="AB64" s="426">
        <f t="shared" ref="AB64" si="168">AD64+0</f>
        <v>20607</v>
      </c>
      <c r="AC64" s="383">
        <f>AB64</f>
        <v>20607</v>
      </c>
      <c r="AD64" s="384" t="str">
        <f>COUNTIF(AE$6:AE$119,"&gt;"&amp;AE$6:AE$119)+1&amp;REPT("-"&amp;COUNTIF(AE$6:AE$119,"&gt;="&amp;AE$6:AE$119),COUNTIF(AE$6:AE$119,AE64)&gt;1)</f>
        <v>6-56</v>
      </c>
      <c r="AE64" s="385">
        <f t="shared" si="44"/>
        <v>80</v>
      </c>
      <c r="AF64" s="387" t="str">
        <f>IF(OR(F64="Х",F64="св")," ",IF(AND(G64&gt;=0,G64&lt;3),"1"," "))</f>
        <v>1</v>
      </c>
      <c r="AG64" s="387" t="str">
        <f>IF(OR(H64="Х",H64="св")," ",IF(AND(I64&gt;=0,I64&lt;3),"1"," "))</f>
        <v>1</v>
      </c>
      <c r="AH64" s="387" t="str">
        <f>IF(OR(J64="Х",J64="св")," ",IF(AND(K64&gt;=0,K64&lt;3),"1"," "))</f>
        <v>1</v>
      </c>
      <c r="AI64" s="387" t="str">
        <f>IF(OR(L64="Х",L64="св")," ",IF(AND(M64&gt;=0,M64&lt;3),"1"," "))</f>
        <v>1</v>
      </c>
      <c r="AJ64" s="387" t="str">
        <f>IF(OR(N64="Х",N64="св")," ",IF(AND(O64&gt;=0,O64&lt;3),"1"," "))</f>
        <v>1</v>
      </c>
      <c r="AK64" s="387" t="str">
        <f>IF(OR(P64="Х",P64="св")," ",IF(AND(Q64&gt;=0,Q64&lt;3),"1"," "))</f>
        <v>1</v>
      </c>
      <c r="AL64" s="387" t="str">
        <f>IF(OR(R64="Х",R64="св")," ",IF(AND(S64&gt;=0,S64&lt;3),"1"," "))</f>
        <v>1</v>
      </c>
      <c r="AM64" s="387" t="str">
        <f>IF(OR(T64="Х",T64="св")," ",IF(AND(U64&gt;=0,U64&lt;3),"1"," "))</f>
        <v>1</v>
      </c>
      <c r="AN64" s="388">
        <f>COUNTIF(AF64:AM65,1)</f>
        <v>8</v>
      </c>
      <c r="AO64" s="390">
        <f>AE64-AA64</f>
        <v>80</v>
      </c>
      <c r="AP64" s="391">
        <f t="shared" si="10"/>
        <v>0</v>
      </c>
      <c r="AQ64" s="384" t="str">
        <f>COUNTIF(AE$6:AE$119,"&gt;"&amp;AE$6:AE$119)+1&amp;REPT("-"&amp;COUNTIF(AE$6:AE$119,"&gt;="&amp;AE$6:AE$119),COUNTIF(AE$6:AE$119,AE64)&gt;1)</f>
        <v>6-56</v>
      </c>
      <c r="AR64" s="392"/>
      <c r="AS64" s="183"/>
      <c r="AT64" s="183"/>
      <c r="AU64" s="183"/>
      <c r="AV64" s="383">
        <f t="shared" si="64"/>
        <v>29</v>
      </c>
      <c r="AW64" s="19"/>
      <c r="AX64" s="19"/>
      <c r="AY64" s="19"/>
      <c r="AZ64" s="19"/>
      <c r="BA64" s="36"/>
      <c r="BB64" s="37"/>
      <c r="BC64" s="38"/>
      <c r="BD64" s="38"/>
      <c r="BU64" s="374">
        <f>IF(J64="х"," ",B64)</f>
        <v>29</v>
      </c>
      <c r="BV64" s="374">
        <f>IF(L64="х"," ",B64)</f>
        <v>29</v>
      </c>
      <c r="BW64" s="374" t="str">
        <f>IF(BV64=" "," ",L64)</f>
        <v xml:space="preserve"> </v>
      </c>
      <c r="BX64" s="374" t="str">
        <f>IF(BU64=" "," ",J64)</f>
        <v xml:space="preserve"> </v>
      </c>
      <c r="BY64" s="61">
        <f>IF(BU64&lt;BX64,BU64,0)</f>
        <v>29</v>
      </c>
      <c r="BZ64" s="61">
        <f t="shared" si="8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4">
        <f>IF(N64="х"," ",B64)</f>
        <v>29</v>
      </c>
      <c r="CG64" s="374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4">
        <f>IF(P64="х"," ",B64)</f>
        <v>29</v>
      </c>
      <c r="CM64" s="374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4">
        <f t="shared" ref="CR64" si="169">IF(R64="х"," ",B64)</f>
        <v>29</v>
      </c>
      <c r="CS64" s="374" t="str">
        <f t="shared" ref="CS64" si="170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2"/>
      <c r="C65" s="421"/>
      <c r="D65" s="423"/>
      <c r="E65" s="425"/>
      <c r="F65" s="438"/>
      <c r="G65" s="44"/>
      <c r="H65" s="435"/>
      <c r="I65" s="44"/>
      <c r="J65" s="435"/>
      <c r="K65" s="44"/>
      <c r="L65" s="435"/>
      <c r="M65" s="44"/>
      <c r="N65" s="435"/>
      <c r="O65" s="44"/>
      <c r="P65" s="435"/>
      <c r="Q65" s="44"/>
      <c r="R65" s="435"/>
      <c r="S65" s="44"/>
      <c r="T65" s="435"/>
      <c r="U65" s="47"/>
      <c r="V65" s="435"/>
      <c r="W65" s="44"/>
      <c r="X65" s="435"/>
      <c r="Y65" s="44"/>
      <c r="Z65" s="419"/>
      <c r="AA65" s="416"/>
      <c r="AB65" s="427"/>
      <c r="AC65" s="383"/>
      <c r="AD65" s="384"/>
      <c r="AE65" s="386"/>
      <c r="AF65" s="387"/>
      <c r="AG65" s="387"/>
      <c r="AH65" s="387"/>
      <c r="AI65" s="387"/>
      <c r="AJ65" s="387"/>
      <c r="AK65" s="387"/>
      <c r="AL65" s="387"/>
      <c r="AM65" s="387"/>
      <c r="AN65" s="389"/>
      <c r="AO65" s="384"/>
      <c r="AP65" s="391"/>
      <c r="AQ65" s="384"/>
      <c r="AR65" s="392"/>
      <c r="AS65" s="183"/>
      <c r="AT65" s="183"/>
      <c r="AU65" s="183"/>
      <c r="AV65" s="383"/>
      <c r="AW65" s="19"/>
      <c r="AX65" s="19"/>
      <c r="AY65" s="19"/>
      <c r="AZ65" s="19"/>
      <c r="BA65" s="28"/>
      <c r="BB65" s="28"/>
      <c r="BC65" s="28"/>
      <c r="BD65" s="28"/>
      <c r="BU65" s="374"/>
      <c r="BV65" s="374"/>
      <c r="BW65" s="374"/>
      <c r="BX65" s="374"/>
      <c r="BY65" s="61" t="str">
        <f>IF(BY64&gt;=1,BX64,0)</f>
        <v xml:space="preserve"> </v>
      </c>
      <c r="BZ65" s="61" t="str">
        <f t="shared" si="8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4"/>
      <c r="CG65" s="374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4"/>
      <c r="CM65" s="374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4"/>
      <c r="CS65" s="374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1">
        <v>30</v>
      </c>
      <c r="C66" s="420" t="e">
        <f>(VLOOKUP(B66,пр.взв!$B$7:$H$76,2,0))</f>
        <v>#N/A</v>
      </c>
      <c r="D66" s="422" t="e">
        <f>(VLOOKUP(B66,пр.взв!$B$7:$H$76,3,0))</f>
        <v>#N/A</v>
      </c>
      <c r="E66" s="424" t="e">
        <f>(VLOOKUP(B66,пр.взв!$B$7:$H$76,5,0))</f>
        <v>#N/A</v>
      </c>
      <c r="F66" s="439">
        <f t="shared" ref="F66" si="171">IF(ISERROR(C66),0,B64)</f>
        <v>0</v>
      </c>
      <c r="G66" s="42"/>
      <c r="H66" s="456"/>
      <c r="I66" s="42"/>
      <c r="J66" s="436" t="str">
        <f t="shared" si="20"/>
        <v xml:space="preserve"> </v>
      </c>
      <c r="K66" s="41"/>
      <c r="L66" s="434" t="str">
        <f>IF(J66="Х","Х",IF(K66&lt;2.5," ",IF(K66&gt;=2.5,IF(G66+I66+K66&gt;=6,"Х",IF(AA66&lt;6," "," ")))))</f>
        <v xml:space="preserve"> </v>
      </c>
      <c r="M66" s="41"/>
      <c r="N66" s="434" t="str">
        <f>IF(L66="Х","Х",IF(M66&lt;2.5," ",IF(M66&gt;=2.5,IF(G66+I66+K66+M66&gt;=6,"Х",IF(AA66&lt;6," "," ")))))</f>
        <v xml:space="preserve"> </v>
      </c>
      <c r="O66" s="41"/>
      <c r="P66" s="434" t="str">
        <f>IF(N66="Х","Х",IF(O66&lt;2.5," ",IF(O66&gt;=2.5,IF(G66+I66+K66+M66+O66&gt;=6,"Х",IF(AA66&lt;6," "," ")))))</f>
        <v xml:space="preserve"> </v>
      </c>
      <c r="Q66" s="41"/>
      <c r="R66" s="434" t="str">
        <f>IF(P66="Х","Х",IF(Q66&lt;2.5," ",IF(Q66&gt;=2.5,IF(G66+I66+K66+M66+O66+Q66&gt;=6,"Х",IF(AA66&lt;6," "," ")))))</f>
        <v xml:space="preserve"> </v>
      </c>
      <c r="S66" s="41"/>
      <c r="T66" s="434" t="str">
        <f>IF(R66="Х","Х",IF(S66&lt;2.5," ",IF(S66&gt;=2.5,IF(G66+I66+K66+M66+O66+Q66+S66&gt;=6,"Х",IF(AA66&lt;6," "," ")))))</f>
        <v xml:space="preserve"> </v>
      </c>
      <c r="U66" s="45"/>
      <c r="V66" s="434" t="str">
        <f>IF(T66="А1",$AX$7,IF(T66="Б2",$AX$6,IF(T66="Б1",$AY$7,IF(T66="А2",$AY$6,IF(T66="Х","Х",IF(T66&lt;6," "," "))))))</f>
        <v xml:space="preserve"> </v>
      </c>
      <c r="W66" s="41"/>
      <c r="X66" s="434" t="str">
        <f t="shared" ref="X66" si="172">IF(T66="Х","Х",IF(ISBLANK(W66),"",IF(W66&gt;2.5," ",IF(B66=AZ$6,AZ$7,AZ$6))))</f>
        <v/>
      </c>
      <c r="Y66" s="42"/>
      <c r="Z66" s="463" t="b">
        <f>IF(H66="Х","1",IF(J66="Х","2",IF(L66="Х","3",IF(N66="Х","4",IF(P66="Х","5",IF(R66="Х","6",IF(T66="Х","7",IF(V66="Х","8"))))))))</f>
        <v>0</v>
      </c>
      <c r="AA66" s="461">
        <f>SUM(G66+I66+K66+M66+O66+Q66+S66+U66+W66+Y66)</f>
        <v>0</v>
      </c>
      <c r="AB66" s="426">
        <f t="shared" ref="AB66" si="173">AD66+0</f>
        <v>20607</v>
      </c>
      <c r="AC66" s="383">
        <f>AB66</f>
        <v>20607</v>
      </c>
      <c r="AD66" s="384" t="str">
        <f>COUNTIF(AE$6:AE$119,"&gt;"&amp;AE$6:AE$119)+1&amp;REPT("-"&amp;COUNTIF(AE$6:AE$119,"&gt;="&amp;AE$6:AE$119),COUNTIF(AE$6:AE$119,AE66)&gt;1)</f>
        <v>6-56</v>
      </c>
      <c r="AE66" s="385">
        <f t="shared" si="44"/>
        <v>80</v>
      </c>
      <c r="AF66" s="387" t="str">
        <f>IF(OR(F66="Х",F66="св")," ",IF(AND(G66&gt;=0,G66&lt;3),"1"," "))</f>
        <v>1</v>
      </c>
      <c r="AG66" s="387" t="str">
        <f>IF(OR(H66="Х",H66="св")," ",IF(AND(I66&gt;=0,I66&lt;3),"1"," "))</f>
        <v>1</v>
      </c>
      <c r="AH66" s="387" t="str">
        <f>IF(OR(J66="Х",J66="св")," ",IF(AND(K66&gt;=0,K66&lt;3),"1"," "))</f>
        <v>1</v>
      </c>
      <c r="AI66" s="387" t="str">
        <f>IF(OR(L66="Х",L66="св")," ",IF(AND(M66&gt;=0,M66&lt;3),"1"," "))</f>
        <v>1</v>
      </c>
      <c r="AJ66" s="387" t="str">
        <f>IF(OR(N66="Х",N66="св")," ",IF(AND(O66&gt;=0,O66&lt;3),"1"," "))</f>
        <v>1</v>
      </c>
      <c r="AK66" s="387" t="str">
        <f>IF(OR(P66="Х",P66="св")," ",IF(AND(Q66&gt;=0,Q66&lt;3),"1"," "))</f>
        <v>1</v>
      </c>
      <c r="AL66" s="387" t="str">
        <f>IF(OR(R66="Х",R66="св")," ",IF(AND(S66&gt;=0,S66&lt;3),"1"," "))</f>
        <v>1</v>
      </c>
      <c r="AM66" s="387" t="str">
        <f>IF(OR(T66="Х",T66="св")," ",IF(AND(U66&gt;=0,U66&lt;3),"1"," "))</f>
        <v>1</v>
      </c>
      <c r="AN66" s="388">
        <f>COUNTIF(AF66:AM67,1)</f>
        <v>8</v>
      </c>
      <c r="AO66" s="390">
        <f>AE66-AA66</f>
        <v>80</v>
      </c>
      <c r="AP66" s="391">
        <f t="shared" si="10"/>
        <v>0</v>
      </c>
      <c r="AQ66" s="384" t="str">
        <f>COUNTIF(AE$6:AE$119,"&gt;"&amp;AE$6:AE$119)+1&amp;REPT("-"&amp;COUNTIF(AE$6:AE$119,"&gt;="&amp;AE$6:AE$119),COUNTIF(AE$6:AE$119,AE66)&gt;1)</f>
        <v>6-56</v>
      </c>
      <c r="AR66" s="392"/>
      <c r="AS66" s="183"/>
      <c r="AT66" s="183"/>
      <c r="AU66" s="183"/>
      <c r="AV66" s="383">
        <f t="shared" si="64"/>
        <v>30</v>
      </c>
      <c r="AW66" s="19"/>
      <c r="AX66" s="19"/>
      <c r="AY66" s="19"/>
      <c r="AZ66" s="19"/>
      <c r="BU66" s="374">
        <f>IF(J66="х"," ",B66)</f>
        <v>30</v>
      </c>
      <c r="BV66" s="374">
        <f>IF(L66="х"," ",B66)</f>
        <v>30</v>
      </c>
      <c r="BW66" s="374" t="str">
        <f>IF(BV66=" "," ",L66)</f>
        <v xml:space="preserve"> </v>
      </c>
      <c r="BX66" s="374" t="str">
        <f>IF(BU66=" "," ",J66)</f>
        <v xml:space="preserve"> </v>
      </c>
      <c r="BY66" s="61">
        <f>IF(BU66&lt;BX66,BU66,0)</f>
        <v>30</v>
      </c>
      <c r="BZ66" s="61">
        <f t="shared" si="8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4">
        <f>IF(N66="х"," ",B66)</f>
        <v>30</v>
      </c>
      <c r="CG66" s="374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4">
        <f>IF(P66="х"," ",B66)</f>
        <v>30</v>
      </c>
      <c r="CM66" s="374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4">
        <f t="shared" ref="CR66" si="174">IF(R66="х"," ",B66)</f>
        <v>30</v>
      </c>
      <c r="CS66" s="374" t="str">
        <f t="shared" ref="CS66" si="175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2"/>
      <c r="C67" s="421"/>
      <c r="D67" s="423"/>
      <c r="E67" s="425"/>
      <c r="F67" s="438"/>
      <c r="G67" s="44"/>
      <c r="H67" s="435"/>
      <c r="I67" s="44"/>
      <c r="J67" s="435"/>
      <c r="K67" s="44"/>
      <c r="L67" s="435"/>
      <c r="M67" s="44"/>
      <c r="N67" s="435"/>
      <c r="O67" s="44"/>
      <c r="P67" s="435"/>
      <c r="Q67" s="44"/>
      <c r="R67" s="435"/>
      <c r="S67" s="44"/>
      <c r="T67" s="435"/>
      <c r="U67" s="47"/>
      <c r="V67" s="435"/>
      <c r="W67" s="44"/>
      <c r="X67" s="435"/>
      <c r="Y67" s="44"/>
      <c r="Z67" s="419"/>
      <c r="AA67" s="462"/>
      <c r="AB67" s="427"/>
      <c r="AC67" s="383"/>
      <c r="AD67" s="384"/>
      <c r="AE67" s="386"/>
      <c r="AF67" s="387"/>
      <c r="AG67" s="387"/>
      <c r="AH67" s="387"/>
      <c r="AI67" s="387"/>
      <c r="AJ67" s="387"/>
      <c r="AK67" s="387"/>
      <c r="AL67" s="387"/>
      <c r="AM67" s="387"/>
      <c r="AN67" s="389"/>
      <c r="AO67" s="384"/>
      <c r="AP67" s="391"/>
      <c r="AQ67" s="384"/>
      <c r="AR67" s="392"/>
      <c r="AS67" s="183"/>
      <c r="AT67" s="183"/>
      <c r="AU67" s="183"/>
      <c r="AV67" s="383"/>
      <c r="AW67" s="19"/>
      <c r="AX67" s="19"/>
      <c r="AY67" s="19"/>
      <c r="AZ67" s="19"/>
      <c r="BU67" s="374"/>
      <c r="BV67" s="374"/>
      <c r="BW67" s="374"/>
      <c r="BX67" s="374"/>
      <c r="BY67" s="61" t="str">
        <f>IF(BY66&gt;=1,BX66,0)</f>
        <v xml:space="preserve"> </v>
      </c>
      <c r="BZ67" s="61" t="str">
        <f t="shared" si="8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4"/>
      <c r="CG67" s="374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4"/>
      <c r="CM67" s="374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4"/>
      <c r="CS67" s="374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1">
        <v>31</v>
      </c>
      <c r="C68" s="420" t="e">
        <f>(VLOOKUP(B68,пр.взв!$B$7:$H$76,2,0))</f>
        <v>#N/A</v>
      </c>
      <c r="D68" s="422" t="e">
        <f>(VLOOKUP(B68,пр.взв!$B$7:$H$76,3,0))</f>
        <v>#N/A</v>
      </c>
      <c r="E68" s="424" t="e">
        <f>(VLOOKUP(B68,пр.взв!$B$7:$H$76,5,0))</f>
        <v>#N/A</v>
      </c>
      <c r="F68" s="440">
        <f t="shared" si="40"/>
        <v>0</v>
      </c>
      <c r="G68" s="41"/>
      <c r="H68" s="436"/>
      <c r="I68" s="41"/>
      <c r="J68" s="436" t="str">
        <f t="shared" si="20"/>
        <v xml:space="preserve"> </v>
      </c>
      <c r="K68" s="41"/>
      <c r="L68" s="434" t="str">
        <f>IF(J68="Х","Х",IF(K68&lt;2.5," ",IF(K68&gt;=2.5,IF(G68+I68+K68&gt;=6,"Х",IF(AA68&lt;6," "," ")))))</f>
        <v xml:space="preserve"> </v>
      </c>
      <c r="M68" s="41"/>
      <c r="N68" s="434" t="str">
        <f>IF(L68="Х","Х",IF(M68&lt;2.5," ",IF(M68&gt;=2.5,IF(G68+I68+K68+M68&gt;=6,"Х",IF(AA68&lt;6," "," ")))))</f>
        <v xml:space="preserve"> </v>
      </c>
      <c r="O68" s="41"/>
      <c r="P68" s="434" t="str">
        <f>IF(N68="Х","Х",IF(O68&lt;2.5," ",IF(O68&gt;=2.5,IF(G68+I68+K68+M68+O68&gt;=6,"Х",IF(AA68&lt;6," "," ")))))</f>
        <v xml:space="preserve"> </v>
      </c>
      <c r="Q68" s="41"/>
      <c r="R68" s="434" t="str">
        <f>IF(P68="Х","Х",IF(Q68&lt;2.5," ",IF(Q68&gt;=2.5,IF(G68+I68+K68+M68+O68+Q68&gt;=6,"Х",IF(AA68&lt;6," "," ")))))</f>
        <v xml:space="preserve"> </v>
      </c>
      <c r="S68" s="41"/>
      <c r="T68" s="434" t="str">
        <f>IF(R68="Х","Х",IF(S68&lt;2.5," ",IF(S68&gt;=2.5,IF(G68+I68+K68+M68+O68+Q68+S68&gt;=6,"Х",IF(AA68&lt;6," "," ")))))</f>
        <v xml:space="preserve"> </v>
      </c>
      <c r="U68" s="45"/>
      <c r="V68" s="434" t="str">
        <f>IF(T68="А1",$AX$7,IF(T68="Б2",$AX$6,IF(T68="Б1",$AY$7,IF(T68="А2",$AY$6,IF(T68="Х","Х",IF(T68&lt;6," "," "))))))</f>
        <v xml:space="preserve"> </v>
      </c>
      <c r="W68" s="41"/>
      <c r="X68" s="434" t="str">
        <f t="shared" ref="X68" si="176">IF(T68="Х","Х",IF(ISBLANK(W68),"",IF(W68&gt;2.5," ",IF(B68=AZ$6,AZ$7,AZ$6))))</f>
        <v/>
      </c>
      <c r="Y68" s="41"/>
      <c r="Z68" s="463" t="b">
        <f>IF(H68="Х","1",IF(J68="Х","2",IF(L68="Х","3",IF(N68="Х","4",IF(P68="Х","5",IF(R68="Х","6",IF(T68="Х","7",IF(V68="Х","8"))))))))</f>
        <v>0</v>
      </c>
      <c r="AA68" s="461">
        <f>SUM(G68+I68+K68+M68+O68+Q68+S68+U68+W68+Y68)</f>
        <v>0</v>
      </c>
      <c r="AB68" s="426">
        <f t="shared" ref="AB68" si="177">AD68+0</f>
        <v>20607</v>
      </c>
      <c r="AC68" s="383">
        <f>AB68</f>
        <v>20607</v>
      </c>
      <c r="AD68" s="384" t="str">
        <f>COUNTIF(AE$6:AE$119,"&gt;"&amp;AE$6:AE$119)+1&amp;REPT("-"&amp;COUNTIF(AE$6:AE$119,"&gt;="&amp;AE$6:AE$119),COUNTIF(AE$6:AE$119,AE68)&gt;1)</f>
        <v>6-56</v>
      </c>
      <c r="AE68" s="385">
        <f t="shared" si="44"/>
        <v>80</v>
      </c>
      <c r="AF68" s="387" t="str">
        <f>IF(OR(F68="Х",F68="св")," ",IF(AND(G68&gt;=0,G68&lt;3),"1"," "))</f>
        <v>1</v>
      </c>
      <c r="AG68" s="387" t="str">
        <f>IF(OR(H68="Х",H68="св")," ",IF(AND(I68&gt;=0,I68&lt;3),"1"," "))</f>
        <v>1</v>
      </c>
      <c r="AH68" s="387" t="str">
        <f>IF(OR(J68="Х",J68="св")," ",IF(AND(K68&gt;=0,K68&lt;3),"1"," "))</f>
        <v>1</v>
      </c>
      <c r="AI68" s="387" t="str">
        <f>IF(OR(L68="Х",L68="св")," ",IF(AND(M68&gt;=0,M68&lt;3),"1"," "))</f>
        <v>1</v>
      </c>
      <c r="AJ68" s="387" t="str">
        <f>IF(OR(N68="Х",N68="св")," ",IF(AND(O68&gt;=0,O68&lt;3),"1"," "))</f>
        <v>1</v>
      </c>
      <c r="AK68" s="387" t="str">
        <f>IF(OR(P68="Х",P68="св")," ",IF(AND(Q68&gt;=0,Q68&lt;3),"1"," "))</f>
        <v>1</v>
      </c>
      <c r="AL68" s="387" t="str">
        <f>IF(OR(R68="Х",R68="св")," ",IF(AND(S68&gt;=0,S68&lt;3),"1"," "))</f>
        <v>1</v>
      </c>
      <c r="AM68" s="387" t="str">
        <f>IF(OR(T68="Х",T68="св")," ",IF(AND(U68&gt;=0,U68&lt;3),"1"," "))</f>
        <v>1</v>
      </c>
      <c r="AN68" s="388">
        <f>COUNTIF(AF68:AM69,1)</f>
        <v>8</v>
      </c>
      <c r="AO68" s="390">
        <f>AE68-AA68</f>
        <v>80</v>
      </c>
      <c r="AP68" s="391">
        <f t="shared" si="10"/>
        <v>0</v>
      </c>
      <c r="AQ68" s="384" t="str">
        <f>COUNTIF(AE$6:AE$119,"&gt;"&amp;AE$6:AE$119)+1&amp;REPT("-"&amp;COUNTIF(AE$6:AE$119,"&gt;="&amp;AE$6:AE$119),COUNTIF(AE$6:AE$119,AE68)&gt;1)</f>
        <v>6-56</v>
      </c>
      <c r="AR68" s="392"/>
      <c r="AS68" s="183"/>
      <c r="AT68" s="183"/>
      <c r="AU68" s="183"/>
      <c r="AV68" s="383">
        <f t="shared" si="64"/>
        <v>31</v>
      </c>
      <c r="AW68" s="19"/>
      <c r="AX68" s="19"/>
      <c r="AY68" s="19"/>
      <c r="AZ68" s="19"/>
      <c r="BU68" s="374">
        <f>IF(J68="х"," ",B68)</f>
        <v>31</v>
      </c>
      <c r="BV68" s="374">
        <f>IF(L68="х"," ",B68)</f>
        <v>31</v>
      </c>
      <c r="BW68" s="374" t="str">
        <f>IF(BV68=" "," ",L68)</f>
        <v xml:space="preserve"> </v>
      </c>
      <c r="BX68" s="374" t="str">
        <f>IF(BU68=" "," ",J68)</f>
        <v xml:space="preserve"> </v>
      </c>
      <c r="BY68" s="61">
        <f>IF(BU68&lt;BX68,BU68,0)</f>
        <v>31</v>
      </c>
      <c r="BZ68" s="61">
        <f t="shared" si="8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4">
        <f>IF(N68="х"," ",B68)</f>
        <v>31</v>
      </c>
      <c r="CG68" s="374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4">
        <f>IF(P68="х"," ",B68)</f>
        <v>31</v>
      </c>
      <c r="CM68" s="374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4">
        <f t="shared" ref="CR68" si="178">IF(R68="х"," ",B68)</f>
        <v>31</v>
      </c>
      <c r="CS68" s="374" t="str">
        <f t="shared" ref="CS68" si="179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2"/>
      <c r="C69" s="421"/>
      <c r="D69" s="423"/>
      <c r="E69" s="425"/>
      <c r="F69" s="438"/>
      <c r="G69" s="43"/>
      <c r="H69" s="435"/>
      <c r="I69" s="43"/>
      <c r="J69" s="435"/>
      <c r="K69" s="44"/>
      <c r="L69" s="435"/>
      <c r="M69" s="44"/>
      <c r="N69" s="435"/>
      <c r="O69" s="44"/>
      <c r="P69" s="435"/>
      <c r="Q69" s="44"/>
      <c r="R69" s="435"/>
      <c r="S69" s="44"/>
      <c r="T69" s="435"/>
      <c r="U69" s="47"/>
      <c r="V69" s="435"/>
      <c r="W69" s="44"/>
      <c r="X69" s="435"/>
      <c r="Y69" s="43"/>
      <c r="Z69" s="419"/>
      <c r="AA69" s="462"/>
      <c r="AB69" s="427"/>
      <c r="AC69" s="383"/>
      <c r="AD69" s="384"/>
      <c r="AE69" s="386"/>
      <c r="AF69" s="387"/>
      <c r="AG69" s="387"/>
      <c r="AH69" s="387"/>
      <c r="AI69" s="387"/>
      <c r="AJ69" s="387"/>
      <c r="AK69" s="387"/>
      <c r="AL69" s="387"/>
      <c r="AM69" s="387"/>
      <c r="AN69" s="389"/>
      <c r="AO69" s="384"/>
      <c r="AP69" s="391"/>
      <c r="AQ69" s="384"/>
      <c r="AR69" s="392"/>
      <c r="AS69" s="183"/>
      <c r="AT69" s="183"/>
      <c r="AU69" s="183"/>
      <c r="AV69" s="383"/>
      <c r="AW69" s="19"/>
      <c r="AX69" s="19"/>
      <c r="AY69" s="19"/>
      <c r="AZ69" s="19"/>
      <c r="BU69" s="374"/>
      <c r="BV69" s="374"/>
      <c r="BW69" s="374"/>
      <c r="BX69" s="374"/>
      <c r="BY69" s="61" t="str">
        <f>IF(BY68&gt;=1,BX68,0)</f>
        <v xml:space="preserve"> </v>
      </c>
      <c r="BZ69" s="61" t="str">
        <f t="shared" si="8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4"/>
      <c r="CG69" s="374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4"/>
      <c r="CM69" s="374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4"/>
      <c r="CS69" s="374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1">
        <v>32</v>
      </c>
      <c r="C70" s="420" t="e">
        <f>(VLOOKUP(B70,пр.взв!$B$7:$H$76,2,0))</f>
        <v>#N/A</v>
      </c>
      <c r="D70" s="422" t="e">
        <f>(VLOOKUP(B70,пр.взв!$B$7:$H$76,3,0))</f>
        <v>#N/A</v>
      </c>
      <c r="E70" s="424" t="e">
        <f>(VLOOKUP(B70,пр.взв!$B$7:$H$76,5,0))</f>
        <v>#N/A</v>
      </c>
      <c r="F70" s="439">
        <f t="shared" si="49"/>
        <v>0</v>
      </c>
      <c r="G70" s="42"/>
      <c r="H70" s="456"/>
      <c r="I70" s="42"/>
      <c r="J70" s="436" t="str">
        <f t="shared" si="20"/>
        <v xml:space="preserve"> </v>
      </c>
      <c r="K70" s="41"/>
      <c r="L70" s="434" t="str">
        <f>IF(J70="Х","Х",IF(K70&lt;2.5," ",IF(K70&gt;=2.5,IF(G70+I70+K70&gt;=6,"Х",IF(AA70&lt;6," "," ")))))</f>
        <v xml:space="preserve"> </v>
      </c>
      <c r="M70" s="41"/>
      <c r="N70" s="434" t="str">
        <f>IF(L70="Х","Х",IF(M70&lt;2.5," ",IF(M70&gt;=2.5,IF(G70+I70+K70+M70&gt;=6,"Х",IF(AA70&lt;6," "," ")))))</f>
        <v xml:space="preserve"> </v>
      </c>
      <c r="O70" s="41"/>
      <c r="P70" s="434" t="str">
        <f>IF(N70="Х","Х",IF(O70&lt;2.5," ",IF(O70&gt;=2.5,IF(G70+I70+K70+M70+O70&gt;=6,"Х",IF(AA70&lt;6," "," ")))))</f>
        <v xml:space="preserve"> </v>
      </c>
      <c r="Q70" s="41"/>
      <c r="R70" s="434" t="str">
        <f>IF(P70="Х","Х",IF(Q70&lt;2.5," ",IF(Q70&gt;=2.5,IF(G70+I70+K70+M70+O70+Q70&gt;=6,"Х",IF(AA70&lt;6," "," ")))))</f>
        <v xml:space="preserve"> </v>
      </c>
      <c r="S70" s="41"/>
      <c r="T70" s="434" t="str">
        <f>IF(R70="Х","Х",IF(S70&lt;2.5," ",IF(S70&gt;=2.5,IF(G70+I70+K70+M70+O70+Q70+S70&gt;=6,"Х",IF(AA70&lt;6," "," ")))))</f>
        <v xml:space="preserve"> </v>
      </c>
      <c r="U70" s="45"/>
      <c r="V70" s="434" t="str">
        <f>IF(T70="А1",$AX$7,IF(T70="Б2",$AX$6,IF(T70="Б1",$AY$7,IF(T70="А2",$AY$6,IF(T70="Х","Х",IF(T70&lt;6," "," "))))))</f>
        <v xml:space="preserve"> </v>
      </c>
      <c r="W70" s="41"/>
      <c r="X70" s="434" t="str">
        <f t="shared" ref="X70" si="180">IF(T70="Х","Х",IF(ISBLANK(W70),"",IF(W70&gt;2.5," ",IF(B70=AZ$6,AZ$7,AZ$6))))</f>
        <v/>
      </c>
      <c r="Y70" s="42"/>
      <c r="Z70" s="463" t="b">
        <f>IF(H70="Х","1",IF(J70="Х","2",IF(L70="Х","3",IF(N70="Х","4",IF(P70="Х","5",IF(R70="Х","6",IF(T70="Х","7",IF(V70="Х","8"))))))))</f>
        <v>0</v>
      </c>
      <c r="AA70" s="461">
        <f>SUM(G70+I70+K70+M70+O70+Q70+S70+U70+W70+Y70)</f>
        <v>0</v>
      </c>
      <c r="AB70" s="426">
        <f t="shared" ref="AB70" si="181">AD70+0</f>
        <v>20607</v>
      </c>
      <c r="AC70" s="383">
        <f>AB70</f>
        <v>20607</v>
      </c>
      <c r="AD70" s="384" t="str">
        <f>COUNTIF(AE$6:AE$119,"&gt;"&amp;AE$6:AE$119)+1&amp;REPT("-"&amp;COUNTIF(AE$6:AE$119,"&gt;="&amp;AE$6:AE$119),COUNTIF(AE$6:AE$119,AE70)&gt;1)</f>
        <v>6-56</v>
      </c>
      <c r="AE70" s="385">
        <f t="shared" si="44"/>
        <v>80</v>
      </c>
      <c r="AF70" s="387" t="str">
        <f>IF(OR(F70="Х",F70="св")," ",IF(AND(G70&gt;=0,G70&lt;3),"1"," "))</f>
        <v>1</v>
      </c>
      <c r="AG70" s="387" t="str">
        <f>IF(OR(H70="Х",H70="св")," ",IF(AND(I70&gt;=0,I70&lt;3),"1"," "))</f>
        <v>1</v>
      </c>
      <c r="AH70" s="387" t="str">
        <f>IF(OR(J70="Х",J70="св")," ",IF(AND(K70&gt;=0,K70&lt;3),"1"," "))</f>
        <v>1</v>
      </c>
      <c r="AI70" s="387" t="str">
        <f>IF(OR(L70="Х",L70="св")," ",IF(AND(M70&gt;=0,M70&lt;3),"1"," "))</f>
        <v>1</v>
      </c>
      <c r="AJ70" s="387" t="str">
        <f>IF(OR(N70="Х",N70="св")," ",IF(AND(O70&gt;=0,O70&lt;3),"1"," "))</f>
        <v>1</v>
      </c>
      <c r="AK70" s="387" t="str">
        <f>IF(OR(P70="Х",P70="св")," ",IF(AND(Q70&gt;=0,Q70&lt;3),"1"," "))</f>
        <v>1</v>
      </c>
      <c r="AL70" s="387" t="str">
        <f>IF(OR(R70="Х",R70="св")," ",IF(AND(S70&gt;=0,S70&lt;3),"1"," "))</f>
        <v>1</v>
      </c>
      <c r="AM70" s="387" t="str">
        <f>IF(OR(T70="Х",T70="св")," ",IF(AND(U70&gt;=0,U70&lt;3),"1"," "))</f>
        <v>1</v>
      </c>
      <c r="AN70" s="388">
        <f>COUNTIF(AF70:AM71,1)</f>
        <v>8</v>
      </c>
      <c r="AO70" s="390">
        <f>AE70-AA70</f>
        <v>80</v>
      </c>
      <c r="AP70" s="391">
        <f t="shared" si="10"/>
        <v>0</v>
      </c>
      <c r="AQ70" s="384" t="str">
        <f>COUNTIF(AE$6:AE$119,"&gt;"&amp;AE$6:AE$119)+1&amp;REPT("-"&amp;COUNTIF(AE$6:AE$119,"&gt;="&amp;AE$6:AE$119),COUNTIF(AE$6:AE$119,AE70)&gt;1)</f>
        <v>6-56</v>
      </c>
      <c r="AR70" s="392"/>
      <c r="AS70" s="183"/>
      <c r="AT70" s="183"/>
      <c r="AU70" s="183"/>
      <c r="AV70" s="383">
        <f t="shared" si="64"/>
        <v>32</v>
      </c>
      <c r="AW70" s="19"/>
      <c r="AX70" s="19"/>
      <c r="AY70" s="19"/>
      <c r="AZ70" s="19"/>
      <c r="BU70" s="374">
        <f>IF(J70="х"," ",B70)</f>
        <v>32</v>
      </c>
      <c r="BV70" s="374">
        <f>IF(L70="х"," ",B70)</f>
        <v>32</v>
      </c>
      <c r="BW70" s="374" t="str">
        <f>IF(BV70=" "," ",L70)</f>
        <v xml:space="preserve"> </v>
      </c>
      <c r="BX70" s="374" t="str">
        <f>IF(BU70=" "," ",J70)</f>
        <v xml:space="preserve"> </v>
      </c>
      <c r="BY70" s="61">
        <f>IF(BU70&lt;BX70,BU70,0)</f>
        <v>32</v>
      </c>
      <c r="BZ70" s="61">
        <f t="shared" si="8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4">
        <f>IF(N70="х"," ",B70)</f>
        <v>32</v>
      </c>
      <c r="CG70" s="374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4">
        <f>IF(P70="х"," ",B70)</f>
        <v>32</v>
      </c>
      <c r="CM70" s="374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4">
        <f t="shared" ref="CR70" si="182">IF(R70="х"," ",B70)</f>
        <v>32</v>
      </c>
      <c r="CS70" s="374" t="str">
        <f t="shared" ref="CS70" si="183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2"/>
      <c r="C71" s="421"/>
      <c r="D71" s="423"/>
      <c r="E71" s="425"/>
      <c r="F71" s="438"/>
      <c r="G71" s="44"/>
      <c r="H71" s="435"/>
      <c r="I71" s="44"/>
      <c r="J71" s="435"/>
      <c r="K71" s="44"/>
      <c r="L71" s="435"/>
      <c r="M71" s="44"/>
      <c r="N71" s="435"/>
      <c r="O71" s="44"/>
      <c r="P71" s="435"/>
      <c r="Q71" s="44"/>
      <c r="R71" s="435"/>
      <c r="S71" s="44"/>
      <c r="T71" s="435"/>
      <c r="U71" s="47"/>
      <c r="V71" s="435"/>
      <c r="W71" s="44"/>
      <c r="X71" s="435"/>
      <c r="Y71" s="44"/>
      <c r="Z71" s="419"/>
      <c r="AA71" s="462"/>
      <c r="AB71" s="427"/>
      <c r="AC71" s="383"/>
      <c r="AD71" s="384"/>
      <c r="AE71" s="386"/>
      <c r="AF71" s="387"/>
      <c r="AG71" s="387"/>
      <c r="AH71" s="387"/>
      <c r="AI71" s="387"/>
      <c r="AJ71" s="387"/>
      <c r="AK71" s="387"/>
      <c r="AL71" s="387"/>
      <c r="AM71" s="387"/>
      <c r="AN71" s="389"/>
      <c r="AO71" s="384"/>
      <c r="AP71" s="391"/>
      <c r="AQ71" s="384"/>
      <c r="AR71" s="392"/>
      <c r="AS71" s="183"/>
      <c r="AT71" s="183"/>
      <c r="AU71" s="183"/>
      <c r="AV71" s="383"/>
      <c r="AW71" s="19"/>
      <c r="AX71" s="19"/>
      <c r="AY71" s="19"/>
      <c r="AZ71" s="19"/>
      <c r="BU71" s="374"/>
      <c r="BV71" s="374"/>
      <c r="BW71" s="374"/>
      <c r="BX71" s="374"/>
      <c r="BY71" s="61" t="str">
        <f>IF(BY70&gt;=1,BX70,0)</f>
        <v xml:space="preserve"> </v>
      </c>
      <c r="BZ71" s="61" t="str">
        <f t="shared" si="8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4"/>
      <c r="CG71" s="374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4"/>
      <c r="CM71" s="374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4"/>
      <c r="CS71" s="374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1">
        <v>33</v>
      </c>
      <c r="C72" s="420" t="e">
        <f>(VLOOKUP(B72,пр.взв!$B$7:$H$76,2,0))</f>
        <v>#N/A</v>
      </c>
      <c r="D72" s="422" t="e">
        <f>(VLOOKUP(B72,пр.взв!$B$7:$H$76,3,0))</f>
        <v>#N/A</v>
      </c>
      <c r="E72" s="424" t="e">
        <f>(VLOOKUP(B72,пр.взв!$B$7:$H$76,5,0))</f>
        <v>#N/A</v>
      </c>
      <c r="F72" s="440">
        <f t="shared" ref="F72" si="184">IF(ISERROR(C72),0,B74)</f>
        <v>0</v>
      </c>
      <c r="G72" s="42"/>
      <c r="H72" s="456"/>
      <c r="I72" s="42"/>
      <c r="J72" s="436" t="str">
        <f>IF(H72="Х","Х",IF(I72+G72&lt;6," ",IF(I72+G72&gt;=6,IF(AA72&gt;=6,"Х",IF(AA72&lt;6," "," ")))))</f>
        <v xml:space="preserve"> </v>
      </c>
      <c r="K72" s="41"/>
      <c r="L72" s="434" t="str">
        <f>IF(J72="Х","Х",IF(K72&lt;2.5," ",IF(K72&gt;=2.5,IF(G72+I72+K72&gt;=6,"Х",IF(AA72&lt;6," "," ")))))</f>
        <v xml:space="preserve"> </v>
      </c>
      <c r="M72" s="41"/>
      <c r="N72" s="434" t="str">
        <f>IF(L72="Х","Х",IF(M72&lt;2.5," ",IF(M72&gt;=2.5,IF(G72+I72+K72+M72&gt;=6,"Х",IF(AA72&lt;6," "," ")))))</f>
        <v xml:space="preserve"> </v>
      </c>
      <c r="O72" s="41"/>
      <c r="P72" s="434" t="str">
        <f>IF(N72="Х","Х",IF(O72&lt;2.5," ",IF(O72&gt;=2.5,IF(G72+I72+K72+M72+O72&gt;=6,"Х",IF(AA72&lt;6," "," ")))))</f>
        <v xml:space="preserve"> </v>
      </c>
      <c r="Q72" s="41"/>
      <c r="R72" s="434" t="str">
        <f>IF(P72="Х","Х",IF(Q72&lt;2.5," ",IF(Q72&gt;=2.5,IF(G72+I72+K72+M72+O72+Q72&gt;=6,"Х",IF(AA72&lt;6," "," ")))))</f>
        <v xml:space="preserve"> </v>
      </c>
      <c r="S72" s="41"/>
      <c r="T72" s="434" t="str">
        <f>IF(R72="Х","Х",IF(S72&lt;2.5," ",IF(S72&gt;=2.5,IF(G72+I72+K72+M72+O72+Q72+S72&gt;=6,"Х",IF(AA72&lt;6," "," ")))))</f>
        <v xml:space="preserve"> </v>
      </c>
      <c r="U72" s="45"/>
      <c r="V72" s="434" t="str">
        <f>IF(T72="А1",$AX$7,IF(T72="Б2",$AX$6,IF(T72="Б1",$AY$7,IF(T72="А2",$AY$6,IF(T72="Х","Х",IF(T72&lt;6," "," "))))))</f>
        <v xml:space="preserve"> </v>
      </c>
      <c r="W72" s="41"/>
      <c r="X72" s="434" t="str">
        <f t="shared" ref="X72" si="185">IF(T72="Х","Х",IF(ISBLANK(W72),"",IF(W72&gt;2.5," ",IF(B72=AZ$6,AZ$7,AZ$6))))</f>
        <v/>
      </c>
      <c r="Y72" s="42"/>
      <c r="Z72" s="463" t="b">
        <f>IF(H72="Х","1",IF(J72="Х","2",IF(L72="Х","3",IF(N72="Х","4",IF(P72="Х","5",IF(R72="Х","6",IF(T72="Х","7",IF(V72="Х","8"))))))))</f>
        <v>0</v>
      </c>
      <c r="AA72" s="461">
        <f>SUM(G72+I72+K72+M72+O72+Q72+S72+U72+W72+Y72)</f>
        <v>0</v>
      </c>
      <c r="AB72" s="426">
        <f t="shared" ref="AB72" si="186">AD72+0</f>
        <v>20607</v>
      </c>
      <c r="AC72" s="383">
        <f>AB72</f>
        <v>20607</v>
      </c>
      <c r="AD72" s="384" t="str">
        <f>COUNTIF(AE$6:AE$119,"&gt;"&amp;AE$6:AE$119)+1&amp;REPT("-"&amp;COUNTIF(AE$6:AE$119,"&gt;="&amp;AE$6:AE$119),COUNTIF(AE$6:AE$119,AE72)&gt;1)</f>
        <v>6-56</v>
      </c>
      <c r="AE72" s="385">
        <f t="shared" si="44"/>
        <v>80</v>
      </c>
      <c r="AF72" s="387" t="str">
        <f>IF(OR(F72="Х",F72="св")," ",IF(AND(G72&gt;=0,G72&lt;3),"1"," "))</f>
        <v>1</v>
      </c>
      <c r="AG72" s="387" t="str">
        <f>IF(OR(H72="Х",H72="св")," ",IF(AND(I72&gt;=0,I72&lt;3),"1"," "))</f>
        <v>1</v>
      </c>
      <c r="AH72" s="387" t="str">
        <f>IF(OR(J72="Х",J72="св")," ",IF(AND(K72&gt;=0,K72&lt;3),"1"," "))</f>
        <v>1</v>
      </c>
      <c r="AI72" s="387" t="str">
        <f>IF(OR(L72="Х",L72="св")," ",IF(AND(M72&gt;=0,M72&lt;3),"1"," "))</f>
        <v>1</v>
      </c>
      <c r="AJ72" s="387" t="str">
        <f>IF(OR(N72="Х",N72="св")," ",IF(AND(O72&gt;=0,O72&lt;3),"1"," "))</f>
        <v>1</v>
      </c>
      <c r="AK72" s="387" t="str">
        <f>IF(OR(P72="Х",P72="св")," ",IF(AND(Q72&gt;=0,Q72&lt;3),"1"," "))</f>
        <v>1</v>
      </c>
      <c r="AL72" s="387" t="str">
        <f>IF(OR(R72="Х",R72="св")," ",IF(AND(S72&gt;=0,S72&lt;3),"1"," "))</f>
        <v>1</v>
      </c>
      <c r="AM72" s="387" t="str">
        <f>IF(OR(T72="Х",T72="св")," ",IF(AND(U72&gt;=0,U72&lt;3),"1"," "))</f>
        <v>1</v>
      </c>
      <c r="AN72" s="388">
        <f>COUNTIF(AF72:AM73,1)</f>
        <v>8</v>
      </c>
      <c r="AO72" s="390">
        <f>AE72-AA72</f>
        <v>80</v>
      </c>
      <c r="AP72" s="391">
        <f t="shared" si="10"/>
        <v>0</v>
      </c>
      <c r="AQ72" s="384" t="str">
        <f>COUNTIF(AE$6:AE$119,"&gt;"&amp;AE$6:AE$119)+1&amp;REPT("-"&amp;COUNTIF(AE$6:AE$119,"&gt;="&amp;AE$6:AE$119),COUNTIF(AE$6:AE$119,AE72)&gt;1)</f>
        <v>6-56</v>
      </c>
      <c r="AR72" s="392"/>
      <c r="AS72" s="183"/>
      <c r="AT72" s="183"/>
      <c r="AU72" s="183"/>
      <c r="AV72" s="383">
        <f t="shared" si="64"/>
        <v>33</v>
      </c>
      <c r="AW72" s="19"/>
      <c r="AX72" s="19"/>
      <c r="AY72" s="19"/>
      <c r="AZ72" s="19"/>
      <c r="BU72" s="374">
        <f>IF(J72="х"," ",B72)</f>
        <v>33</v>
      </c>
      <c r="BV72" s="374">
        <f>IF(L72="х"," ",B72)</f>
        <v>33</v>
      </c>
      <c r="BW72" s="374" t="str">
        <f>IF(BV72=" "," ",L72)</f>
        <v xml:space="preserve"> </v>
      </c>
      <c r="BX72" s="374" t="str">
        <f>IF(BU72=" "," ",J72)</f>
        <v xml:space="preserve"> </v>
      </c>
      <c r="BY72" s="61">
        <f>IF(BU72&lt;BX72,BU72,0)</f>
        <v>33</v>
      </c>
      <c r="BZ72" s="61">
        <f t="shared" si="8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4">
        <f>IF(N72="х"," ",B72)</f>
        <v>33</v>
      </c>
      <c r="CG72" s="374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4">
        <f>IF(P72="х"," ",B72)</f>
        <v>33</v>
      </c>
      <c r="CM72" s="374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4">
        <f t="shared" ref="CR72" si="187">IF(R72="х"," ",B72)</f>
        <v>33</v>
      </c>
      <c r="CS72" s="374" t="str">
        <f t="shared" ref="CS72" si="188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2"/>
      <c r="C73" s="421"/>
      <c r="D73" s="423"/>
      <c r="E73" s="425"/>
      <c r="F73" s="438"/>
      <c r="G73" s="44"/>
      <c r="H73" s="435"/>
      <c r="I73" s="44"/>
      <c r="J73" s="435"/>
      <c r="K73" s="44"/>
      <c r="L73" s="435"/>
      <c r="M73" s="44"/>
      <c r="N73" s="435"/>
      <c r="O73" s="44"/>
      <c r="P73" s="435"/>
      <c r="Q73" s="44"/>
      <c r="R73" s="435"/>
      <c r="S73" s="44"/>
      <c r="T73" s="435"/>
      <c r="U73" s="47"/>
      <c r="V73" s="435"/>
      <c r="W73" s="44"/>
      <c r="X73" s="435"/>
      <c r="Y73" s="44"/>
      <c r="Z73" s="419"/>
      <c r="AA73" s="462"/>
      <c r="AB73" s="427"/>
      <c r="AC73" s="383"/>
      <c r="AD73" s="384"/>
      <c r="AE73" s="386"/>
      <c r="AF73" s="387"/>
      <c r="AG73" s="387"/>
      <c r="AH73" s="387"/>
      <c r="AI73" s="387"/>
      <c r="AJ73" s="387"/>
      <c r="AK73" s="387"/>
      <c r="AL73" s="387"/>
      <c r="AM73" s="387"/>
      <c r="AN73" s="389"/>
      <c r="AO73" s="384"/>
      <c r="AP73" s="391"/>
      <c r="AQ73" s="384"/>
      <c r="AR73" s="392"/>
      <c r="AS73" s="183"/>
      <c r="AT73" s="183"/>
      <c r="AU73" s="183"/>
      <c r="AV73" s="383"/>
      <c r="AW73" s="19"/>
      <c r="AX73" s="19"/>
      <c r="AY73" s="19"/>
      <c r="AZ73" s="19"/>
      <c r="BU73" s="374"/>
      <c r="BV73" s="374"/>
      <c r="BW73" s="374"/>
      <c r="BX73" s="374"/>
      <c r="BY73" s="61" t="str">
        <f>IF(BY72&gt;=1,BX72,0)</f>
        <v xml:space="preserve"> </v>
      </c>
      <c r="BZ73" s="61" t="str">
        <f t="shared" si="8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4"/>
      <c r="CG73" s="374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4"/>
      <c r="CM73" s="374"/>
      <c r="CN73" t="str">
        <f>IF(CN72&gt;=1,CM72,0)</f>
        <v xml:space="preserve"> </v>
      </c>
      <c r="CO73" t="str">
        <f t="shared" ref="CO73:CO119" si="19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4"/>
      <c r="CS73" s="374"/>
      <c r="CT73" t="str">
        <f>IF(CT72&gt;=1,CS72,0)</f>
        <v xml:space="preserve"> </v>
      </c>
      <c r="CU73" t="str">
        <f t="shared" ref="CU73:CU119" si="19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1">
        <v>34</v>
      </c>
      <c r="C74" s="420" t="e">
        <f>(VLOOKUP(B74,пр.взв!$B$7:$H$76,2,0))</f>
        <v>#N/A</v>
      </c>
      <c r="D74" s="422" t="e">
        <f>(VLOOKUP(B74,пр.взв!$B$7:$H$76,3,0))</f>
        <v>#N/A</v>
      </c>
      <c r="E74" s="424" t="e">
        <f>(VLOOKUP(B74,пр.взв!$B$7:$H$76,5,0))</f>
        <v>#N/A</v>
      </c>
      <c r="F74" s="439">
        <f t="shared" ref="F74" si="192">IF(ISERROR(C74),0,B72)</f>
        <v>0</v>
      </c>
      <c r="G74" s="42"/>
      <c r="H74" s="456"/>
      <c r="I74" s="42"/>
      <c r="J74" s="436" t="str">
        <f>IF(H74="Х","Х",IF(I74+G74&lt;6," ",IF(I74+G74&gt;=6,IF(AA74&gt;=6,"Х",IF(AA74&lt;6," "," ")))))</f>
        <v xml:space="preserve"> </v>
      </c>
      <c r="K74" s="41"/>
      <c r="L74" s="434" t="str">
        <f>IF(J74="Х","Х",IF(K74&lt;2.5," ",IF(K74&gt;=2.5,IF(G74+I74+K74&gt;=6,"Х",IF(AA74&lt;6," "," ")))))</f>
        <v xml:space="preserve"> </v>
      </c>
      <c r="M74" s="41"/>
      <c r="N74" s="434" t="str">
        <f>IF(L74="Х","Х",IF(M74&lt;2.5," ",IF(M74&gt;=2.5,IF(G74+I74+K74+M74&gt;=6,"Х",IF(AA74&lt;6," "," ")))))</f>
        <v xml:space="preserve"> </v>
      </c>
      <c r="O74" s="41"/>
      <c r="P74" s="434" t="str">
        <f>IF(N74="Х","Х",IF(O74&lt;2.5," ",IF(O74&gt;=2.5,IF(G74+I74+K74+M74+O74&gt;=6,"Х",IF(AA74&lt;6," "," ")))))</f>
        <v xml:space="preserve"> </v>
      </c>
      <c r="Q74" s="41"/>
      <c r="R74" s="434" t="str">
        <f>IF(P74="Х","Х",IF(Q74&lt;2.5," ",IF(Q74&gt;=2.5,IF(G74+I74+K74+M74+O74+Q74&gt;=6,"Х",IF(AA74&lt;6," "," ")))))</f>
        <v xml:space="preserve"> </v>
      </c>
      <c r="S74" s="41"/>
      <c r="T74" s="434" t="str">
        <f>IF(R74="Х","Х",IF(S74&lt;2.5," ",IF(S74&gt;=2.5,IF(G74+I74+K74+M74+O74+Q74+S74&gt;=6,"Х",IF(AA74&lt;6," "," ")))))</f>
        <v xml:space="preserve"> </v>
      </c>
      <c r="U74" s="45"/>
      <c r="V74" s="434" t="str">
        <f>IF(T74="А1",$AX$7,IF(T74="Б2",$AX$6,IF(T74="Б1",$AY$7,IF(T74="А2",$AY$6,IF(T74="Х","Х",IF(T74&lt;6," "," "))))))</f>
        <v xml:space="preserve"> </v>
      </c>
      <c r="W74" s="41"/>
      <c r="X74" s="434" t="str">
        <f t="shared" ref="X74" si="193">IF(T74="Х","Х",IF(ISBLANK(W74),"",IF(W74&gt;2.5," ",IF(B74=AZ$6,AZ$7,AZ$6))))</f>
        <v/>
      </c>
      <c r="Y74" s="42"/>
      <c r="Z74" s="463" t="b">
        <f>IF(H74="Х","1",IF(J74="Х","2",IF(L74="Х","3",IF(N74="Х","4",IF(P74="Х","5",IF(R74="Х","6",IF(T74="Х","7",IF(V74="Х","8"))))))))</f>
        <v>0</v>
      </c>
      <c r="AA74" s="461">
        <f>SUM(G74+I74+K74+M74+O74+Q74+S74+U74+W74+Y74)</f>
        <v>0</v>
      </c>
      <c r="AB74" s="426">
        <f t="shared" ref="AB74" si="194">AD74+0</f>
        <v>20607</v>
      </c>
      <c r="AC74" s="383">
        <f>AB74</f>
        <v>20607</v>
      </c>
      <c r="AD74" s="384" t="str">
        <f>COUNTIF(AE$6:AE$119,"&gt;"&amp;AE$6:AE$119)+1&amp;REPT("-"&amp;COUNTIF(AE$6:AE$119,"&gt;="&amp;AE$6:AE$119),COUNTIF(AE$6:AE$119,AE74)&gt;1)</f>
        <v>6-56</v>
      </c>
      <c r="AE74" s="385">
        <f t="shared" si="44"/>
        <v>80</v>
      </c>
      <c r="AF74" s="387" t="str">
        <f>IF(OR(F74="Х",F74="св")," ",IF(AND(G74&gt;=0,G74&lt;3),"1"," "))</f>
        <v>1</v>
      </c>
      <c r="AG74" s="387" t="str">
        <f>IF(OR(H74="Х",H74="св")," ",IF(AND(I74&gt;=0,I74&lt;3),"1"," "))</f>
        <v>1</v>
      </c>
      <c r="AH74" s="387" t="str">
        <f>IF(OR(J74="Х",J74="св")," ",IF(AND(K74&gt;=0,K74&lt;3),"1"," "))</f>
        <v>1</v>
      </c>
      <c r="AI74" s="387" t="str">
        <f>IF(OR(L74="Х",L74="св")," ",IF(AND(M74&gt;=0,M74&lt;3),"1"," "))</f>
        <v>1</v>
      </c>
      <c r="AJ74" s="387" t="str">
        <f>IF(OR(N74="Х",N74="св")," ",IF(AND(O74&gt;=0,O74&lt;3),"1"," "))</f>
        <v>1</v>
      </c>
      <c r="AK74" s="387" t="str">
        <f>IF(OR(P74="Х",P74="св")," ",IF(AND(Q74&gt;=0,Q74&lt;3),"1"," "))</f>
        <v>1</v>
      </c>
      <c r="AL74" s="387" t="str">
        <f>IF(OR(R74="Х",R74="св")," ",IF(AND(S74&gt;=0,S74&lt;3),"1"," "))</f>
        <v>1</v>
      </c>
      <c r="AM74" s="387" t="str">
        <f>IF(OR(T74="Х",T74="св")," ",IF(AND(U74&gt;=0,U74&lt;3),"1"," "))</f>
        <v>1</v>
      </c>
      <c r="AN74" s="388">
        <f>COUNTIF(AF74:AM75,1)</f>
        <v>8</v>
      </c>
      <c r="AO74" s="390">
        <f>AE74-AA74</f>
        <v>80</v>
      </c>
      <c r="AP74" s="391">
        <f t="shared" ref="AP74:AP118" si="195">IF(F74=0,0,IF(F74="Х",1,IF(H74="Х",2,IF(J74="Х",3,IF(L74="Х",4,IF(N74="Х",5,IF(P74="Х",6,IF(R74="Х",7,IF(T74="Х",8,IF(W74&gt;2.5,9,IF(Y74&gt;2.5,10,IF(Y74&gt;=0,11,IF(Y74=" ",0,)))))))))))))</f>
        <v>0</v>
      </c>
      <c r="AQ74" s="384" t="str">
        <f>COUNTIF(AE$6:AE$119,"&gt;"&amp;AE$6:AE$119)+1&amp;REPT("-"&amp;COUNTIF(AE$6:AE$119,"&gt;="&amp;AE$6:AE$119),COUNTIF(AE$6:AE$119,AE74)&gt;1)</f>
        <v>6-56</v>
      </c>
      <c r="AR74" s="392"/>
      <c r="AS74" s="183"/>
      <c r="AT74" s="183"/>
      <c r="AU74" s="183"/>
      <c r="AV74" s="383">
        <f t="shared" si="64"/>
        <v>34</v>
      </c>
      <c r="AW74" s="19"/>
      <c r="AX74" s="19"/>
      <c r="AY74" s="19"/>
      <c r="AZ74" s="19"/>
      <c r="BU74" s="374">
        <f>IF(J74="х"," ",B74)</f>
        <v>34</v>
      </c>
      <c r="BV74" s="374">
        <f>IF(L74="х"," ",B74)</f>
        <v>34</v>
      </c>
      <c r="BW74" s="374" t="str">
        <f>IF(BV74=" "," ",L74)</f>
        <v xml:space="preserve"> </v>
      </c>
      <c r="BX74" s="374" t="str">
        <f>IF(BU74=" "," ",J74)</f>
        <v xml:space="preserve"> </v>
      </c>
      <c r="BY74" s="61">
        <f>IF(BU74&lt;BX74,BU74,0)</f>
        <v>34</v>
      </c>
      <c r="BZ74" s="61">
        <f t="shared" si="8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4">
        <f>IF(N74="х"," ",B74)</f>
        <v>34</v>
      </c>
      <c r="CG74" s="374" t="str">
        <f>IF(CF74=" "," ",N74)</f>
        <v xml:space="preserve"> </v>
      </c>
      <c r="CH74" s="125">
        <f>IF(CF74&lt;CG74,CF74,0)</f>
        <v>34</v>
      </c>
      <c r="CI74">
        <f t="shared" ref="CI74:CI119" si="19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4">
        <f>IF(P74="х"," ",B74)</f>
        <v>34</v>
      </c>
      <c r="CM74" s="374" t="str">
        <f>IF(CL74=" "," ",P74)</f>
        <v xml:space="preserve"> </v>
      </c>
      <c r="CN74">
        <f>IF(CL74&lt;CM74,CL74,0)</f>
        <v>34</v>
      </c>
      <c r="CO74">
        <f t="shared" si="19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4">
        <f t="shared" ref="CR74" si="197">IF(R74="х"," ",B74)</f>
        <v>34</v>
      </c>
      <c r="CS74" s="374" t="str">
        <f t="shared" ref="CS74" si="198">IF(CR74=" "," ",R74)</f>
        <v xml:space="preserve"> </v>
      </c>
      <c r="CT74">
        <f>IF(CR74&lt;CS74,CR74,0)</f>
        <v>34</v>
      </c>
      <c r="CU74">
        <f t="shared" si="19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2"/>
      <c r="C75" s="421"/>
      <c r="D75" s="423"/>
      <c r="E75" s="425"/>
      <c r="F75" s="438"/>
      <c r="G75" s="44"/>
      <c r="H75" s="435"/>
      <c r="I75" s="44"/>
      <c r="J75" s="435"/>
      <c r="K75" s="44"/>
      <c r="L75" s="435"/>
      <c r="M75" s="44"/>
      <c r="N75" s="435"/>
      <c r="O75" s="44"/>
      <c r="P75" s="435"/>
      <c r="Q75" s="44"/>
      <c r="R75" s="435"/>
      <c r="S75" s="44"/>
      <c r="T75" s="435"/>
      <c r="U75" s="47"/>
      <c r="V75" s="435"/>
      <c r="W75" s="44"/>
      <c r="X75" s="435"/>
      <c r="Y75" s="44"/>
      <c r="Z75" s="419"/>
      <c r="AA75" s="462"/>
      <c r="AB75" s="427"/>
      <c r="AC75" s="383"/>
      <c r="AD75" s="384"/>
      <c r="AE75" s="386"/>
      <c r="AF75" s="387"/>
      <c r="AG75" s="387"/>
      <c r="AH75" s="387"/>
      <c r="AI75" s="387"/>
      <c r="AJ75" s="387"/>
      <c r="AK75" s="387"/>
      <c r="AL75" s="387"/>
      <c r="AM75" s="387"/>
      <c r="AN75" s="389"/>
      <c r="AO75" s="384"/>
      <c r="AP75" s="391"/>
      <c r="AQ75" s="384"/>
      <c r="AR75" s="392"/>
      <c r="AS75" s="183"/>
      <c r="AT75" s="183"/>
      <c r="AU75" s="183"/>
      <c r="AV75" s="383"/>
      <c r="AW75" s="19"/>
      <c r="AX75" s="19"/>
      <c r="AY75" s="19"/>
      <c r="AZ75" s="19"/>
      <c r="BU75" s="374"/>
      <c r="BV75" s="374"/>
      <c r="BW75" s="374"/>
      <c r="BX75" s="374"/>
      <c r="BY75" s="61" t="str">
        <f>IF(BY74&gt;=1,BX74,0)</f>
        <v xml:space="preserve"> </v>
      </c>
      <c r="BZ75" s="61" t="str">
        <f t="shared" si="8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4"/>
      <c r="CG75" s="374"/>
      <c r="CH75" s="125" t="str">
        <f>IF(CH74&gt;=1,CG74,0)</f>
        <v xml:space="preserve"> </v>
      </c>
      <c r="CI75" t="str">
        <f t="shared" si="19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4"/>
      <c r="CM75" s="374"/>
      <c r="CN75" t="str">
        <f>IF(CN74&gt;=1,CM74,0)</f>
        <v xml:space="preserve"> </v>
      </c>
      <c r="CO75" t="str">
        <f t="shared" si="19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4"/>
      <c r="CS75" s="374"/>
      <c r="CT75" t="str">
        <f>IF(CT74&gt;=1,CS74,0)</f>
        <v xml:space="preserve"> </v>
      </c>
      <c r="CU75" t="str">
        <f t="shared" si="19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1">
        <v>35</v>
      </c>
      <c r="C76" s="420" t="e">
        <f>(VLOOKUP(B76,пр.взв!$B$7:$H$76,2,0))</f>
        <v>#N/A</v>
      </c>
      <c r="D76" s="422" t="e">
        <f>(VLOOKUP(B76,пр.взв!$B$7:$H$76,3,0))</f>
        <v>#N/A</v>
      </c>
      <c r="E76" s="424" t="e">
        <f>(VLOOKUP(B76,пр.взв!$B$7:$H$76,5,0))</f>
        <v>#N/A</v>
      </c>
      <c r="F76" s="440">
        <f t="shared" si="40"/>
        <v>0</v>
      </c>
      <c r="G76" s="42"/>
      <c r="H76" s="456"/>
      <c r="I76" s="42"/>
      <c r="J76" s="436" t="str">
        <f>IF(H76="Х","Х",IF(I76+G76&lt;6," ",IF(I76+G76&gt;=6,IF(AA76&gt;=6,"Х",IF(AA76&lt;6," "," ")))))</f>
        <v xml:space="preserve"> </v>
      </c>
      <c r="K76" s="41"/>
      <c r="L76" s="434" t="str">
        <f>IF(J76="Х","Х",IF(K76&lt;2.5," ",IF(K76&gt;=2.5,IF(G76+I76+K76&gt;=6,"Х",IF(AA76&lt;6," "," ")))))</f>
        <v xml:space="preserve"> </v>
      </c>
      <c r="M76" s="41"/>
      <c r="N76" s="434" t="str">
        <f>IF(L76="Х","Х",IF(M76&lt;2.5," ",IF(M76&gt;=2.5,IF(G76+I76+K76+M76&gt;=6,"Х",IF(AA76&lt;6," "," ")))))</f>
        <v xml:space="preserve"> </v>
      </c>
      <c r="O76" s="41"/>
      <c r="P76" s="434" t="str">
        <f>IF(N76="Х","Х",IF(O76&lt;2.5," ",IF(O76&gt;=2.5,IF(G76+I76+K76+M76+O76&gt;=6,"Х",IF(AA76&lt;6," "," ")))))</f>
        <v xml:space="preserve"> </v>
      </c>
      <c r="Q76" s="41"/>
      <c r="R76" s="434" t="str">
        <f>IF(P76="Х","Х",IF(Q76&lt;2.5," ",IF(Q76&gt;=2.5,IF(G76+I76+K76+M76+O76+Q76&gt;=6,"Х",IF(AA76&lt;6," "," ")))))</f>
        <v xml:space="preserve"> </v>
      </c>
      <c r="S76" s="41"/>
      <c r="T76" s="434" t="str">
        <f>IF(R76="Х","Х",IF(S76&lt;2.5," ",IF(S76&gt;=2.5,IF(G76+I76+K76+M76+O76+Q76+S76&gt;=6,"Х",IF(AA76&lt;6," "," ")))))</f>
        <v xml:space="preserve"> </v>
      </c>
      <c r="U76" s="45"/>
      <c r="V76" s="434" t="str">
        <f>IF(T76="А1",$AX$7,IF(T76="Б2",$AX$6,IF(T76="Б1",$AY$7,IF(T76="А2",$AY$6,IF(T76="Х","Х",IF(T76&lt;6," "," "))))))</f>
        <v xml:space="preserve"> </v>
      </c>
      <c r="W76" s="41"/>
      <c r="X76" s="434" t="str">
        <f t="shared" ref="X76" si="199">IF(T76="Х","Х",IF(ISBLANK(W76),"",IF(W76&gt;2.5," ",IF(B76=AZ$6,AZ$7,AZ$6))))</f>
        <v/>
      </c>
      <c r="Y76" s="42"/>
      <c r="Z76" s="463" t="b">
        <f>IF(H76="Х","1",IF(J76="Х","2",IF(L76="Х","3",IF(N76="Х","4",IF(P76="Х","5",IF(R76="Х","6",IF(T76="Х","7",IF(V76="Х","8"))))))))</f>
        <v>0</v>
      </c>
      <c r="AA76" s="461">
        <f>SUM(G76+I76+K76+M76+O76+Q76+S76+U76+W76+Y76)</f>
        <v>0</v>
      </c>
      <c r="AB76" s="426">
        <f t="shared" ref="AB76" si="200">AD76+0</f>
        <v>20607</v>
      </c>
      <c r="AC76" s="383">
        <f>AB76</f>
        <v>20607</v>
      </c>
      <c r="AD76" s="384" t="str">
        <f>COUNTIF(AE$6:AE$119,"&gt;"&amp;AE$6:AE$119)+1&amp;REPT("-"&amp;COUNTIF(AE$6:AE$119,"&gt;="&amp;AE$6:AE$119),COUNTIF(AE$6:AE$119,AE76)&gt;1)</f>
        <v>6-56</v>
      </c>
      <c r="AE76" s="385">
        <f t="shared" si="44"/>
        <v>80</v>
      </c>
      <c r="AF76" s="387" t="str">
        <f>IF(OR(F76="Х",F76="св")," ",IF(AND(G76&gt;=0,G76&lt;3),"1"," "))</f>
        <v>1</v>
      </c>
      <c r="AG76" s="387" t="str">
        <f>IF(OR(H76="Х",H76="св")," ",IF(AND(I76&gt;=0,I76&lt;3),"1"," "))</f>
        <v>1</v>
      </c>
      <c r="AH76" s="387" t="str">
        <f>IF(OR(J76="Х",J76="св")," ",IF(AND(K76&gt;=0,K76&lt;3),"1"," "))</f>
        <v>1</v>
      </c>
      <c r="AI76" s="387" t="str">
        <f>IF(OR(L76="Х",L76="св")," ",IF(AND(M76&gt;=0,M76&lt;3),"1"," "))</f>
        <v>1</v>
      </c>
      <c r="AJ76" s="387" t="str">
        <f>IF(OR(N76="Х",N76="св")," ",IF(AND(O76&gt;=0,O76&lt;3),"1"," "))</f>
        <v>1</v>
      </c>
      <c r="AK76" s="387" t="str">
        <f>IF(OR(P76="Х",P76="св")," ",IF(AND(Q76&gt;=0,Q76&lt;3),"1"," "))</f>
        <v>1</v>
      </c>
      <c r="AL76" s="387" t="str">
        <f>IF(OR(R76="Х",R76="св")," ",IF(AND(S76&gt;=0,S76&lt;3),"1"," "))</f>
        <v>1</v>
      </c>
      <c r="AM76" s="387" t="str">
        <f>IF(OR(T76="Х",T76="св")," ",IF(AND(U76&gt;=0,U76&lt;3),"1"," "))</f>
        <v>1</v>
      </c>
      <c r="AN76" s="388">
        <f>COUNTIF(AF76:AM77,1)</f>
        <v>8</v>
      </c>
      <c r="AO76" s="390">
        <f>AE76-AA76</f>
        <v>80</v>
      </c>
      <c r="AP76" s="391">
        <f t="shared" si="195"/>
        <v>0</v>
      </c>
      <c r="AQ76" s="384" t="str">
        <f>COUNTIF(AE$6:AE$119,"&gt;"&amp;AE$6:AE$119)+1&amp;REPT("-"&amp;COUNTIF(AE$6:AE$119,"&gt;="&amp;AE$6:AE$119),COUNTIF(AE$6:AE$119,AE76)&gt;1)</f>
        <v>6-56</v>
      </c>
      <c r="AR76" s="392"/>
      <c r="AS76" s="183"/>
      <c r="AT76" s="183"/>
      <c r="AU76" s="183"/>
      <c r="AV76" s="383">
        <f t="shared" si="64"/>
        <v>35</v>
      </c>
      <c r="AW76" s="19"/>
      <c r="AX76" s="19"/>
      <c r="AY76" s="19"/>
      <c r="AZ76" s="19"/>
      <c r="BU76" s="374">
        <f>IF(J76="х"," ",B76)</f>
        <v>35</v>
      </c>
      <c r="BV76" s="374">
        <f>IF(L76="х"," ",B76)</f>
        <v>35</v>
      </c>
      <c r="BW76" s="374" t="str">
        <f>IF(BV76=" "," ",L76)</f>
        <v xml:space="preserve"> </v>
      </c>
      <c r="BX76" s="374" t="str">
        <f>IF(BU76=" "," ",J76)</f>
        <v xml:space="preserve"> </v>
      </c>
      <c r="BY76" s="61">
        <f>IF(BU76&lt;BX76,BU76,0)</f>
        <v>35</v>
      </c>
      <c r="BZ76" s="61">
        <f t="shared" si="8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4">
        <f>IF(N76="х"," ",B76)</f>
        <v>35</v>
      </c>
      <c r="CG76" s="374" t="str">
        <f>IF(CF76=" "," ",N76)</f>
        <v xml:space="preserve"> </v>
      </c>
      <c r="CH76" s="125">
        <f>IF(CF76&lt;CG76,CF76,0)</f>
        <v>35</v>
      </c>
      <c r="CI76">
        <f t="shared" si="19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4">
        <f>IF(P76="х"," ",B76)</f>
        <v>35</v>
      </c>
      <c r="CM76" s="374" t="str">
        <f>IF(CL76=" "," ",P76)</f>
        <v xml:space="preserve"> </v>
      </c>
      <c r="CN76">
        <f>IF(CL76&lt;CM76,CL76,0)</f>
        <v>35</v>
      </c>
      <c r="CO76">
        <f t="shared" si="19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4">
        <f t="shared" ref="CR76" si="201">IF(R76="х"," ",B76)</f>
        <v>35</v>
      </c>
      <c r="CS76" s="374" t="str">
        <f t="shared" ref="CS76" si="202">IF(CR76=" "," ",R76)</f>
        <v xml:space="preserve"> </v>
      </c>
      <c r="CT76">
        <f>IF(CR76&lt;CS76,CR76,0)</f>
        <v>35</v>
      </c>
      <c r="CU76">
        <f t="shared" si="19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2"/>
      <c r="C77" s="421"/>
      <c r="D77" s="423"/>
      <c r="E77" s="425"/>
      <c r="F77" s="438"/>
      <c r="G77" s="44"/>
      <c r="H77" s="435"/>
      <c r="I77" s="44"/>
      <c r="J77" s="435"/>
      <c r="K77" s="44"/>
      <c r="L77" s="435"/>
      <c r="M77" s="44"/>
      <c r="N77" s="435"/>
      <c r="O77" s="44"/>
      <c r="P77" s="435"/>
      <c r="Q77" s="44"/>
      <c r="R77" s="435"/>
      <c r="S77" s="44"/>
      <c r="T77" s="435"/>
      <c r="U77" s="47"/>
      <c r="V77" s="435"/>
      <c r="W77" s="44"/>
      <c r="X77" s="435"/>
      <c r="Y77" s="44"/>
      <c r="Z77" s="419"/>
      <c r="AA77" s="462"/>
      <c r="AB77" s="427"/>
      <c r="AC77" s="383"/>
      <c r="AD77" s="384"/>
      <c r="AE77" s="386"/>
      <c r="AF77" s="387"/>
      <c r="AG77" s="387"/>
      <c r="AH77" s="387"/>
      <c r="AI77" s="387"/>
      <c r="AJ77" s="387"/>
      <c r="AK77" s="387"/>
      <c r="AL77" s="387"/>
      <c r="AM77" s="387"/>
      <c r="AN77" s="389"/>
      <c r="AO77" s="384"/>
      <c r="AP77" s="391"/>
      <c r="AQ77" s="384"/>
      <c r="AR77" s="392"/>
      <c r="AS77" s="183"/>
      <c r="AT77" s="183"/>
      <c r="AU77" s="183"/>
      <c r="AV77" s="383"/>
      <c r="AW77" s="19"/>
      <c r="AX77" s="19"/>
      <c r="AY77" s="19"/>
      <c r="AZ77" s="19"/>
      <c r="BU77" s="374"/>
      <c r="BV77" s="374"/>
      <c r="BW77" s="374"/>
      <c r="BX77" s="374"/>
      <c r="BY77" s="61" t="str">
        <f>IF(BY76&gt;=1,BX76,0)</f>
        <v xml:space="preserve"> </v>
      </c>
      <c r="BZ77" s="61" t="str">
        <f t="shared" si="8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4"/>
      <c r="CG77" s="374"/>
      <c r="CH77" s="125" t="str">
        <f>IF(CH76&gt;=1,CG76,0)</f>
        <v xml:space="preserve"> </v>
      </c>
      <c r="CI77" t="str">
        <f t="shared" si="19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4"/>
      <c r="CM77" s="374"/>
      <c r="CN77" t="str">
        <f>IF(CN76&gt;=1,CM76,0)</f>
        <v xml:space="preserve"> </v>
      </c>
      <c r="CO77" t="str">
        <f t="shared" si="19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4"/>
      <c r="CS77" s="374"/>
      <c r="CT77" t="str">
        <f>IF(CT76&gt;=1,CS76,0)</f>
        <v xml:space="preserve"> </v>
      </c>
      <c r="CU77" t="str">
        <f t="shared" si="19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1">
        <v>36</v>
      </c>
      <c r="C78" s="420" t="e">
        <f>(VLOOKUP(B78,пр.взв!$B$7:$H$76,2,0))</f>
        <v>#N/A</v>
      </c>
      <c r="D78" s="422" t="e">
        <f>(VLOOKUP(B78,пр.взв!$B$7:$H$76,3,0))</f>
        <v>#N/A</v>
      </c>
      <c r="E78" s="424" t="e">
        <f>(VLOOKUP(B78,пр.взв!$B$7:$H$76,5,0))</f>
        <v>#N/A</v>
      </c>
      <c r="F78" s="439">
        <f t="shared" si="49"/>
        <v>0</v>
      </c>
      <c r="G78" s="42"/>
      <c r="H78" s="456"/>
      <c r="I78" s="42"/>
      <c r="J78" s="436" t="str">
        <f>IF(H78="Х","Х",IF(I78+G78&lt;6," ",IF(I78+G78&gt;=6,IF(AA78&gt;=6,"Х",IF(AA78&lt;6," "," ")))))</f>
        <v xml:space="preserve"> </v>
      </c>
      <c r="K78" s="41"/>
      <c r="L78" s="434" t="str">
        <f>IF(J78="Х","Х",IF(K78&lt;2.5," ",IF(K78&gt;=2.5,IF(G78+I78+K78&gt;=6,"Х",IF(AA78&lt;6," "," ")))))</f>
        <v xml:space="preserve"> </v>
      </c>
      <c r="M78" s="41"/>
      <c r="N78" s="434" t="str">
        <f>IF(L78="Х","Х",IF(M78&lt;2.5," ",IF(M78&gt;=2.5,IF(G78+I78+K78+M78&gt;=6,"Х",IF(AA78&lt;6," "," ")))))</f>
        <v xml:space="preserve"> </v>
      </c>
      <c r="O78" s="41"/>
      <c r="P78" s="434" t="str">
        <f>IF(N78="Х","Х",IF(O78&lt;2.5," ",IF(O78&gt;=2.5,IF(G78+I78+K78+M78+O78&gt;=6,"Х",IF(AA78&lt;6," "," ")))))</f>
        <v xml:space="preserve"> </v>
      </c>
      <c r="Q78" s="41"/>
      <c r="R78" s="434" t="str">
        <f>IF(P78="Х","Х",IF(Q78&lt;2.5," ",IF(Q78&gt;=2.5,IF(G78+I78+K78+M78+O78+Q78&gt;=6,"Х",IF(AA78&lt;6," "," ")))))</f>
        <v xml:space="preserve"> </v>
      </c>
      <c r="S78" s="41"/>
      <c r="T78" s="434" t="str">
        <f>IF(R78="Х","Х",IF(S78&lt;2.5," ",IF(S78&gt;=2.5,IF(G78+I78+K78+M78+O78+Q78+S78&gt;=6,"Х",IF(AA78&lt;6," "," ")))))</f>
        <v xml:space="preserve"> </v>
      </c>
      <c r="U78" s="45"/>
      <c r="V78" s="434" t="str">
        <f>IF(T78="А1",$AX$7,IF(T78="Б2",$AX$6,IF(T78="Б1",$AY$7,IF(T78="А2",$AY$6,IF(T78="Х","Х",IF(T78&lt;6," "," "))))))</f>
        <v xml:space="preserve"> </v>
      </c>
      <c r="W78" s="41"/>
      <c r="X78" s="434" t="str">
        <f t="shared" ref="X78" si="203">IF(T78="Х","Х",IF(ISBLANK(W78),"",IF(W78&gt;2.5," ",IF(B78=AZ$6,AZ$7,AZ$6))))</f>
        <v/>
      </c>
      <c r="Y78" s="42"/>
      <c r="Z78" s="463" t="b">
        <f>IF(H78="Х","1",IF(J78="Х","2",IF(L78="Х","3",IF(N78="Х","4",IF(P78="Х","5",IF(R78="Х","6",IF(T78="Х","7",IF(V78="Х","8"))))))))</f>
        <v>0</v>
      </c>
      <c r="AA78" s="461">
        <f>SUM(G78+I78+K78+M78+O78+Q78+S78+U78+W78+Y78)</f>
        <v>0</v>
      </c>
      <c r="AB78" s="426">
        <f t="shared" ref="AB78" si="204">AD78+0</f>
        <v>20607</v>
      </c>
      <c r="AC78" s="383">
        <f>AB78</f>
        <v>20607</v>
      </c>
      <c r="AD78" s="384" t="str">
        <f>COUNTIF(AE$6:AE$119,"&gt;"&amp;AE$6:AE$119)+1&amp;REPT("-"&amp;COUNTIF(AE$6:AE$119,"&gt;="&amp;AE$6:AE$119),COUNTIF(AE$6:AE$119,AE78)&gt;1)</f>
        <v>6-56</v>
      </c>
      <c r="AE78" s="385">
        <f t="shared" si="44"/>
        <v>80</v>
      </c>
      <c r="AF78" s="387" t="str">
        <f>IF(OR(F78="Х",F78="св")," ",IF(AND(G78&gt;=0,G78&lt;3),"1"," "))</f>
        <v>1</v>
      </c>
      <c r="AG78" s="387" t="str">
        <f>IF(OR(H78="Х",H78="св")," ",IF(AND(I78&gt;=0,I78&lt;3),"1"," "))</f>
        <v>1</v>
      </c>
      <c r="AH78" s="387" t="str">
        <f>IF(OR(J78="Х",J78="св")," ",IF(AND(K78&gt;=0,K78&lt;3),"1"," "))</f>
        <v>1</v>
      </c>
      <c r="AI78" s="387" t="str">
        <f>IF(OR(L78="Х",L78="св")," ",IF(AND(M78&gt;=0,M78&lt;3),"1"," "))</f>
        <v>1</v>
      </c>
      <c r="AJ78" s="387" t="str">
        <f>IF(OR(N78="Х",N78="св")," ",IF(AND(O78&gt;=0,O78&lt;3),"1"," "))</f>
        <v>1</v>
      </c>
      <c r="AK78" s="387" t="str">
        <f>IF(OR(P78="Х",P78="св")," ",IF(AND(Q78&gt;=0,Q78&lt;3),"1"," "))</f>
        <v>1</v>
      </c>
      <c r="AL78" s="387" t="str">
        <f>IF(OR(R78="Х",R78="св")," ",IF(AND(S78&gt;=0,S78&lt;3),"1"," "))</f>
        <v>1</v>
      </c>
      <c r="AM78" s="387" t="str">
        <f>IF(OR(T78="Х",T78="св")," ",IF(AND(U78&gt;=0,U78&lt;3),"1"," "))</f>
        <v>1</v>
      </c>
      <c r="AN78" s="388">
        <f>COUNTIF(AF78:AM79,1)</f>
        <v>8</v>
      </c>
      <c r="AO78" s="390">
        <f>AE78-AA78</f>
        <v>80</v>
      </c>
      <c r="AP78" s="391">
        <f t="shared" si="195"/>
        <v>0</v>
      </c>
      <c r="AQ78" s="384" t="str">
        <f>COUNTIF(AE$6:AE$119,"&gt;"&amp;AE$6:AE$119)+1&amp;REPT("-"&amp;COUNTIF(AE$6:AE$119,"&gt;="&amp;AE$6:AE$119),COUNTIF(AE$6:AE$119,AE78)&gt;1)</f>
        <v>6-56</v>
      </c>
      <c r="AR78" s="392"/>
      <c r="AS78" s="183"/>
      <c r="AT78" s="183"/>
      <c r="AU78" s="183"/>
      <c r="AV78" s="383">
        <f t="shared" si="64"/>
        <v>36</v>
      </c>
      <c r="AW78" s="19"/>
      <c r="AX78" s="19"/>
      <c r="AY78" s="19"/>
      <c r="AZ78" s="19"/>
      <c r="BU78" s="374">
        <f>IF(J78="х"," ",B78)</f>
        <v>36</v>
      </c>
      <c r="BV78" s="374">
        <f>IF(L78="х"," ",B78)</f>
        <v>36</v>
      </c>
      <c r="BW78" s="374" t="str">
        <f>IF(BV78=" "," ",L78)</f>
        <v xml:space="preserve"> </v>
      </c>
      <c r="BX78" s="374" t="str">
        <f>IF(BU78=" "," ",J78)</f>
        <v xml:space="preserve"> </v>
      </c>
      <c r="BY78" s="61">
        <f>IF(BU78&lt;BX78,BU78,0)</f>
        <v>36</v>
      </c>
      <c r="BZ78" s="61">
        <f t="shared" si="8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4">
        <f>IF(N78="х"," ",B78)</f>
        <v>36</v>
      </c>
      <c r="CG78" s="374" t="str">
        <f>IF(CF78=" "," ",N78)</f>
        <v xml:space="preserve"> </v>
      </c>
      <c r="CH78" s="125">
        <f>IF(CF78&lt;CG78,CF78,0)</f>
        <v>36</v>
      </c>
      <c r="CI78">
        <f t="shared" si="19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4">
        <f>IF(P78="х"," ",B78)</f>
        <v>36</v>
      </c>
      <c r="CM78" s="374" t="str">
        <f>IF(CL78=" "," ",P78)</f>
        <v xml:space="preserve"> </v>
      </c>
      <c r="CN78">
        <f>IF(CL78&lt;CM78,CL78,0)</f>
        <v>36</v>
      </c>
      <c r="CO78">
        <f t="shared" si="19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4">
        <f t="shared" ref="CR78" si="205">IF(R78="х"," ",B78)</f>
        <v>36</v>
      </c>
      <c r="CS78" s="374" t="str">
        <f t="shared" ref="CS78" si="206">IF(CR78=" "," ",R78)</f>
        <v xml:space="preserve"> </v>
      </c>
      <c r="CT78">
        <f>IF(CR78&lt;CS78,CR78,0)</f>
        <v>36</v>
      </c>
      <c r="CU78">
        <f t="shared" si="19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2"/>
      <c r="C79" s="421"/>
      <c r="D79" s="423"/>
      <c r="E79" s="425"/>
      <c r="F79" s="438"/>
      <c r="G79" s="44"/>
      <c r="H79" s="435"/>
      <c r="I79" s="44"/>
      <c r="J79" s="435"/>
      <c r="K79" s="44"/>
      <c r="L79" s="435"/>
      <c r="M79" s="44"/>
      <c r="N79" s="435"/>
      <c r="O79" s="44"/>
      <c r="P79" s="435"/>
      <c r="Q79" s="44"/>
      <c r="R79" s="435"/>
      <c r="S79" s="44"/>
      <c r="T79" s="435"/>
      <c r="U79" s="47"/>
      <c r="V79" s="435"/>
      <c r="W79" s="44"/>
      <c r="X79" s="435"/>
      <c r="Y79" s="44"/>
      <c r="Z79" s="419"/>
      <c r="AA79" s="462"/>
      <c r="AB79" s="427"/>
      <c r="AC79" s="383"/>
      <c r="AD79" s="384"/>
      <c r="AE79" s="386"/>
      <c r="AF79" s="387"/>
      <c r="AG79" s="387"/>
      <c r="AH79" s="387"/>
      <c r="AI79" s="387"/>
      <c r="AJ79" s="387"/>
      <c r="AK79" s="387"/>
      <c r="AL79" s="387"/>
      <c r="AM79" s="387"/>
      <c r="AN79" s="389"/>
      <c r="AO79" s="384"/>
      <c r="AP79" s="391"/>
      <c r="AQ79" s="384"/>
      <c r="AR79" s="392"/>
      <c r="AS79" s="183"/>
      <c r="AT79" s="183"/>
      <c r="AU79" s="183"/>
      <c r="AV79" s="383"/>
      <c r="AW79" s="19"/>
      <c r="AX79" s="19"/>
      <c r="AY79" s="19"/>
      <c r="AZ79" s="19"/>
      <c r="BU79" s="374"/>
      <c r="BV79" s="374"/>
      <c r="BW79" s="374"/>
      <c r="BX79" s="374"/>
      <c r="BY79" s="61" t="str">
        <f>IF(BY78&gt;=1,BX78,0)</f>
        <v xml:space="preserve"> </v>
      </c>
      <c r="BZ79" s="61" t="str">
        <f t="shared" si="8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4"/>
      <c r="CG79" s="374"/>
      <c r="CH79" s="125" t="str">
        <f>IF(CH78&gt;=1,CG78,0)</f>
        <v xml:space="preserve"> </v>
      </c>
      <c r="CI79" t="str">
        <f t="shared" si="19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4"/>
      <c r="CM79" s="374"/>
      <c r="CN79" t="str">
        <f>IF(CN78&gt;=1,CM78,0)</f>
        <v xml:space="preserve"> </v>
      </c>
      <c r="CO79" t="str">
        <f t="shared" si="19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4"/>
      <c r="CS79" s="374"/>
      <c r="CT79" t="str">
        <f>IF(CT78&gt;=1,CS78,0)</f>
        <v xml:space="preserve"> </v>
      </c>
      <c r="CU79" t="str">
        <f t="shared" si="19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1">
        <v>37</v>
      </c>
      <c r="C80" s="420" t="e">
        <f>(VLOOKUP(B80,пр.взв!$B$7:$H$76,2,0))</f>
        <v>#N/A</v>
      </c>
      <c r="D80" s="422" t="e">
        <f>(VLOOKUP(B80,пр.взв!$B$7:$H$76,3,0))</f>
        <v>#N/A</v>
      </c>
      <c r="E80" s="424" t="e">
        <f>(VLOOKUP(B80,пр.взв!$B$7:$H$76,5,0))</f>
        <v>#N/A</v>
      </c>
      <c r="F80" s="440">
        <f t="shared" ref="F80" si="207">IF(ISERROR(C80),0,B82)</f>
        <v>0</v>
      </c>
      <c r="G80" s="42"/>
      <c r="H80" s="456"/>
      <c r="I80" s="42"/>
      <c r="J80" s="436" t="str">
        <f>IF(H80="Х","Х",IF(I80+G80&lt;6," ",IF(I80+G80&gt;=6,IF(AA80&gt;=6,"Х",IF(AA80&lt;6," "," ")))))</f>
        <v xml:space="preserve"> </v>
      </c>
      <c r="K80" s="41"/>
      <c r="L80" s="434" t="str">
        <f>IF(J80="Х","Х",IF(K80&lt;2.5," ",IF(K80&gt;=2.5,IF(G80+I80+K80&gt;=6,"Х",IF(AA80&lt;6," "," ")))))</f>
        <v xml:space="preserve"> </v>
      </c>
      <c r="M80" s="41"/>
      <c r="N80" s="434" t="str">
        <f>IF(L80="Х","Х",IF(M80&lt;2.5," ",IF(M80&gt;=2.5,IF(G80+I80+K80+M80&gt;=6,"Х",IF(AA80&lt;6," "," ")))))</f>
        <v xml:space="preserve"> </v>
      </c>
      <c r="O80" s="41"/>
      <c r="P80" s="434" t="str">
        <f>IF(N80="Х","Х",IF(O80&lt;2.5," ",IF(O80&gt;=2.5,IF(G80+I80+K80+M80+O80&gt;=6,"Х",IF(AA80&lt;6," "," ")))))</f>
        <v xml:space="preserve"> </v>
      </c>
      <c r="Q80" s="41"/>
      <c r="R80" s="434" t="str">
        <f>IF(P80="Х","Х",IF(Q80&lt;2.5," ",IF(Q80&gt;=2.5,IF(G80+I80+K80+M80+O80+Q80&gt;=6,"Х",IF(AA80&lt;6," "," ")))))</f>
        <v xml:space="preserve"> </v>
      </c>
      <c r="S80" s="41"/>
      <c r="T80" s="434" t="str">
        <f>IF(R80="Х","Х",IF(S80&lt;2.5," ",IF(S80&gt;=2.5,IF(G80+I80+K80+M80+O80+Q80+S80&gt;=6,"Х",IF(AA80&lt;6," "," ")))))</f>
        <v xml:space="preserve"> </v>
      </c>
      <c r="U80" s="45"/>
      <c r="V80" s="434" t="str">
        <f>IF(T80="А1",$AX$7,IF(T80="Б2",$AX$6,IF(T80="Б1",$AY$7,IF(T80="А2",$AY$6,IF(T80="Х","Х",IF(T80&lt;6," "," "))))))</f>
        <v xml:space="preserve"> </v>
      </c>
      <c r="W80" s="41"/>
      <c r="X80" s="434" t="str">
        <f t="shared" ref="X80" si="208">IF(T80="Х","Х",IF(ISBLANK(W80),"",IF(W80&gt;2.5," ",IF(B80=AZ$6,AZ$7,AZ$6))))</f>
        <v/>
      </c>
      <c r="Y80" s="42"/>
      <c r="Z80" s="463" t="b">
        <f>IF(H80="Х","1",IF(J80="Х","2",IF(L80="Х","3",IF(N80="Х","4",IF(P80="Х","5",IF(R80="Х","6",IF(T80="Х","7",IF(V80="Х","8"))))))))</f>
        <v>0</v>
      </c>
      <c r="AA80" s="461">
        <f>SUM(G80+I80+K80+M80+O80+Q80+S80+U80+W80+Y80)</f>
        <v>0</v>
      </c>
      <c r="AB80" s="426">
        <f t="shared" ref="AB80" si="209">AD80+0</f>
        <v>20607</v>
      </c>
      <c r="AC80" s="383">
        <f>AB80</f>
        <v>20607</v>
      </c>
      <c r="AD80" s="384" t="str">
        <f>COUNTIF(AE$6:AE$119,"&gt;"&amp;AE$6:AE$119)+1&amp;REPT("-"&amp;COUNTIF(AE$6:AE$119,"&gt;="&amp;AE$6:AE$119),COUNTIF(AE$6:AE$119,AE80)&gt;1)</f>
        <v>6-56</v>
      </c>
      <c r="AE80" s="385">
        <f t="shared" si="44"/>
        <v>80</v>
      </c>
      <c r="AF80" s="387" t="str">
        <f>IF(OR(F80="Х",F80="св")," ",IF(AND(G80&gt;=0,G80&lt;3),"1"," "))</f>
        <v>1</v>
      </c>
      <c r="AG80" s="387" t="str">
        <f>IF(OR(H80="Х",H80="св")," ",IF(AND(I80&gt;=0,I80&lt;3),"1"," "))</f>
        <v>1</v>
      </c>
      <c r="AH80" s="387" t="str">
        <f>IF(OR(J80="Х",J80="св")," ",IF(AND(K80&gt;=0,K80&lt;3),"1"," "))</f>
        <v>1</v>
      </c>
      <c r="AI80" s="387" t="str">
        <f>IF(OR(L80="Х",L80="св")," ",IF(AND(M80&gt;=0,M80&lt;3),"1"," "))</f>
        <v>1</v>
      </c>
      <c r="AJ80" s="387" t="str">
        <f>IF(OR(N80="Х",N80="св")," ",IF(AND(O80&gt;=0,O80&lt;3),"1"," "))</f>
        <v>1</v>
      </c>
      <c r="AK80" s="387" t="str">
        <f>IF(OR(P80="Х",P80="св")," ",IF(AND(Q80&gt;=0,Q80&lt;3),"1"," "))</f>
        <v>1</v>
      </c>
      <c r="AL80" s="387" t="str">
        <f>IF(OR(R80="Х",R80="св")," ",IF(AND(S80&gt;=0,S80&lt;3),"1"," "))</f>
        <v>1</v>
      </c>
      <c r="AM80" s="387" t="str">
        <f>IF(OR(T80="Х",T80="св")," ",IF(AND(U80&gt;=0,U80&lt;3),"1"," "))</f>
        <v>1</v>
      </c>
      <c r="AN80" s="388">
        <f>COUNTIF(AF80:AM81,1)</f>
        <v>8</v>
      </c>
      <c r="AO80" s="390">
        <f>AE80-AA80</f>
        <v>80</v>
      </c>
      <c r="AP80" s="391">
        <f t="shared" si="195"/>
        <v>0</v>
      </c>
      <c r="AQ80" s="384" t="str">
        <f>COUNTIF(AE$6:AE$119,"&gt;"&amp;AE$6:AE$119)+1&amp;REPT("-"&amp;COUNTIF(AE$6:AE$119,"&gt;="&amp;AE$6:AE$119),COUNTIF(AE$6:AE$119,AE80)&gt;1)</f>
        <v>6-56</v>
      </c>
      <c r="AR80" s="392"/>
      <c r="AS80" s="183"/>
      <c r="AT80" s="183"/>
      <c r="AU80" s="183"/>
      <c r="AV80" s="383">
        <f t="shared" si="64"/>
        <v>37</v>
      </c>
      <c r="AW80" s="19"/>
      <c r="AX80" s="19"/>
      <c r="AY80" s="19"/>
      <c r="AZ80" s="19"/>
      <c r="BU80" s="374">
        <f>IF(J80="х"," ",B80)</f>
        <v>37</v>
      </c>
      <c r="BV80" s="374">
        <f>IF(L80="х"," ",B80)</f>
        <v>37</v>
      </c>
      <c r="BW80" s="374" t="str">
        <f>IF(BV80=" "," ",L80)</f>
        <v xml:space="preserve"> </v>
      </c>
      <c r="BX80" s="374" t="str">
        <f>IF(BU80=" "," ",J80)</f>
        <v xml:space="preserve"> </v>
      </c>
      <c r="BY80" s="61">
        <f>IF(BU80&lt;BX80,BU80,0)</f>
        <v>37</v>
      </c>
      <c r="BZ80" s="61">
        <f t="shared" si="8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4">
        <f>IF(N80="х"," ",B80)</f>
        <v>37</v>
      </c>
      <c r="CG80" s="374" t="str">
        <f>IF(CF80=" "," ",N80)</f>
        <v xml:space="preserve"> </v>
      </c>
      <c r="CH80" s="125">
        <f>IF(CF80&lt;CG80,CF80,0)</f>
        <v>37</v>
      </c>
      <c r="CI80">
        <f t="shared" si="19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4">
        <f>IF(P80="х"," ",B80)</f>
        <v>37</v>
      </c>
      <c r="CM80" s="374" t="str">
        <f>IF(CL80=" "," ",P80)</f>
        <v xml:space="preserve"> </v>
      </c>
      <c r="CN80">
        <f>IF(CL80&lt;CM80,CL80,0)</f>
        <v>37</v>
      </c>
      <c r="CO80">
        <f t="shared" si="19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4">
        <f t="shared" ref="CR80" si="210">IF(R80="х"," ",B80)</f>
        <v>37</v>
      </c>
      <c r="CS80" s="374" t="str">
        <f t="shared" ref="CS80" si="211">IF(CR80=" "," ",R80)</f>
        <v xml:space="preserve"> </v>
      </c>
      <c r="CT80">
        <f>IF(CR80&lt;CS80,CR80,0)</f>
        <v>37</v>
      </c>
      <c r="CU80">
        <f t="shared" si="19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2"/>
      <c r="C81" s="421"/>
      <c r="D81" s="423"/>
      <c r="E81" s="425"/>
      <c r="F81" s="438"/>
      <c r="G81" s="44"/>
      <c r="H81" s="435"/>
      <c r="I81" s="44"/>
      <c r="J81" s="435"/>
      <c r="K81" s="44"/>
      <c r="L81" s="435"/>
      <c r="M81" s="44"/>
      <c r="N81" s="435"/>
      <c r="O81" s="44"/>
      <c r="P81" s="435"/>
      <c r="Q81" s="44"/>
      <c r="R81" s="435"/>
      <c r="S81" s="44"/>
      <c r="T81" s="435"/>
      <c r="U81" s="47"/>
      <c r="V81" s="435"/>
      <c r="W81" s="44"/>
      <c r="X81" s="435"/>
      <c r="Y81" s="44"/>
      <c r="Z81" s="419"/>
      <c r="AA81" s="462"/>
      <c r="AB81" s="427"/>
      <c r="AC81" s="383"/>
      <c r="AD81" s="384"/>
      <c r="AE81" s="386"/>
      <c r="AF81" s="387"/>
      <c r="AG81" s="387"/>
      <c r="AH81" s="387"/>
      <c r="AI81" s="387"/>
      <c r="AJ81" s="387"/>
      <c r="AK81" s="387"/>
      <c r="AL81" s="387"/>
      <c r="AM81" s="387"/>
      <c r="AN81" s="389"/>
      <c r="AO81" s="384"/>
      <c r="AP81" s="391"/>
      <c r="AQ81" s="384"/>
      <c r="AR81" s="392"/>
      <c r="AS81" s="183"/>
      <c r="AT81" s="183"/>
      <c r="AU81" s="183"/>
      <c r="AV81" s="383"/>
      <c r="AW81" s="19"/>
      <c r="AX81" s="19"/>
      <c r="AY81" s="19"/>
      <c r="AZ81" s="19"/>
      <c r="BU81" s="374"/>
      <c r="BV81" s="374"/>
      <c r="BW81" s="374"/>
      <c r="BX81" s="374"/>
      <c r="BY81" s="61" t="str">
        <f>IF(BY80&gt;=1,BX80,0)</f>
        <v xml:space="preserve"> </v>
      </c>
      <c r="BZ81" s="61" t="str">
        <f t="shared" si="8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4"/>
      <c r="CG81" s="374"/>
      <c r="CH81" s="125" t="str">
        <f>IF(CH80&gt;=1,CG80,0)</f>
        <v xml:space="preserve"> </v>
      </c>
      <c r="CI81" t="str">
        <f t="shared" si="19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4"/>
      <c r="CM81" s="374"/>
      <c r="CN81" t="str">
        <f>IF(CN80&gt;=1,CM80,0)</f>
        <v xml:space="preserve"> </v>
      </c>
      <c r="CO81" t="str">
        <f t="shared" si="19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4"/>
      <c r="CS81" s="374"/>
      <c r="CT81" t="str">
        <f>IF(CT80&gt;=1,CS80,0)</f>
        <v xml:space="preserve"> </v>
      </c>
      <c r="CU81" t="str">
        <f t="shared" si="19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1">
        <v>38</v>
      </c>
      <c r="C82" s="420" t="e">
        <f>(VLOOKUP(B82,пр.взв!$B$7:$H$76,2,0))</f>
        <v>#N/A</v>
      </c>
      <c r="D82" s="422" t="e">
        <f>(VLOOKUP(B82,пр.взв!$B$7:$H$76,3,0))</f>
        <v>#N/A</v>
      </c>
      <c r="E82" s="424" t="e">
        <f>(VLOOKUP(B82,пр.взв!$B$7:$H$76,5,0))</f>
        <v>#N/A</v>
      </c>
      <c r="F82" s="439">
        <f t="shared" ref="F82" si="212">IF(ISERROR(C82),0,B80)</f>
        <v>0</v>
      </c>
      <c r="G82" s="42"/>
      <c r="H82" s="456"/>
      <c r="I82" s="42"/>
      <c r="J82" s="436" t="str">
        <f>IF(H82="Х","Х",IF(I82+G82&lt;6," ",IF(I82+G82&gt;=6,IF(AA82&gt;=6,"Х",IF(AA82&lt;6," "," ")))))</f>
        <v xml:space="preserve"> </v>
      </c>
      <c r="K82" s="41"/>
      <c r="L82" s="434" t="str">
        <f>IF(J82="Х","Х",IF(K82&lt;2.5," ",IF(K82&gt;=2.5,IF(G82+I82+K82&gt;=6,"Х",IF(AA82&lt;6," "," ")))))</f>
        <v xml:space="preserve"> </v>
      </c>
      <c r="M82" s="41"/>
      <c r="N82" s="434" t="str">
        <f>IF(L82="Х","Х",IF(M82&lt;2.5," ",IF(M82&gt;=2.5,IF(G82+I82+K82+M82&gt;=6,"Х",IF(AA82&lt;6," "," ")))))</f>
        <v xml:space="preserve"> </v>
      </c>
      <c r="O82" s="41"/>
      <c r="P82" s="434" t="str">
        <f>IF(N82="Х","Х",IF(O82&lt;2.5," ",IF(O82&gt;=2.5,IF(G82+I82+K82+M82+O82&gt;=6,"Х",IF(AA82&lt;6," "," ")))))</f>
        <v xml:space="preserve"> </v>
      </c>
      <c r="Q82" s="41"/>
      <c r="R82" s="434" t="str">
        <f>IF(P82="Х","Х",IF(Q82&lt;2.5," ",IF(Q82&gt;=2.5,IF(G82+I82+K82+M82+O82+Q82&gt;=6,"Х",IF(AA82&lt;6," "," ")))))</f>
        <v xml:space="preserve"> </v>
      </c>
      <c r="S82" s="41"/>
      <c r="T82" s="434" t="str">
        <f>IF(R82="Х","Х",IF(S82&lt;2.5," ",IF(S82&gt;=2.5,IF(G82+I82+K82+M82+O82+Q82+S82&gt;=6,"Х",IF(AA82&lt;6," "," ")))))</f>
        <v xml:space="preserve"> </v>
      </c>
      <c r="U82" s="45"/>
      <c r="V82" s="434" t="str">
        <f>IF(T82="А1",$AX$7,IF(T82="Б2",$AX$6,IF(T82="Б1",$AY$7,IF(T82="А2",$AY$6,IF(T82="Х","Х",IF(T82&lt;6," "," "))))))</f>
        <v xml:space="preserve"> </v>
      </c>
      <c r="W82" s="41"/>
      <c r="X82" s="434" t="str">
        <f t="shared" ref="X82" si="213">IF(T82="Х","Х",IF(ISBLANK(W82),"",IF(W82&gt;2.5," ",IF(B82=AZ$6,AZ$7,AZ$6))))</f>
        <v/>
      </c>
      <c r="Y82" s="42"/>
      <c r="Z82" s="463" t="b">
        <f>IF(H82="Х","1",IF(J82="Х","2",IF(L82="Х","3",IF(N82="Х","4",IF(P82="Х","5",IF(R82="Х","6",IF(T82="Х","7",IF(V82="Х","8"))))))))</f>
        <v>0</v>
      </c>
      <c r="AA82" s="461">
        <f>SUM(G82+I82+K82+M82+O82+Q82+S82+U82+W82+Y82)</f>
        <v>0</v>
      </c>
      <c r="AB82" s="426">
        <f t="shared" ref="AB82" si="214">AD82+0</f>
        <v>20607</v>
      </c>
      <c r="AC82" s="383">
        <f>AB82</f>
        <v>20607</v>
      </c>
      <c r="AD82" s="384" t="str">
        <f>COUNTIF(AE$6:AE$119,"&gt;"&amp;AE$6:AE$119)+1&amp;REPT("-"&amp;COUNTIF(AE$6:AE$119,"&gt;="&amp;AE$6:AE$119),COUNTIF(AE$6:AE$119,AE82)&gt;1)</f>
        <v>6-56</v>
      </c>
      <c r="AE82" s="385">
        <f t="shared" si="44"/>
        <v>80</v>
      </c>
      <c r="AF82" s="387" t="str">
        <f>IF(OR(F82="Х",F82="св")," ",IF(AND(G82&gt;=0,G82&lt;3),"1"," "))</f>
        <v>1</v>
      </c>
      <c r="AG82" s="387" t="str">
        <f>IF(OR(H82="Х",H82="св")," ",IF(AND(I82&gt;=0,I82&lt;3),"1"," "))</f>
        <v>1</v>
      </c>
      <c r="AH82" s="387" t="str">
        <f>IF(OR(J82="Х",J82="св")," ",IF(AND(K82&gt;=0,K82&lt;3),"1"," "))</f>
        <v>1</v>
      </c>
      <c r="AI82" s="387" t="str">
        <f>IF(OR(L82="Х",L82="св")," ",IF(AND(M82&gt;=0,M82&lt;3),"1"," "))</f>
        <v>1</v>
      </c>
      <c r="AJ82" s="387" t="str">
        <f>IF(OR(N82="Х",N82="св")," ",IF(AND(O82&gt;=0,O82&lt;3),"1"," "))</f>
        <v>1</v>
      </c>
      <c r="AK82" s="387" t="str">
        <f>IF(OR(P82="Х",P82="св")," ",IF(AND(Q82&gt;=0,Q82&lt;3),"1"," "))</f>
        <v>1</v>
      </c>
      <c r="AL82" s="387" t="str">
        <f>IF(OR(R82="Х",R82="св")," ",IF(AND(S82&gt;=0,S82&lt;3),"1"," "))</f>
        <v>1</v>
      </c>
      <c r="AM82" s="387" t="str">
        <f>IF(OR(T82="Х",T82="св")," ",IF(AND(U82&gt;=0,U82&lt;3),"1"," "))</f>
        <v>1</v>
      </c>
      <c r="AN82" s="388">
        <f>COUNTIF(AF82:AM83,1)</f>
        <v>8</v>
      </c>
      <c r="AO82" s="390">
        <f>AE82-AA82</f>
        <v>80</v>
      </c>
      <c r="AP82" s="391">
        <f t="shared" si="195"/>
        <v>0</v>
      </c>
      <c r="AQ82" s="384" t="str">
        <f>COUNTIF(AE$6:AE$119,"&gt;"&amp;AE$6:AE$119)+1&amp;REPT("-"&amp;COUNTIF(AE$6:AE$119,"&gt;="&amp;AE$6:AE$119),COUNTIF(AE$6:AE$119,AE82)&gt;1)</f>
        <v>6-56</v>
      </c>
      <c r="AR82" s="392"/>
      <c r="AS82" s="183"/>
      <c r="AT82" s="183"/>
      <c r="AU82" s="183"/>
      <c r="AV82" s="383">
        <f t="shared" si="64"/>
        <v>38</v>
      </c>
      <c r="AW82" s="19"/>
      <c r="AX82" s="19"/>
      <c r="AY82" s="19"/>
      <c r="AZ82" s="19"/>
      <c r="BU82" s="374">
        <f>IF(J82="х"," ",B82)</f>
        <v>38</v>
      </c>
      <c r="BV82" s="374">
        <f>IF(L82="х"," ",B82)</f>
        <v>38</v>
      </c>
      <c r="BW82" s="374" t="str">
        <f>IF(BV82=" "," ",L82)</f>
        <v xml:space="preserve"> </v>
      </c>
      <c r="BX82" s="374" t="str">
        <f>IF(BU82=" "," ",J82)</f>
        <v xml:space="preserve"> </v>
      </c>
      <c r="BY82" s="61">
        <f>IF(BU82&lt;BX82,BU82,0)</f>
        <v>38</v>
      </c>
      <c r="BZ82" s="61">
        <f t="shared" si="8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4">
        <f>IF(N82="х"," ",B82)</f>
        <v>38</v>
      </c>
      <c r="CG82" s="374" t="str">
        <f>IF(CF82=" "," ",N82)</f>
        <v xml:space="preserve"> </v>
      </c>
      <c r="CH82" s="125">
        <f>IF(CF82&lt;CG82,CF82,0)</f>
        <v>38</v>
      </c>
      <c r="CI82">
        <f t="shared" si="19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4">
        <f>IF(P82="х"," ",B82)</f>
        <v>38</v>
      </c>
      <c r="CM82" s="374" t="str">
        <f>IF(CL82=" "," ",P82)</f>
        <v xml:space="preserve"> </v>
      </c>
      <c r="CN82">
        <f>IF(CL82&lt;CM82,CL82,0)</f>
        <v>38</v>
      </c>
      <c r="CO82">
        <f t="shared" si="19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4">
        <f t="shared" ref="CR82" si="215">IF(R82="х"," ",B82)</f>
        <v>38</v>
      </c>
      <c r="CS82" s="374" t="str">
        <f t="shared" ref="CS82" si="216">IF(CR82=" "," ",R82)</f>
        <v xml:space="preserve"> </v>
      </c>
      <c r="CT82">
        <f>IF(CR82&lt;CS82,CR82,0)</f>
        <v>38</v>
      </c>
      <c r="CU82">
        <f t="shared" si="19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2"/>
      <c r="C83" s="421"/>
      <c r="D83" s="423"/>
      <c r="E83" s="425"/>
      <c r="F83" s="438"/>
      <c r="G83" s="44"/>
      <c r="H83" s="435"/>
      <c r="I83" s="44"/>
      <c r="J83" s="435"/>
      <c r="K83" s="44"/>
      <c r="L83" s="435"/>
      <c r="M83" s="44"/>
      <c r="N83" s="435"/>
      <c r="O83" s="44"/>
      <c r="P83" s="435"/>
      <c r="Q83" s="44"/>
      <c r="R83" s="435"/>
      <c r="S83" s="44"/>
      <c r="T83" s="435"/>
      <c r="U83" s="47"/>
      <c r="V83" s="435"/>
      <c r="W83" s="44"/>
      <c r="X83" s="435"/>
      <c r="Y83" s="44"/>
      <c r="Z83" s="419"/>
      <c r="AA83" s="462"/>
      <c r="AB83" s="427"/>
      <c r="AC83" s="383"/>
      <c r="AD83" s="384"/>
      <c r="AE83" s="386"/>
      <c r="AF83" s="387"/>
      <c r="AG83" s="387"/>
      <c r="AH83" s="387"/>
      <c r="AI83" s="387"/>
      <c r="AJ83" s="387"/>
      <c r="AK83" s="387"/>
      <c r="AL83" s="387"/>
      <c r="AM83" s="387"/>
      <c r="AN83" s="389"/>
      <c r="AO83" s="384"/>
      <c r="AP83" s="391"/>
      <c r="AQ83" s="384"/>
      <c r="AR83" s="392"/>
      <c r="AS83" s="183"/>
      <c r="AT83" s="183"/>
      <c r="AU83" s="183"/>
      <c r="AV83" s="383"/>
      <c r="AW83" s="19"/>
      <c r="AX83" s="19"/>
      <c r="AY83" s="19"/>
      <c r="AZ83" s="19"/>
      <c r="BU83" s="374"/>
      <c r="BV83" s="374"/>
      <c r="BW83" s="374"/>
      <c r="BX83" s="374"/>
      <c r="BY83" s="61" t="str">
        <f>IF(BY82&gt;=1,BX82,0)</f>
        <v xml:space="preserve"> </v>
      </c>
      <c r="BZ83" s="61" t="str">
        <f t="shared" si="8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4"/>
      <c r="CG83" s="374"/>
      <c r="CH83" s="125" t="str">
        <f>IF(CH82&gt;=1,CG82,0)</f>
        <v xml:space="preserve"> </v>
      </c>
      <c r="CI83" t="str">
        <f t="shared" si="19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4"/>
      <c r="CM83" s="374"/>
      <c r="CN83" t="str">
        <f>IF(CN82&gt;=1,CM82,0)</f>
        <v xml:space="preserve"> </v>
      </c>
      <c r="CO83" t="str">
        <f t="shared" si="19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4"/>
      <c r="CS83" s="374"/>
      <c r="CT83" t="str">
        <f>IF(CT82&gt;=1,CS82,0)</f>
        <v xml:space="preserve"> </v>
      </c>
      <c r="CU83" t="str">
        <f t="shared" si="19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1">
        <v>39</v>
      </c>
      <c r="C84" s="420" t="e">
        <f>(VLOOKUP(B84,пр.взв!$B$7:$H$76,2,0))</f>
        <v>#N/A</v>
      </c>
      <c r="D84" s="422" t="e">
        <f>(VLOOKUP(B84,пр.взв!$B$7:$H$76,3,0))</f>
        <v>#N/A</v>
      </c>
      <c r="E84" s="424" t="e">
        <f>(VLOOKUP(B84,пр.взв!$B$7:$H$76,5,0))</f>
        <v>#N/A</v>
      </c>
      <c r="F84" s="440">
        <f t="shared" ref="F84:F116" si="217">IF(ISERROR(C84),0,B86)</f>
        <v>0</v>
      </c>
      <c r="G84" s="42"/>
      <c r="H84" s="456"/>
      <c r="I84" s="42"/>
      <c r="J84" s="436" t="str">
        <f>IF(H84="Х","Х",IF(I84+G84&lt;6," ",IF(I84+G84&gt;=6,IF(AA84&gt;=6,"Х",IF(AA84&lt;6," "," ")))))</f>
        <v xml:space="preserve"> </v>
      </c>
      <c r="K84" s="41"/>
      <c r="L84" s="434" t="str">
        <f>IF(J84="Х","Х",IF(K84&lt;2.5," ",IF(K84&gt;=2.5,IF(G84+I84+K84&gt;=6,"Х",IF(AA84&lt;6," "," ")))))</f>
        <v xml:space="preserve"> </v>
      </c>
      <c r="M84" s="41"/>
      <c r="N84" s="434" t="str">
        <f>IF(L84="Х","Х",IF(M84&lt;2.5," ",IF(M84&gt;=2.5,IF(G84+I84+K84+M84&gt;=6,"Х",IF(AA84&lt;6," "," ")))))</f>
        <v xml:space="preserve"> </v>
      </c>
      <c r="O84" s="41"/>
      <c r="P84" s="434" t="str">
        <f>IF(N84="Х","Х",IF(O84&lt;2.5," ",IF(O84&gt;=2.5,IF(G84+I84+K84+M84+O84&gt;=6,"Х",IF(AA84&lt;6," "," ")))))</f>
        <v xml:space="preserve"> </v>
      </c>
      <c r="Q84" s="41"/>
      <c r="R84" s="434" t="str">
        <f>IF(P84="Х","Х",IF(Q84&lt;2.5," ",IF(Q84&gt;=2.5,IF(G84+I84+K84+M84+O84+Q84&gt;=6,"Х",IF(AA84&lt;6," "," ")))))</f>
        <v xml:space="preserve"> </v>
      </c>
      <c r="S84" s="41"/>
      <c r="T84" s="434" t="str">
        <f>IF(R84="Х","Х",IF(S84&lt;2.5," ",IF(S84&gt;=2.5,IF(G84+I84+K84+M84+O84+Q84+S84&gt;=6,"Х",IF(AA84&lt;6," "," ")))))</f>
        <v xml:space="preserve"> </v>
      </c>
      <c r="U84" s="45"/>
      <c r="V84" s="434" t="str">
        <f>IF(T84="А1",$AX$7,IF(T84="Б2",$AX$6,IF(T84="Б1",$AY$7,IF(T84="А2",$AY$6,IF(T84="Х","Х",IF(T84&lt;6," "," "))))))</f>
        <v xml:space="preserve"> </v>
      </c>
      <c r="W84" s="41"/>
      <c r="X84" s="434" t="str">
        <f t="shared" ref="X84" si="218">IF(T84="Х","Х",IF(ISBLANK(W84),"",IF(W84&gt;2.5," ",IF(B84=AZ$6,AZ$7,AZ$6))))</f>
        <v/>
      </c>
      <c r="Y84" s="42"/>
      <c r="Z84" s="463" t="b">
        <f>IF(H84="Х","1",IF(J84="Х","2",IF(L84="Х","3",IF(N84="Х","4",IF(P84="Х","5",IF(R84="Х","6",IF(T84="Х","7",IF(V84="Х","8"))))))))</f>
        <v>0</v>
      </c>
      <c r="AA84" s="461">
        <f>SUM(G84+I84+K84+M84+O84+Q84+S84+U84+W84+Y84)</f>
        <v>0</v>
      </c>
      <c r="AB84" s="426">
        <f t="shared" ref="AB84" si="219">AD84+0</f>
        <v>20607</v>
      </c>
      <c r="AC84" s="383">
        <f>AB84</f>
        <v>20607</v>
      </c>
      <c r="AD84" s="384" t="str">
        <f>COUNTIF(AE$6:AE$119,"&gt;"&amp;AE$6:AE$119)+1&amp;REPT("-"&amp;COUNTIF(AE$6:AE$119,"&gt;="&amp;AE$6:AE$119),COUNTIF(AE$6:AE$119,AE84)&gt;1)</f>
        <v>6-56</v>
      </c>
      <c r="AE84" s="385">
        <f t="shared" ref="AE84:AE118" si="220">(AP84*100)+(AN84*10)-AA84</f>
        <v>80</v>
      </c>
      <c r="AF84" s="387" t="str">
        <f>IF(OR(F84="Х",F84="св")," ",IF(AND(G84&gt;=0,G84&lt;3),"1"," "))</f>
        <v>1</v>
      </c>
      <c r="AG84" s="387" t="str">
        <f>IF(OR(H84="Х",H84="св")," ",IF(AND(I84&gt;=0,I84&lt;3),"1"," "))</f>
        <v>1</v>
      </c>
      <c r="AH84" s="387" t="str">
        <f>IF(OR(J84="Х",J84="св")," ",IF(AND(K84&gt;=0,K84&lt;3),"1"," "))</f>
        <v>1</v>
      </c>
      <c r="AI84" s="387" t="str">
        <f>IF(OR(L84="Х",L84="св")," ",IF(AND(M84&gt;=0,M84&lt;3),"1"," "))</f>
        <v>1</v>
      </c>
      <c r="AJ84" s="387" t="str">
        <f>IF(OR(N84="Х",N84="св")," ",IF(AND(O84&gt;=0,O84&lt;3),"1"," "))</f>
        <v>1</v>
      </c>
      <c r="AK84" s="387" t="str">
        <f>IF(OR(P84="Х",P84="св")," ",IF(AND(Q84&gt;=0,Q84&lt;3),"1"," "))</f>
        <v>1</v>
      </c>
      <c r="AL84" s="387" t="str">
        <f>IF(OR(R84="Х",R84="св")," ",IF(AND(S84&gt;=0,S84&lt;3),"1"," "))</f>
        <v>1</v>
      </c>
      <c r="AM84" s="387" t="str">
        <f>IF(OR(T84="Х",T84="св")," ",IF(AND(U84&gt;=0,U84&lt;3),"1"," "))</f>
        <v>1</v>
      </c>
      <c r="AN84" s="388">
        <f>COUNTIF(AF84:AM85,1)</f>
        <v>8</v>
      </c>
      <c r="AO84" s="390">
        <f>AE84-AA84</f>
        <v>80</v>
      </c>
      <c r="AP84" s="391">
        <f t="shared" si="195"/>
        <v>0</v>
      </c>
      <c r="AQ84" s="384" t="str">
        <f>COUNTIF(AE$6:AE$119,"&gt;"&amp;AE$6:AE$119)+1&amp;REPT("-"&amp;COUNTIF(AE$6:AE$119,"&gt;="&amp;AE$6:AE$119),COUNTIF(AE$6:AE$119,AE84)&gt;1)</f>
        <v>6-56</v>
      </c>
      <c r="AR84" s="392"/>
      <c r="AS84" s="183"/>
      <c r="AT84" s="183"/>
      <c r="AU84" s="183"/>
      <c r="AV84" s="383">
        <f t="shared" si="64"/>
        <v>39</v>
      </c>
      <c r="AW84" s="19"/>
      <c r="AX84" s="19"/>
      <c r="AY84" s="19"/>
      <c r="AZ84" s="19"/>
      <c r="BU84" s="374">
        <f>IF(J84="х"," ",B84)</f>
        <v>39</v>
      </c>
      <c r="BV84" s="374">
        <f>IF(L84="х"," ",B84)</f>
        <v>39</v>
      </c>
      <c r="BW84" s="374" t="str">
        <f>IF(BV84=" "," ",L84)</f>
        <v xml:space="preserve"> </v>
      </c>
      <c r="BX84" s="374" t="str">
        <f>IF(BU84=" "," ",J84)</f>
        <v xml:space="preserve"> </v>
      </c>
      <c r="BY84" s="61">
        <f>IF(BU84&lt;BX84,BU84,0)</f>
        <v>39</v>
      </c>
      <c r="BZ84" s="61">
        <f t="shared" si="8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4">
        <f>IF(N84="х"," ",B84)</f>
        <v>39</v>
      </c>
      <c r="CG84" s="374" t="str">
        <f>IF(CF84=" "," ",N84)</f>
        <v xml:space="preserve"> </v>
      </c>
      <c r="CH84" s="125">
        <f>IF(CF84&lt;CG84,CF84,0)</f>
        <v>39</v>
      </c>
      <c r="CI84">
        <f t="shared" si="19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4">
        <f>IF(P84="х"," ",B84)</f>
        <v>39</v>
      </c>
      <c r="CM84" s="374" t="str">
        <f>IF(CL84=" "," ",P84)</f>
        <v xml:space="preserve"> </v>
      </c>
      <c r="CN84">
        <f>IF(CL84&lt;CM84,CL84,0)</f>
        <v>39</v>
      </c>
      <c r="CO84">
        <f t="shared" si="19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4">
        <f t="shared" ref="CR84" si="221">IF(R84="х"," ",B84)</f>
        <v>39</v>
      </c>
      <c r="CS84" s="374" t="str">
        <f t="shared" ref="CS84" si="222">IF(CR84=" "," ",R84)</f>
        <v xml:space="preserve"> </v>
      </c>
      <c r="CT84">
        <f>IF(CR84&lt;CS84,CR84,0)</f>
        <v>39</v>
      </c>
      <c r="CU84">
        <f t="shared" si="19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2"/>
      <c r="C85" s="421"/>
      <c r="D85" s="423"/>
      <c r="E85" s="425"/>
      <c r="F85" s="438"/>
      <c r="G85" s="44"/>
      <c r="H85" s="435"/>
      <c r="I85" s="44"/>
      <c r="J85" s="435"/>
      <c r="K85" s="44"/>
      <c r="L85" s="435"/>
      <c r="M85" s="44"/>
      <c r="N85" s="435"/>
      <c r="O85" s="44"/>
      <c r="P85" s="435"/>
      <c r="Q85" s="44"/>
      <c r="R85" s="435"/>
      <c r="S85" s="44"/>
      <c r="T85" s="435"/>
      <c r="U85" s="47"/>
      <c r="V85" s="435"/>
      <c r="W85" s="44"/>
      <c r="X85" s="435"/>
      <c r="Y85" s="44"/>
      <c r="Z85" s="419"/>
      <c r="AA85" s="462"/>
      <c r="AB85" s="427"/>
      <c r="AC85" s="383"/>
      <c r="AD85" s="384"/>
      <c r="AE85" s="386"/>
      <c r="AF85" s="387"/>
      <c r="AG85" s="387"/>
      <c r="AH85" s="387"/>
      <c r="AI85" s="387"/>
      <c r="AJ85" s="387"/>
      <c r="AK85" s="387"/>
      <c r="AL85" s="387"/>
      <c r="AM85" s="387"/>
      <c r="AN85" s="389"/>
      <c r="AO85" s="384"/>
      <c r="AP85" s="391"/>
      <c r="AQ85" s="384"/>
      <c r="AR85" s="392"/>
      <c r="AS85" s="183"/>
      <c r="AT85" s="183"/>
      <c r="AU85" s="183"/>
      <c r="AV85" s="383"/>
      <c r="AW85" s="19"/>
      <c r="AX85" s="19"/>
      <c r="AY85" s="19"/>
      <c r="AZ85" s="19"/>
      <c r="BU85" s="374"/>
      <c r="BV85" s="374"/>
      <c r="BW85" s="374"/>
      <c r="BX85" s="374"/>
      <c r="BY85" s="61" t="str">
        <f>IF(BY84&gt;=1,BX84,0)</f>
        <v xml:space="preserve"> </v>
      </c>
      <c r="BZ85" s="61" t="str">
        <f t="shared" si="8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4"/>
      <c r="CG85" s="374"/>
      <c r="CH85" s="125" t="str">
        <f>IF(CH84&gt;=1,CG84,0)</f>
        <v xml:space="preserve"> </v>
      </c>
      <c r="CI85" t="str">
        <f t="shared" si="19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4"/>
      <c r="CM85" s="374"/>
      <c r="CN85" t="str">
        <f>IF(CN84&gt;=1,CM84,0)</f>
        <v xml:space="preserve"> </v>
      </c>
      <c r="CO85" t="str">
        <f t="shared" si="19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4"/>
      <c r="CS85" s="374"/>
      <c r="CT85" t="str">
        <f>IF(CT84&gt;=1,CS84,0)</f>
        <v xml:space="preserve"> </v>
      </c>
      <c r="CU85" t="str">
        <f t="shared" si="19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1">
        <v>40</v>
      </c>
      <c r="C86" s="420" t="e">
        <f>(VLOOKUP(B86,пр.взв!$B$7:$H$76,2,0))</f>
        <v>#N/A</v>
      </c>
      <c r="D86" s="422" t="e">
        <f>(VLOOKUP(B86,пр.взв!$B$7:$H$76,3,0))</f>
        <v>#N/A</v>
      </c>
      <c r="E86" s="424" t="e">
        <f>(VLOOKUP(B86,пр.взв!$B$7:$H$76,5,0))</f>
        <v>#N/A</v>
      </c>
      <c r="F86" s="439">
        <f t="shared" ref="F86:F118" si="223">IF(ISERROR(C86),0,B84)</f>
        <v>0</v>
      </c>
      <c r="G86" s="42"/>
      <c r="H86" s="456"/>
      <c r="I86" s="42"/>
      <c r="J86" s="436" t="str">
        <f>IF(H86="Х","Х",IF(I86+G86&lt;6," ",IF(I86+G86&gt;=6,IF(AA86&gt;=6,"Х",IF(AA86&lt;6," "," ")))))</f>
        <v xml:space="preserve"> </v>
      </c>
      <c r="K86" s="41"/>
      <c r="L86" s="434" t="str">
        <f>IF(J86="Х","Х",IF(K86&lt;2.5," ",IF(K86&gt;=2.5,IF(G86+I86+K86&gt;=6,"Х",IF(AA86&lt;6," "," ")))))</f>
        <v xml:space="preserve"> </v>
      </c>
      <c r="M86" s="41"/>
      <c r="N86" s="434" t="str">
        <f>IF(L86="Х","Х",IF(M86&lt;2.5," ",IF(M86&gt;=2.5,IF(G86+I86+K86+M86&gt;=6,"Х",IF(AA86&lt;6," "," ")))))</f>
        <v xml:space="preserve"> </v>
      </c>
      <c r="O86" s="41"/>
      <c r="P86" s="434" t="str">
        <f>IF(N86="Х","Х",IF(O86&lt;2.5," ",IF(O86&gt;=2.5,IF(G86+I86+K86+M86+O86&gt;=6,"Х",IF(AA86&lt;6," "," ")))))</f>
        <v xml:space="preserve"> </v>
      </c>
      <c r="Q86" s="41"/>
      <c r="R86" s="434" t="str">
        <f>IF(P86="Х","Х",IF(Q86&lt;2.5," ",IF(Q86&gt;=2.5,IF(G86+I86+K86+M86+O86+Q86&gt;=6,"Х",IF(AA86&lt;6," "," ")))))</f>
        <v xml:space="preserve"> </v>
      </c>
      <c r="S86" s="41"/>
      <c r="T86" s="434" t="str">
        <f>IF(R86="Х","Х",IF(S86&lt;2.5," ",IF(S86&gt;=2.5,IF(G86+I86+K86+M86+O86+Q86+S86&gt;=6,"Х",IF(AA86&lt;6," "," ")))))</f>
        <v xml:space="preserve"> </v>
      </c>
      <c r="U86" s="45"/>
      <c r="V86" s="434" t="str">
        <f>IF(T86="А1",$AX$7,IF(T86="Б2",$AX$6,IF(T86="Б1",$AY$7,IF(T86="А2",$AY$6,IF(T86="Х","Х",IF(T86&lt;6," "," "))))))</f>
        <v xml:space="preserve"> </v>
      </c>
      <c r="W86" s="41"/>
      <c r="X86" s="434" t="str">
        <f t="shared" ref="X86" si="224">IF(T86="Х","Х",IF(ISBLANK(W86),"",IF(W86&gt;2.5," ",IF(B86=AZ$6,AZ$7,AZ$6))))</f>
        <v/>
      </c>
      <c r="Y86" s="42"/>
      <c r="Z86" s="463" t="b">
        <f>IF(H86="Х","1",IF(J86="Х","2",IF(L86="Х","3",IF(N86="Х","4",IF(P86="Х","5",IF(R86="Х","6",IF(T86="Х","7",IF(V86="Х","8"))))))))</f>
        <v>0</v>
      </c>
      <c r="AA86" s="461">
        <f>SUM(G86+I86+K86+M86+O86+Q86+S86+U86+W86+Y86)</f>
        <v>0</v>
      </c>
      <c r="AB86" s="426">
        <f t="shared" ref="AB86" si="225">AD86+0</f>
        <v>20607</v>
      </c>
      <c r="AC86" s="383">
        <f>AB86</f>
        <v>20607</v>
      </c>
      <c r="AD86" s="384" t="str">
        <f>COUNTIF(AE$6:AE$119,"&gt;"&amp;AE$6:AE$119)+1&amp;REPT("-"&amp;COUNTIF(AE$6:AE$119,"&gt;="&amp;AE$6:AE$119),COUNTIF(AE$6:AE$119,AE86)&gt;1)</f>
        <v>6-56</v>
      </c>
      <c r="AE86" s="385">
        <f t="shared" si="220"/>
        <v>80</v>
      </c>
      <c r="AF86" s="387" t="str">
        <f>IF(OR(F86="Х",F86="св")," ",IF(AND(G86&gt;=0,G86&lt;3),"1"," "))</f>
        <v>1</v>
      </c>
      <c r="AG86" s="387" t="str">
        <f>IF(OR(H86="Х",H86="св")," ",IF(AND(I86&gt;=0,I86&lt;3),"1"," "))</f>
        <v>1</v>
      </c>
      <c r="AH86" s="387" t="str">
        <f>IF(OR(J86="Х",J86="св")," ",IF(AND(K86&gt;=0,K86&lt;3),"1"," "))</f>
        <v>1</v>
      </c>
      <c r="AI86" s="387" t="str">
        <f>IF(OR(L86="Х",L86="св")," ",IF(AND(M86&gt;=0,M86&lt;3),"1"," "))</f>
        <v>1</v>
      </c>
      <c r="AJ86" s="387" t="str">
        <f>IF(OR(N86="Х",N86="св")," ",IF(AND(O86&gt;=0,O86&lt;3),"1"," "))</f>
        <v>1</v>
      </c>
      <c r="AK86" s="387" t="str">
        <f>IF(OR(P86="Х",P86="св")," ",IF(AND(Q86&gt;=0,Q86&lt;3),"1"," "))</f>
        <v>1</v>
      </c>
      <c r="AL86" s="387" t="str">
        <f>IF(OR(R86="Х",R86="св")," ",IF(AND(S86&gt;=0,S86&lt;3),"1"," "))</f>
        <v>1</v>
      </c>
      <c r="AM86" s="387" t="str">
        <f>IF(OR(T86="Х",T86="св")," ",IF(AND(U86&gt;=0,U86&lt;3),"1"," "))</f>
        <v>1</v>
      </c>
      <c r="AN86" s="388">
        <f>COUNTIF(AF86:AM87,1)</f>
        <v>8</v>
      </c>
      <c r="AO86" s="390">
        <f>AE86-AA86</f>
        <v>80</v>
      </c>
      <c r="AP86" s="391">
        <f t="shared" si="195"/>
        <v>0</v>
      </c>
      <c r="AQ86" s="384" t="str">
        <f>COUNTIF(AE$6:AE$119,"&gt;"&amp;AE$6:AE$119)+1&amp;REPT("-"&amp;COUNTIF(AE$6:AE$119,"&gt;="&amp;AE$6:AE$119),COUNTIF(AE$6:AE$119,AE86)&gt;1)</f>
        <v>6-56</v>
      </c>
      <c r="AR86" s="392"/>
      <c r="AS86" s="183"/>
      <c r="AT86" s="183"/>
      <c r="AU86" s="183"/>
      <c r="AV86" s="383">
        <f t="shared" si="64"/>
        <v>40</v>
      </c>
      <c r="AW86" s="19"/>
      <c r="AX86" s="19"/>
      <c r="AY86" s="19"/>
      <c r="AZ86" s="19"/>
      <c r="BU86" s="374">
        <f>IF(J86="х"," ",B86)</f>
        <v>40</v>
      </c>
      <c r="BV86" s="374">
        <f>IF(L86="х"," ",B86)</f>
        <v>40</v>
      </c>
      <c r="BW86" s="374" t="str">
        <f>IF(BV86=" "," ",L86)</f>
        <v xml:space="preserve"> </v>
      </c>
      <c r="BX86" s="374" t="str">
        <f>IF(BU86=" "," ",J86)</f>
        <v xml:space="preserve"> </v>
      </c>
      <c r="BY86" s="61">
        <f>IF(BU86&lt;BX86,BU86,0)</f>
        <v>40</v>
      </c>
      <c r="BZ86" s="61">
        <f t="shared" si="8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4">
        <f>IF(N86="х"," ",B86)</f>
        <v>40</v>
      </c>
      <c r="CG86" s="374" t="str">
        <f>IF(CF86=" "," ",N86)</f>
        <v xml:space="preserve"> </v>
      </c>
      <c r="CH86" s="125">
        <f>IF(CF86&lt;CG86,CF86,0)</f>
        <v>40</v>
      </c>
      <c r="CI86">
        <f t="shared" si="19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4">
        <f>IF(P86="х"," ",B86)</f>
        <v>40</v>
      </c>
      <c r="CM86" s="374" t="str">
        <f>IF(CL86=" "," ",P86)</f>
        <v xml:space="preserve"> </v>
      </c>
      <c r="CN86">
        <f>IF(CL86&lt;CM86,CL86,0)</f>
        <v>40</v>
      </c>
      <c r="CO86">
        <f t="shared" si="19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4">
        <f t="shared" ref="CR86" si="226">IF(R86="х"," ",B86)</f>
        <v>40</v>
      </c>
      <c r="CS86" s="374" t="str">
        <f t="shared" ref="CS86" si="227">IF(CR86=" "," ",R86)</f>
        <v xml:space="preserve"> </v>
      </c>
      <c r="CT86">
        <f>IF(CR86&lt;CS86,CR86,0)</f>
        <v>40</v>
      </c>
      <c r="CU86">
        <f t="shared" si="19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2"/>
      <c r="C87" s="421"/>
      <c r="D87" s="423"/>
      <c r="E87" s="425"/>
      <c r="F87" s="438"/>
      <c r="G87" s="44"/>
      <c r="H87" s="435"/>
      <c r="I87" s="44"/>
      <c r="J87" s="435"/>
      <c r="K87" s="44"/>
      <c r="L87" s="435"/>
      <c r="M87" s="44"/>
      <c r="N87" s="435"/>
      <c r="O87" s="44"/>
      <c r="P87" s="435"/>
      <c r="Q87" s="44"/>
      <c r="R87" s="435"/>
      <c r="S87" s="44"/>
      <c r="T87" s="435"/>
      <c r="U87" s="47"/>
      <c r="V87" s="435"/>
      <c r="W87" s="44"/>
      <c r="X87" s="435"/>
      <c r="Y87" s="44"/>
      <c r="Z87" s="419"/>
      <c r="AA87" s="462"/>
      <c r="AB87" s="427"/>
      <c r="AC87" s="383"/>
      <c r="AD87" s="384"/>
      <c r="AE87" s="386"/>
      <c r="AF87" s="387"/>
      <c r="AG87" s="387"/>
      <c r="AH87" s="387"/>
      <c r="AI87" s="387"/>
      <c r="AJ87" s="387"/>
      <c r="AK87" s="387"/>
      <c r="AL87" s="387"/>
      <c r="AM87" s="387"/>
      <c r="AN87" s="389"/>
      <c r="AO87" s="384"/>
      <c r="AP87" s="391"/>
      <c r="AQ87" s="384"/>
      <c r="AR87" s="392"/>
      <c r="AS87" s="183"/>
      <c r="AT87" s="183"/>
      <c r="AU87" s="183"/>
      <c r="AV87" s="383"/>
      <c r="AW87" s="19"/>
      <c r="AX87" s="19"/>
      <c r="AY87" s="19"/>
      <c r="AZ87" s="19"/>
      <c r="BU87" s="374"/>
      <c r="BV87" s="374"/>
      <c r="BW87" s="374"/>
      <c r="BX87" s="374"/>
      <c r="BY87" s="61" t="str">
        <f>IF(BY86&gt;=1,BX86,0)</f>
        <v xml:space="preserve"> </v>
      </c>
      <c r="BZ87" s="61" t="str">
        <f t="shared" si="8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4"/>
      <c r="CG87" s="374"/>
      <c r="CH87" s="125" t="str">
        <f>IF(CH86&gt;=1,CG86,0)</f>
        <v xml:space="preserve"> </v>
      </c>
      <c r="CI87" t="str">
        <f t="shared" si="19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4"/>
      <c r="CM87" s="374"/>
      <c r="CN87" t="str">
        <f>IF(CN86&gt;=1,CM86,0)</f>
        <v xml:space="preserve"> </v>
      </c>
      <c r="CO87" t="str">
        <f t="shared" si="19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4"/>
      <c r="CS87" s="374"/>
      <c r="CT87" t="str">
        <f>IF(CT86&gt;=1,CS86,0)</f>
        <v xml:space="preserve"> </v>
      </c>
      <c r="CU87" t="str">
        <f t="shared" si="19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1">
        <v>41</v>
      </c>
      <c r="C88" s="420" t="e">
        <f>(VLOOKUP(B88,пр.взв!$B$7:$H$76,2,0))</f>
        <v>#N/A</v>
      </c>
      <c r="D88" s="422" t="e">
        <f>(VLOOKUP(B88,пр.взв!$B$7:$H$76,3,0))</f>
        <v>#N/A</v>
      </c>
      <c r="E88" s="424" t="e">
        <f>(VLOOKUP(B88,пр.взв!$B$7:$H$76,5,0))</f>
        <v>#N/A</v>
      </c>
      <c r="F88" s="440">
        <f t="shared" ref="F88" si="228">IF(ISERROR(C88),0,B90)</f>
        <v>0</v>
      </c>
      <c r="G88" s="42"/>
      <c r="H88" s="456"/>
      <c r="I88" s="42"/>
      <c r="J88" s="436" t="str">
        <f>IF(H88="Х","Х",IF(I88+G88&lt;6," ",IF(I88+G88&gt;=6,IF(AA88&gt;=6,"Х",IF(AA88&lt;6," "," ")))))</f>
        <v xml:space="preserve"> </v>
      </c>
      <c r="K88" s="41"/>
      <c r="L88" s="434" t="str">
        <f>IF(J88="Х","Х",IF(K88&lt;2.5," ",IF(K88&gt;=2.5,IF(G88+I88+K88&gt;=6,"Х",IF(AA88&lt;6," "," ")))))</f>
        <v xml:space="preserve"> </v>
      </c>
      <c r="M88" s="41"/>
      <c r="N88" s="434" t="str">
        <f>IF(L88="Х","Х",IF(M88&lt;2.5," ",IF(M88&gt;=2.5,IF(G88+I88+K88+M88&gt;=6,"Х",IF(AA88&lt;6," "," ")))))</f>
        <v xml:space="preserve"> </v>
      </c>
      <c r="O88" s="41"/>
      <c r="P88" s="434" t="str">
        <f>IF(N88="Х","Х",IF(O88&lt;2.5," ",IF(O88&gt;=2.5,IF(G88+I88+K88+M88+O88&gt;=6,"Х",IF(AA88&lt;6," "," ")))))</f>
        <v xml:space="preserve"> </v>
      </c>
      <c r="Q88" s="41"/>
      <c r="R88" s="434" t="str">
        <f>IF(P88="Х","Х",IF(Q88&lt;2.5," ",IF(Q88&gt;=2.5,IF(G88+I88+K88+M88+O88+Q88&gt;=6,"Х",IF(AA88&lt;6," "," ")))))</f>
        <v xml:space="preserve"> </v>
      </c>
      <c r="S88" s="41"/>
      <c r="T88" s="434" t="str">
        <f>IF(R88="Х","Х",IF(S88&lt;2.5," ",IF(S88&gt;=2.5,IF(G88+I88+K88+M88+O88+Q88+S88&gt;=6,"Х",IF(AA88&lt;6," "," ")))))</f>
        <v xml:space="preserve"> </v>
      </c>
      <c r="U88" s="45"/>
      <c r="V88" s="434" t="str">
        <f>IF(T88="А1",$AX$7,IF(T88="Б2",$AX$6,IF(T88="Б1",$AY$7,IF(T88="А2",$AY$6,IF(T88="Х","Х",IF(T88&lt;6," "," "))))))</f>
        <v xml:space="preserve"> </v>
      </c>
      <c r="W88" s="41"/>
      <c r="X88" s="434" t="str">
        <f t="shared" ref="X88" si="229">IF(T88="Х","Х",IF(ISBLANK(W88),"",IF(W88&gt;2.5," ",IF(B88=AZ$6,AZ$7,AZ$6))))</f>
        <v/>
      </c>
      <c r="Y88" s="42"/>
      <c r="Z88" s="463" t="b">
        <f>IF(H88="Х","1",IF(J88="Х","2",IF(L88="Х","3",IF(N88="Х","4",IF(P88="Х","5",IF(R88="Х","6",IF(T88="Х","7",IF(V88="Х","8"))))))))</f>
        <v>0</v>
      </c>
      <c r="AA88" s="461">
        <f>SUM(G88+I88+K88+M88+O88+Q88+S88+U88+W88+Y88)</f>
        <v>0</v>
      </c>
      <c r="AB88" s="426">
        <f t="shared" ref="AB88" si="230">AD88+0</f>
        <v>20607</v>
      </c>
      <c r="AC88" s="383">
        <f>AB88</f>
        <v>20607</v>
      </c>
      <c r="AD88" s="384" t="str">
        <f>COUNTIF(AE$6:AE$119,"&gt;"&amp;AE$6:AE$119)+1&amp;REPT("-"&amp;COUNTIF(AE$6:AE$119,"&gt;="&amp;AE$6:AE$119),COUNTIF(AE$6:AE$119,AE88)&gt;1)</f>
        <v>6-56</v>
      </c>
      <c r="AE88" s="385">
        <f t="shared" si="220"/>
        <v>80</v>
      </c>
      <c r="AF88" s="387" t="str">
        <f>IF(OR(F88="Х",F88="св")," ",IF(AND(G88&gt;=0,G88&lt;3),"1"," "))</f>
        <v>1</v>
      </c>
      <c r="AG88" s="387" t="str">
        <f>IF(OR(H88="Х",H88="св")," ",IF(AND(I88&gt;=0,I88&lt;3),"1"," "))</f>
        <v>1</v>
      </c>
      <c r="AH88" s="387" t="str">
        <f>IF(OR(J88="Х",J88="св")," ",IF(AND(K88&gt;=0,K88&lt;3),"1"," "))</f>
        <v>1</v>
      </c>
      <c r="AI88" s="387" t="str">
        <f>IF(OR(L88="Х",L88="св")," ",IF(AND(M88&gt;=0,M88&lt;3),"1"," "))</f>
        <v>1</v>
      </c>
      <c r="AJ88" s="387" t="str">
        <f>IF(OR(N88="Х",N88="св")," ",IF(AND(O88&gt;=0,O88&lt;3),"1"," "))</f>
        <v>1</v>
      </c>
      <c r="AK88" s="387" t="str">
        <f>IF(OR(P88="Х",P88="св")," ",IF(AND(Q88&gt;=0,Q88&lt;3),"1"," "))</f>
        <v>1</v>
      </c>
      <c r="AL88" s="387" t="str">
        <f>IF(OR(R88="Х",R88="св")," ",IF(AND(S88&gt;=0,S88&lt;3),"1"," "))</f>
        <v>1</v>
      </c>
      <c r="AM88" s="387" t="str">
        <f>IF(OR(T88="Х",T88="св")," ",IF(AND(U88&gt;=0,U88&lt;3),"1"," "))</f>
        <v>1</v>
      </c>
      <c r="AN88" s="388">
        <f>COUNTIF(AF88:AM89,1)</f>
        <v>8</v>
      </c>
      <c r="AO88" s="390">
        <f>AE88-AA88</f>
        <v>80</v>
      </c>
      <c r="AP88" s="391">
        <f t="shared" si="195"/>
        <v>0</v>
      </c>
      <c r="AQ88" s="384" t="str">
        <f>COUNTIF(AE$6:AE$119,"&gt;"&amp;AE$6:AE$119)+1&amp;REPT("-"&amp;COUNTIF(AE$6:AE$119,"&gt;="&amp;AE$6:AE$119),COUNTIF(AE$6:AE$119,AE88)&gt;1)</f>
        <v>6-56</v>
      </c>
      <c r="AR88" s="392"/>
      <c r="AS88" s="183"/>
      <c r="AT88" s="183"/>
      <c r="AU88" s="183"/>
      <c r="AV88" s="383">
        <f t="shared" si="64"/>
        <v>41</v>
      </c>
      <c r="AW88" s="19"/>
      <c r="AX88" s="19"/>
      <c r="AY88" s="19"/>
      <c r="AZ88" s="19"/>
      <c r="BU88" s="374">
        <f>IF(J88="х"," ",B88)</f>
        <v>41</v>
      </c>
      <c r="BV88" s="374">
        <f>IF(L88="х"," ",B88)</f>
        <v>41</v>
      </c>
      <c r="BW88" s="374" t="str">
        <f>IF(BV88=" "," ",L88)</f>
        <v xml:space="preserve"> </v>
      </c>
      <c r="BX88" s="374" t="str">
        <f>IF(BU88=" "," ",J88)</f>
        <v xml:space="preserve"> </v>
      </c>
      <c r="BY88" s="61">
        <f>IF(BU88&lt;BX88,BU88,0)</f>
        <v>41</v>
      </c>
      <c r="BZ88" s="61">
        <f t="shared" si="8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4">
        <f>IF(N88="х"," ",B88)</f>
        <v>41</v>
      </c>
      <c r="CG88" s="374" t="str">
        <f>IF(CF88=" "," ",N88)</f>
        <v xml:space="preserve"> </v>
      </c>
      <c r="CH88" s="125">
        <f>IF(CF88&lt;CG88,CF88,0)</f>
        <v>41</v>
      </c>
      <c r="CI88">
        <f t="shared" si="19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4">
        <f>IF(P88="х"," ",B88)</f>
        <v>41</v>
      </c>
      <c r="CM88" s="374" t="str">
        <f>IF(CL88=" "," ",P88)</f>
        <v xml:space="preserve"> </v>
      </c>
      <c r="CN88">
        <f>IF(CL88&lt;CM88,CL88,0)</f>
        <v>41</v>
      </c>
      <c r="CO88">
        <f t="shared" si="19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4">
        <f t="shared" ref="CR88" si="231">IF(R88="х"," ",B88)</f>
        <v>41</v>
      </c>
      <c r="CS88" s="374" t="str">
        <f t="shared" ref="CS88" si="232">IF(CR88=" "," ",R88)</f>
        <v xml:space="preserve"> </v>
      </c>
      <c r="CT88">
        <f>IF(CR88&lt;CS88,CR88,0)</f>
        <v>41</v>
      </c>
      <c r="CU88">
        <f t="shared" si="19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2"/>
      <c r="C89" s="421"/>
      <c r="D89" s="423"/>
      <c r="E89" s="425"/>
      <c r="F89" s="438"/>
      <c r="G89" s="44"/>
      <c r="H89" s="435"/>
      <c r="I89" s="44"/>
      <c r="J89" s="435"/>
      <c r="K89" s="44"/>
      <c r="L89" s="435"/>
      <c r="M89" s="44"/>
      <c r="N89" s="435"/>
      <c r="O89" s="44"/>
      <c r="P89" s="435"/>
      <c r="Q89" s="44"/>
      <c r="R89" s="435"/>
      <c r="S89" s="44"/>
      <c r="T89" s="435"/>
      <c r="U89" s="47"/>
      <c r="V89" s="435"/>
      <c r="W89" s="44"/>
      <c r="X89" s="435"/>
      <c r="Y89" s="44"/>
      <c r="Z89" s="419"/>
      <c r="AA89" s="462"/>
      <c r="AB89" s="427"/>
      <c r="AC89" s="383"/>
      <c r="AD89" s="384"/>
      <c r="AE89" s="386"/>
      <c r="AF89" s="387"/>
      <c r="AG89" s="387"/>
      <c r="AH89" s="387"/>
      <c r="AI89" s="387"/>
      <c r="AJ89" s="387"/>
      <c r="AK89" s="387"/>
      <c r="AL89" s="387"/>
      <c r="AM89" s="387"/>
      <c r="AN89" s="389"/>
      <c r="AO89" s="384"/>
      <c r="AP89" s="391"/>
      <c r="AQ89" s="384"/>
      <c r="AR89" s="392"/>
      <c r="AS89" s="183"/>
      <c r="AT89" s="183"/>
      <c r="AU89" s="183"/>
      <c r="AV89" s="383"/>
      <c r="AW89" s="19"/>
      <c r="AX89" s="19"/>
      <c r="AY89" s="19"/>
      <c r="AZ89" s="19"/>
      <c r="BU89" s="374"/>
      <c r="BV89" s="374"/>
      <c r="BW89" s="374"/>
      <c r="BX89" s="374"/>
      <c r="BY89" s="61" t="str">
        <f>IF(BY88&gt;=1,BX88,0)</f>
        <v xml:space="preserve"> </v>
      </c>
      <c r="BZ89" s="61" t="str">
        <f t="shared" si="8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4"/>
      <c r="CG89" s="374"/>
      <c r="CH89" s="125" t="str">
        <f>IF(CH88&gt;=1,CG88,0)</f>
        <v xml:space="preserve"> </v>
      </c>
      <c r="CI89" t="str">
        <f t="shared" si="19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4"/>
      <c r="CM89" s="374"/>
      <c r="CN89" t="str">
        <f>IF(CN88&gt;=1,CM88,0)</f>
        <v xml:space="preserve"> </v>
      </c>
      <c r="CO89" t="str">
        <f t="shared" si="19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4"/>
      <c r="CS89" s="374"/>
      <c r="CT89" t="str">
        <f>IF(CT88&gt;=1,CS88,0)</f>
        <v xml:space="preserve"> </v>
      </c>
      <c r="CU89" t="str">
        <f t="shared" si="19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1">
        <v>42</v>
      </c>
      <c r="C90" s="420" t="e">
        <f>(VLOOKUP(B90,пр.взв!$B$7:$H$76,2,0))</f>
        <v>#N/A</v>
      </c>
      <c r="D90" s="422" t="e">
        <f>(VLOOKUP(B90,пр.взв!$B$7:$H$76,3,0))</f>
        <v>#N/A</v>
      </c>
      <c r="E90" s="424" t="e">
        <f>(VLOOKUP(B90,пр.взв!$B$7:$H$76,5,0))</f>
        <v>#N/A</v>
      </c>
      <c r="F90" s="439">
        <f t="shared" ref="F90" si="233">IF(ISERROR(C90),0,B88)</f>
        <v>0</v>
      </c>
      <c r="G90" s="42"/>
      <c r="H90" s="456"/>
      <c r="I90" s="42"/>
      <c r="J90" s="436" t="str">
        <f>IF(H90="Х","Х",IF(I90+G90&lt;6," ",IF(I90+G90&gt;=6,IF(AA90&gt;=6,"Х",IF(AA90&lt;6," "," ")))))</f>
        <v xml:space="preserve"> </v>
      </c>
      <c r="K90" s="41"/>
      <c r="L90" s="434" t="str">
        <f>IF(J90="Х","Х",IF(K90&lt;2.5," ",IF(K90&gt;=2.5,IF(G90+I90+K90&gt;=6,"Х",IF(AA90&lt;6," "," ")))))</f>
        <v xml:space="preserve"> </v>
      </c>
      <c r="M90" s="41"/>
      <c r="N90" s="434" t="str">
        <f>IF(L90="Х","Х",IF(M90&lt;2.5," ",IF(M90&gt;=2.5,IF(G90+I90+K90+M90&gt;=6,"Х",IF(AA90&lt;6," "," ")))))</f>
        <v xml:space="preserve"> </v>
      </c>
      <c r="O90" s="41"/>
      <c r="P90" s="434" t="str">
        <f>IF(N90="Х","Х",IF(O90&lt;2.5," ",IF(O90&gt;=2.5,IF(G90+I90+K90+M90+O90&gt;=6,"Х",IF(AA90&lt;6," "," ")))))</f>
        <v xml:space="preserve"> </v>
      </c>
      <c r="Q90" s="41"/>
      <c r="R90" s="434" t="str">
        <f>IF(P90="Х","Х",IF(Q90&lt;2.5," ",IF(Q90&gt;=2.5,IF(G90+I90+K90+M90+O90+Q90&gt;=6,"Х",IF(AA90&lt;6," "," ")))))</f>
        <v xml:space="preserve"> </v>
      </c>
      <c r="S90" s="41"/>
      <c r="T90" s="434" t="str">
        <f>IF(R90="Х","Х",IF(S90&lt;2.5," ",IF(S90&gt;=2.5,IF(G90+I90+K90+M90+O90+Q90+S90&gt;=6,"Х",IF(AA90&lt;6," "," ")))))</f>
        <v xml:space="preserve"> </v>
      </c>
      <c r="U90" s="45"/>
      <c r="V90" s="434" t="str">
        <f>IF(T90="А1",$AX$7,IF(T90="Б2",$AX$6,IF(T90="Б1",$AY$7,IF(T90="А2",$AY$6,IF(T90="Х","Х",IF(T90&lt;6," "," "))))))</f>
        <v xml:space="preserve"> </v>
      </c>
      <c r="W90" s="41"/>
      <c r="X90" s="434" t="str">
        <f t="shared" ref="X90" si="234">IF(T90="Х","Х",IF(ISBLANK(W90),"",IF(W90&gt;2.5," ",IF(B90=AZ$6,AZ$7,AZ$6))))</f>
        <v/>
      </c>
      <c r="Y90" s="42"/>
      <c r="Z90" s="463" t="b">
        <f>IF(H90="Х","1",IF(J90="Х","2",IF(L90="Х","3",IF(N90="Х","4",IF(P90="Х","5",IF(R90="Х","6",IF(T90="Х","7",IF(V90="Х","8"))))))))</f>
        <v>0</v>
      </c>
      <c r="AA90" s="461">
        <f>SUM(G90+I90+K90+M90+O90+Q90+S90+U90+W90+Y90)</f>
        <v>0</v>
      </c>
      <c r="AB90" s="426">
        <f t="shared" ref="AB90" si="235">AD90+0</f>
        <v>20607</v>
      </c>
      <c r="AC90" s="383">
        <f>AB90</f>
        <v>20607</v>
      </c>
      <c r="AD90" s="384" t="str">
        <f>COUNTIF(AE$6:AE$119,"&gt;"&amp;AE$6:AE$119)+1&amp;REPT("-"&amp;COUNTIF(AE$6:AE$119,"&gt;="&amp;AE$6:AE$119),COUNTIF(AE$6:AE$119,AE90)&gt;1)</f>
        <v>6-56</v>
      </c>
      <c r="AE90" s="385">
        <f t="shared" si="220"/>
        <v>80</v>
      </c>
      <c r="AF90" s="387" t="str">
        <f>IF(OR(F90="Х",F90="св")," ",IF(AND(G90&gt;=0,G90&lt;3),"1"," "))</f>
        <v>1</v>
      </c>
      <c r="AG90" s="387" t="str">
        <f>IF(OR(H90="Х",H90="св")," ",IF(AND(I90&gt;=0,I90&lt;3),"1"," "))</f>
        <v>1</v>
      </c>
      <c r="AH90" s="387" t="str">
        <f>IF(OR(J90="Х",J90="св")," ",IF(AND(K90&gt;=0,K90&lt;3),"1"," "))</f>
        <v>1</v>
      </c>
      <c r="AI90" s="387" t="str">
        <f>IF(OR(L90="Х",L90="св")," ",IF(AND(M90&gt;=0,M90&lt;3),"1"," "))</f>
        <v>1</v>
      </c>
      <c r="AJ90" s="387" t="str">
        <f>IF(OR(N90="Х",N90="св")," ",IF(AND(O90&gt;=0,O90&lt;3),"1"," "))</f>
        <v>1</v>
      </c>
      <c r="AK90" s="387" t="str">
        <f>IF(OR(P90="Х",P90="св")," ",IF(AND(Q90&gt;=0,Q90&lt;3),"1"," "))</f>
        <v>1</v>
      </c>
      <c r="AL90" s="387" t="str">
        <f>IF(OR(R90="Х",R90="св")," ",IF(AND(S90&gt;=0,S90&lt;3),"1"," "))</f>
        <v>1</v>
      </c>
      <c r="AM90" s="387" t="str">
        <f>IF(OR(T90="Х",T90="св")," ",IF(AND(U90&gt;=0,U90&lt;3),"1"," "))</f>
        <v>1</v>
      </c>
      <c r="AN90" s="388">
        <f>COUNTIF(AF90:AM91,1)</f>
        <v>8</v>
      </c>
      <c r="AO90" s="390">
        <f>AE90-AA90</f>
        <v>80</v>
      </c>
      <c r="AP90" s="391">
        <f t="shared" si="195"/>
        <v>0</v>
      </c>
      <c r="AQ90" s="384" t="str">
        <f>COUNTIF(AE$6:AE$119,"&gt;"&amp;AE$6:AE$119)+1&amp;REPT("-"&amp;COUNTIF(AE$6:AE$119,"&gt;="&amp;AE$6:AE$119),COUNTIF(AE$6:AE$119,AE90)&gt;1)</f>
        <v>6-56</v>
      </c>
      <c r="AR90" s="392"/>
      <c r="AS90" s="183"/>
      <c r="AT90" s="183"/>
      <c r="AU90" s="183"/>
      <c r="AV90" s="383">
        <f t="shared" ref="AV90:AV118" si="236">IF(V90="Х","Х",IF(W90&lt;3,B90,"Х"))</f>
        <v>42</v>
      </c>
      <c r="AW90" s="19"/>
      <c r="AX90" s="19"/>
      <c r="AY90" s="19"/>
      <c r="AZ90" s="19"/>
      <c r="BU90" s="374">
        <f>IF(J90="х"," ",B90)</f>
        <v>42</v>
      </c>
      <c r="BV90" s="374">
        <f>IF(L90="х"," ",B90)</f>
        <v>42</v>
      </c>
      <c r="BW90" s="374" t="str">
        <f>IF(BV90=" "," ",L90)</f>
        <v xml:space="preserve"> </v>
      </c>
      <c r="BX90" s="374" t="str">
        <f>IF(BU90=" "," ",J90)</f>
        <v xml:space="preserve"> </v>
      </c>
      <c r="BY90" s="61">
        <f>IF(BU90&lt;BX90,BU90,0)</f>
        <v>42</v>
      </c>
      <c r="BZ90" s="61">
        <f t="shared" si="8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4">
        <f>IF(N90="х"," ",B90)</f>
        <v>42</v>
      </c>
      <c r="CG90" s="374" t="str">
        <f>IF(CF90=" "," ",N90)</f>
        <v xml:space="preserve"> </v>
      </c>
      <c r="CH90" s="125">
        <f>IF(CF90&lt;CG90,CF90,0)</f>
        <v>42</v>
      </c>
      <c r="CI90">
        <f t="shared" si="19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4">
        <f>IF(P90="х"," ",B90)</f>
        <v>42</v>
      </c>
      <c r="CM90" s="374" t="str">
        <f>IF(CL90=" "," ",P90)</f>
        <v xml:space="preserve"> </v>
      </c>
      <c r="CN90">
        <f>IF(CL90&lt;CM90,CL90,0)</f>
        <v>42</v>
      </c>
      <c r="CO90">
        <f t="shared" si="19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4">
        <f t="shared" ref="CR90" si="237">IF(R90="х"," ",B90)</f>
        <v>42</v>
      </c>
      <c r="CS90" s="374" t="str">
        <f t="shared" ref="CS90" si="238">IF(CR90=" "," ",R90)</f>
        <v xml:space="preserve"> </v>
      </c>
      <c r="CT90">
        <f>IF(CR90&lt;CS90,CR90,0)</f>
        <v>42</v>
      </c>
      <c r="CU90">
        <f t="shared" si="19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2"/>
      <c r="C91" s="421"/>
      <c r="D91" s="423"/>
      <c r="E91" s="425"/>
      <c r="F91" s="438"/>
      <c r="G91" s="44"/>
      <c r="H91" s="435"/>
      <c r="I91" s="44"/>
      <c r="J91" s="435"/>
      <c r="K91" s="44"/>
      <c r="L91" s="435"/>
      <c r="M91" s="44"/>
      <c r="N91" s="435"/>
      <c r="O91" s="44"/>
      <c r="P91" s="435"/>
      <c r="Q91" s="44"/>
      <c r="R91" s="435"/>
      <c r="S91" s="44"/>
      <c r="T91" s="435"/>
      <c r="U91" s="47"/>
      <c r="V91" s="435"/>
      <c r="W91" s="44"/>
      <c r="X91" s="435"/>
      <c r="Y91" s="44"/>
      <c r="Z91" s="419"/>
      <c r="AA91" s="462"/>
      <c r="AB91" s="427"/>
      <c r="AC91" s="383"/>
      <c r="AD91" s="384"/>
      <c r="AE91" s="386"/>
      <c r="AF91" s="387"/>
      <c r="AG91" s="387"/>
      <c r="AH91" s="387"/>
      <c r="AI91" s="387"/>
      <c r="AJ91" s="387"/>
      <c r="AK91" s="387"/>
      <c r="AL91" s="387"/>
      <c r="AM91" s="387"/>
      <c r="AN91" s="389"/>
      <c r="AO91" s="384"/>
      <c r="AP91" s="391"/>
      <c r="AQ91" s="384"/>
      <c r="AR91" s="392"/>
      <c r="AS91" s="183"/>
      <c r="AT91" s="183"/>
      <c r="AU91" s="183"/>
      <c r="AV91" s="383"/>
      <c r="AW91" s="19"/>
      <c r="AX91" s="19"/>
      <c r="AY91" s="19"/>
      <c r="AZ91" s="19"/>
      <c r="BU91" s="374"/>
      <c r="BV91" s="374"/>
      <c r="BW91" s="374"/>
      <c r="BX91" s="374"/>
      <c r="BY91" s="61" t="str">
        <f>IF(BY90&gt;=1,BX90,0)</f>
        <v xml:space="preserve"> </v>
      </c>
      <c r="BZ91" s="61" t="str">
        <f t="shared" si="8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4"/>
      <c r="CG91" s="374"/>
      <c r="CH91" s="125" t="str">
        <f>IF(CH90&gt;=1,CG90,0)</f>
        <v xml:space="preserve"> </v>
      </c>
      <c r="CI91" t="str">
        <f t="shared" si="19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4"/>
      <c r="CM91" s="374"/>
      <c r="CN91" t="str">
        <f>IF(CN90&gt;=1,CM90,0)</f>
        <v xml:space="preserve"> </v>
      </c>
      <c r="CO91" t="str">
        <f t="shared" si="19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4"/>
      <c r="CS91" s="374"/>
      <c r="CT91" t="str">
        <f>IF(CT90&gt;=1,CS90,0)</f>
        <v xml:space="preserve"> </v>
      </c>
      <c r="CU91" t="str">
        <f t="shared" si="19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1">
        <v>43</v>
      </c>
      <c r="C92" s="420" t="e">
        <f>(VLOOKUP(B92,пр.взв!$B$7:$H$76,2,0))</f>
        <v>#N/A</v>
      </c>
      <c r="D92" s="422" t="e">
        <f>(VLOOKUP(B92,пр.взв!$B$7:$H$76,3,0))</f>
        <v>#N/A</v>
      </c>
      <c r="E92" s="424" t="e">
        <f>(VLOOKUP(B92,пр.взв!$B$7:$H$76,5,0))</f>
        <v>#N/A</v>
      </c>
      <c r="F92" s="440">
        <f t="shared" si="217"/>
        <v>0</v>
      </c>
      <c r="G92" s="42"/>
      <c r="H92" s="456"/>
      <c r="I92" s="42"/>
      <c r="J92" s="436" t="str">
        <f>IF(H92="Х","Х",IF(I92+G92&lt;6," ",IF(I92+G92&gt;=6,IF(AA92&gt;=6,"Х",IF(AA92&lt;6," "," ")))))</f>
        <v xml:space="preserve"> </v>
      </c>
      <c r="K92" s="41"/>
      <c r="L92" s="434" t="str">
        <f>IF(J92="Х","Х",IF(K92&lt;2.5," ",IF(K92&gt;=2.5,IF(G92+I92+K92&gt;=6,"Х",IF(AA92&lt;6," "," ")))))</f>
        <v xml:space="preserve"> </v>
      </c>
      <c r="M92" s="41"/>
      <c r="N92" s="434" t="str">
        <f>IF(L92="Х","Х",IF(M92&lt;2.5," ",IF(M92&gt;=2.5,IF(G92+I92+K92+M92&gt;=6,"Х",IF(AA92&lt;6," "," ")))))</f>
        <v xml:space="preserve"> </v>
      </c>
      <c r="O92" s="41"/>
      <c r="P92" s="434" t="str">
        <f>IF(N92="Х","Х",IF(O92&lt;2.5," ",IF(O92&gt;=2.5,IF(G92+I92+K92+M92+O92&gt;=6,"Х",IF(AA92&lt;6," "," ")))))</f>
        <v xml:space="preserve"> </v>
      </c>
      <c r="Q92" s="41"/>
      <c r="R92" s="434" t="str">
        <f>IF(P92="Х","Х",IF(Q92&lt;2.5," ",IF(Q92&gt;=2.5,IF(G92+I92+K92+M92+O92+Q92&gt;=6,"Х",IF(AA92&lt;6," "," ")))))</f>
        <v xml:space="preserve"> </v>
      </c>
      <c r="S92" s="41"/>
      <c r="T92" s="434" t="str">
        <f>IF(R92="Х","Х",IF(S92&lt;2.5," ",IF(S92&gt;=2.5,IF(G92+I92+K92+M92+O92+Q92+S92&gt;=6,"Х",IF(AA92&lt;6," "," ")))))</f>
        <v xml:space="preserve"> </v>
      </c>
      <c r="U92" s="45"/>
      <c r="V92" s="434" t="str">
        <f>IF(T92="А1",$AX$7,IF(T92="Б2",$AX$6,IF(T92="Б1",$AY$7,IF(T92="А2",$AY$6,IF(T92="Х","Х",IF(T92&lt;6," "," "))))))</f>
        <v xml:space="preserve"> </v>
      </c>
      <c r="W92" s="41"/>
      <c r="X92" s="434" t="str">
        <f t="shared" ref="X92" si="239">IF(T92="Х","Х",IF(ISBLANK(W92),"",IF(W92&gt;2.5," ",IF(B92=AZ$6,AZ$7,AZ$6))))</f>
        <v/>
      </c>
      <c r="Y92" s="42"/>
      <c r="Z92" s="463" t="b">
        <f>IF(H92="Х","1",IF(J92="Х","2",IF(L92="Х","3",IF(N92="Х","4",IF(P92="Х","5",IF(R92="Х","6",IF(T92="Х","7",IF(V92="Х","8"))))))))</f>
        <v>0</v>
      </c>
      <c r="AA92" s="461">
        <f>SUM(G92+I92+K92+M92+O92+Q92+S92+U92+W92+Y92)</f>
        <v>0</v>
      </c>
      <c r="AB92" s="426">
        <f t="shared" ref="AB92" si="240">AD92+0</f>
        <v>20607</v>
      </c>
      <c r="AC92" s="383">
        <f>AB92</f>
        <v>20607</v>
      </c>
      <c r="AD92" s="384" t="str">
        <f>COUNTIF(AE$6:AE$119,"&gt;"&amp;AE$6:AE$119)+1&amp;REPT("-"&amp;COUNTIF(AE$6:AE$119,"&gt;="&amp;AE$6:AE$119),COUNTIF(AE$6:AE$119,AE92)&gt;1)</f>
        <v>6-56</v>
      </c>
      <c r="AE92" s="385">
        <f t="shared" si="220"/>
        <v>80</v>
      </c>
      <c r="AF92" s="387" t="str">
        <f>IF(OR(F92="Х",F92="св")," ",IF(AND(G92&gt;=0,G92&lt;3),"1"," "))</f>
        <v>1</v>
      </c>
      <c r="AG92" s="387" t="str">
        <f>IF(OR(H92="Х",H92="св")," ",IF(AND(I92&gt;=0,I92&lt;3),"1"," "))</f>
        <v>1</v>
      </c>
      <c r="AH92" s="387" t="str">
        <f>IF(OR(J92="Х",J92="св")," ",IF(AND(K92&gt;=0,K92&lt;3),"1"," "))</f>
        <v>1</v>
      </c>
      <c r="AI92" s="387" t="str">
        <f>IF(OR(L92="Х",L92="св")," ",IF(AND(M92&gt;=0,M92&lt;3),"1"," "))</f>
        <v>1</v>
      </c>
      <c r="AJ92" s="387" t="str">
        <f>IF(OR(N92="Х",N92="св")," ",IF(AND(O92&gt;=0,O92&lt;3),"1"," "))</f>
        <v>1</v>
      </c>
      <c r="AK92" s="387" t="str">
        <f>IF(OR(P92="Х",P92="св")," ",IF(AND(Q92&gt;=0,Q92&lt;3),"1"," "))</f>
        <v>1</v>
      </c>
      <c r="AL92" s="387" t="str">
        <f>IF(OR(R92="Х",R92="св")," ",IF(AND(S92&gt;=0,S92&lt;3),"1"," "))</f>
        <v>1</v>
      </c>
      <c r="AM92" s="387" t="str">
        <f>IF(OR(T92="Х",T92="св")," ",IF(AND(U92&gt;=0,U92&lt;3),"1"," "))</f>
        <v>1</v>
      </c>
      <c r="AN92" s="388">
        <f>COUNTIF(AF92:AM93,1)</f>
        <v>8</v>
      </c>
      <c r="AO92" s="390">
        <f>AE92-AA92</f>
        <v>80</v>
      </c>
      <c r="AP92" s="391">
        <f t="shared" si="195"/>
        <v>0</v>
      </c>
      <c r="AQ92" s="384" t="str">
        <f>COUNTIF(AE$6:AE$119,"&gt;"&amp;AE$6:AE$119)+1&amp;REPT("-"&amp;COUNTIF(AE$6:AE$119,"&gt;="&amp;AE$6:AE$119),COUNTIF(AE$6:AE$119,AE92)&gt;1)</f>
        <v>6-56</v>
      </c>
      <c r="AR92" s="392"/>
      <c r="AS92" s="183"/>
      <c r="AT92" s="183"/>
      <c r="AU92" s="183"/>
      <c r="AV92" s="383">
        <f t="shared" si="236"/>
        <v>43</v>
      </c>
      <c r="AW92" s="19"/>
      <c r="AX92" s="19"/>
      <c r="AY92" s="19"/>
      <c r="AZ92" s="19"/>
      <c r="BU92" s="374">
        <f>IF(J92="х"," ",B92)</f>
        <v>43</v>
      </c>
      <c r="BV92" s="374">
        <f>IF(L92="х"," ",B92)</f>
        <v>43</v>
      </c>
      <c r="BW92" s="374" t="str">
        <f>IF(BV92=" "," ",L92)</f>
        <v xml:space="preserve"> </v>
      </c>
      <c r="BX92" s="374" t="str">
        <f>IF(BU92=" "," ",J92)</f>
        <v xml:space="preserve"> </v>
      </c>
      <c r="BY92" s="61">
        <f>IF(BU92&lt;BX92,BU92,0)</f>
        <v>43</v>
      </c>
      <c r="BZ92" s="61">
        <f t="shared" si="8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4">
        <f>IF(N92="х"," ",B92)</f>
        <v>43</v>
      </c>
      <c r="CG92" s="374" t="str">
        <f>IF(CF92=" "," ",N92)</f>
        <v xml:space="preserve"> </v>
      </c>
      <c r="CH92" s="125">
        <f>IF(CF92&lt;CG92,CF92,0)</f>
        <v>43</v>
      </c>
      <c r="CI92">
        <f t="shared" si="19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4">
        <f>IF(P92="х"," ",B92)</f>
        <v>43</v>
      </c>
      <c r="CM92" s="374" t="str">
        <f>IF(CL92=" "," ",P92)</f>
        <v xml:space="preserve"> </v>
      </c>
      <c r="CN92">
        <f>IF(CL92&lt;CM92,CL92,0)</f>
        <v>43</v>
      </c>
      <c r="CO92">
        <f t="shared" si="19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4">
        <f t="shared" ref="CR92" si="241">IF(R92="х"," ",B92)</f>
        <v>43</v>
      </c>
      <c r="CS92" s="374" t="str">
        <f t="shared" ref="CS92" si="242">IF(CR92=" "," ",R92)</f>
        <v xml:space="preserve"> </v>
      </c>
      <c r="CT92">
        <f>IF(CR92&lt;CS92,CR92,0)</f>
        <v>43</v>
      </c>
      <c r="CU92">
        <f t="shared" si="19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2"/>
      <c r="C93" s="421"/>
      <c r="D93" s="423"/>
      <c r="E93" s="425"/>
      <c r="F93" s="438"/>
      <c r="G93" s="44"/>
      <c r="H93" s="435"/>
      <c r="I93" s="44"/>
      <c r="J93" s="435"/>
      <c r="K93" s="44"/>
      <c r="L93" s="435"/>
      <c r="M93" s="44"/>
      <c r="N93" s="435"/>
      <c r="O93" s="44"/>
      <c r="P93" s="435"/>
      <c r="Q93" s="44"/>
      <c r="R93" s="435"/>
      <c r="S93" s="44"/>
      <c r="T93" s="435"/>
      <c r="U93" s="47"/>
      <c r="V93" s="435"/>
      <c r="W93" s="44"/>
      <c r="X93" s="435"/>
      <c r="Y93" s="44"/>
      <c r="Z93" s="419"/>
      <c r="AA93" s="462"/>
      <c r="AB93" s="427"/>
      <c r="AC93" s="383"/>
      <c r="AD93" s="384"/>
      <c r="AE93" s="386"/>
      <c r="AF93" s="387"/>
      <c r="AG93" s="387"/>
      <c r="AH93" s="387"/>
      <c r="AI93" s="387"/>
      <c r="AJ93" s="387"/>
      <c r="AK93" s="387"/>
      <c r="AL93" s="387"/>
      <c r="AM93" s="387"/>
      <c r="AN93" s="389"/>
      <c r="AO93" s="384"/>
      <c r="AP93" s="391"/>
      <c r="AQ93" s="384"/>
      <c r="AR93" s="392"/>
      <c r="AS93" s="183"/>
      <c r="AT93" s="183"/>
      <c r="AU93" s="183"/>
      <c r="AV93" s="383"/>
      <c r="AW93" s="19"/>
      <c r="AX93" s="19"/>
      <c r="AY93" s="19"/>
      <c r="AZ93" s="19"/>
      <c r="BU93" s="374"/>
      <c r="BV93" s="374"/>
      <c r="BW93" s="374"/>
      <c r="BX93" s="374"/>
      <c r="BY93" s="61" t="str">
        <f>IF(BY92&gt;=1,BX92,0)</f>
        <v xml:space="preserve"> </v>
      </c>
      <c r="BZ93" s="61" t="str">
        <f t="shared" si="8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4"/>
      <c r="CG93" s="374"/>
      <c r="CH93" s="125" t="str">
        <f>IF(CH92&gt;=1,CG92,0)</f>
        <v xml:space="preserve"> </v>
      </c>
      <c r="CI93" t="str">
        <f t="shared" si="19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4"/>
      <c r="CM93" s="374"/>
      <c r="CN93" t="str">
        <f>IF(CN92&gt;=1,CM92,0)</f>
        <v xml:space="preserve"> </v>
      </c>
      <c r="CO93" t="str">
        <f t="shared" si="19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4"/>
      <c r="CS93" s="374"/>
      <c r="CT93" t="str">
        <f>IF(CT92&gt;=1,CS92,0)</f>
        <v xml:space="preserve"> </v>
      </c>
      <c r="CU93" t="str">
        <f t="shared" si="19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1">
        <v>44</v>
      </c>
      <c r="C94" s="420" t="e">
        <f>(VLOOKUP(B94,пр.взв!$B$7:$H$76,2,0))</f>
        <v>#N/A</v>
      </c>
      <c r="D94" s="422" t="e">
        <f>(VLOOKUP(B94,пр.взв!$B$7:$H$76,3,0))</f>
        <v>#N/A</v>
      </c>
      <c r="E94" s="424" t="e">
        <f>(VLOOKUP(B94,пр.взв!$B$7:$H$76,5,0))</f>
        <v>#N/A</v>
      </c>
      <c r="F94" s="439">
        <f t="shared" si="223"/>
        <v>0</v>
      </c>
      <c r="G94" s="42"/>
      <c r="H94" s="456"/>
      <c r="I94" s="42"/>
      <c r="J94" s="436" t="str">
        <f>IF(H94="Х","Х",IF(I94+G94&lt;6," ",IF(I94+G94&gt;=6,IF(AA94&gt;=6,"Х",IF(AA94&lt;6," "," ")))))</f>
        <v xml:space="preserve"> </v>
      </c>
      <c r="K94" s="41"/>
      <c r="L94" s="434" t="str">
        <f>IF(J94="Х","Х",IF(K94&lt;2.5," ",IF(K94&gt;=2.5,IF(G94+I94+K94&gt;=6,"Х",IF(AA94&lt;6," "," ")))))</f>
        <v xml:space="preserve"> </v>
      </c>
      <c r="M94" s="41"/>
      <c r="N94" s="434" t="str">
        <f>IF(L94="Х","Х",IF(M94&lt;2.5," ",IF(M94&gt;=2.5,IF(G94+I94+K94+M94&gt;=6,"Х",IF(AA94&lt;6," "," ")))))</f>
        <v xml:space="preserve"> </v>
      </c>
      <c r="O94" s="41"/>
      <c r="P94" s="434" t="str">
        <f>IF(N94="Х","Х",IF(O94&lt;2.5," ",IF(O94&gt;=2.5,IF(G94+I94+K94+M94+O94&gt;=6,"Х",IF(AA94&lt;6," "," ")))))</f>
        <v xml:space="preserve"> </v>
      </c>
      <c r="Q94" s="41"/>
      <c r="R94" s="434" t="str">
        <f>IF(P94="Х","Х",IF(Q94&lt;2.5," ",IF(Q94&gt;=2.5,IF(G94+I94+K94+M94+O94+Q94&gt;=6,"Х",IF(AA94&lt;6," "," ")))))</f>
        <v xml:space="preserve"> </v>
      </c>
      <c r="S94" s="41"/>
      <c r="T94" s="434" t="str">
        <f>IF(R94="Х","Х",IF(S94&lt;2.5," ",IF(S94&gt;=2.5,IF(G94+I94+K94+M94+O94+Q94+S94&gt;=6,"Х",IF(AA94&lt;6," "," ")))))</f>
        <v xml:space="preserve"> </v>
      </c>
      <c r="U94" s="45"/>
      <c r="V94" s="434" t="str">
        <f>IF(T94="А1",$AX$7,IF(T94="Б2",$AX$6,IF(T94="Б1",$AY$7,IF(T94="А2",$AY$6,IF(T94="Х","Х",IF(T94&lt;6," "," "))))))</f>
        <v xml:space="preserve"> </v>
      </c>
      <c r="W94" s="41"/>
      <c r="X94" s="434" t="str">
        <f t="shared" ref="X94" si="243">IF(T94="Х","Х",IF(ISBLANK(W94),"",IF(W94&gt;2.5," ",IF(B94=AZ$6,AZ$7,AZ$6))))</f>
        <v/>
      </c>
      <c r="Y94" s="42"/>
      <c r="Z94" s="463" t="b">
        <f>IF(H94="Х","1",IF(J94="Х","2",IF(L94="Х","3",IF(N94="Х","4",IF(P94="Х","5",IF(R94="Х","6",IF(T94="Х","7",IF(V94="Х","8"))))))))</f>
        <v>0</v>
      </c>
      <c r="AA94" s="461">
        <f>SUM(G94+I94+K94+M94+O94+Q94+S94+U94+W94+Y94)</f>
        <v>0</v>
      </c>
      <c r="AB94" s="426">
        <f t="shared" ref="AB94" si="244">AD94+0</f>
        <v>20607</v>
      </c>
      <c r="AC94" s="383">
        <f>AB94</f>
        <v>20607</v>
      </c>
      <c r="AD94" s="384" t="str">
        <f>COUNTIF(AE$6:AE$119,"&gt;"&amp;AE$6:AE$119)+1&amp;REPT("-"&amp;COUNTIF(AE$6:AE$119,"&gt;="&amp;AE$6:AE$119),COUNTIF(AE$6:AE$119,AE94)&gt;1)</f>
        <v>6-56</v>
      </c>
      <c r="AE94" s="385">
        <f t="shared" si="220"/>
        <v>80</v>
      </c>
      <c r="AF94" s="387" t="str">
        <f>IF(OR(F94="Х",F94="св")," ",IF(AND(G94&gt;=0,G94&lt;3),"1"," "))</f>
        <v>1</v>
      </c>
      <c r="AG94" s="387" t="str">
        <f>IF(OR(H94="Х",H94="св")," ",IF(AND(I94&gt;=0,I94&lt;3),"1"," "))</f>
        <v>1</v>
      </c>
      <c r="AH94" s="387" t="str">
        <f>IF(OR(J94="Х",J94="св")," ",IF(AND(K94&gt;=0,K94&lt;3),"1"," "))</f>
        <v>1</v>
      </c>
      <c r="AI94" s="387" t="str">
        <f>IF(OR(L94="Х",L94="св")," ",IF(AND(M94&gt;=0,M94&lt;3),"1"," "))</f>
        <v>1</v>
      </c>
      <c r="AJ94" s="387" t="str">
        <f>IF(OR(N94="Х",N94="св")," ",IF(AND(O94&gt;=0,O94&lt;3),"1"," "))</f>
        <v>1</v>
      </c>
      <c r="AK94" s="387" t="str">
        <f>IF(OR(P94="Х",P94="св")," ",IF(AND(Q94&gt;=0,Q94&lt;3),"1"," "))</f>
        <v>1</v>
      </c>
      <c r="AL94" s="387" t="str">
        <f>IF(OR(R94="Х",R94="св")," ",IF(AND(S94&gt;=0,S94&lt;3),"1"," "))</f>
        <v>1</v>
      </c>
      <c r="AM94" s="387" t="str">
        <f>IF(OR(T94="Х",T94="св")," ",IF(AND(U94&gt;=0,U94&lt;3),"1"," "))</f>
        <v>1</v>
      </c>
      <c r="AN94" s="388">
        <f>COUNTIF(AF94:AM95,1)</f>
        <v>8</v>
      </c>
      <c r="AO94" s="390">
        <f>AE94-AA94</f>
        <v>80</v>
      </c>
      <c r="AP94" s="391">
        <f t="shared" si="195"/>
        <v>0</v>
      </c>
      <c r="AQ94" s="384" t="str">
        <f>COUNTIF(AE$6:AE$119,"&gt;"&amp;AE$6:AE$119)+1&amp;REPT("-"&amp;COUNTIF(AE$6:AE$119,"&gt;="&amp;AE$6:AE$119),COUNTIF(AE$6:AE$119,AE94)&gt;1)</f>
        <v>6-56</v>
      </c>
      <c r="AR94" s="392"/>
      <c r="AS94" s="183"/>
      <c r="AT94" s="183"/>
      <c r="AU94" s="183"/>
      <c r="AV94" s="383">
        <f t="shared" si="236"/>
        <v>44</v>
      </c>
      <c r="AW94" s="19"/>
      <c r="AX94" s="19"/>
      <c r="AY94" s="19"/>
      <c r="AZ94" s="19"/>
      <c r="BU94" s="374">
        <f>IF(J94="х"," ",B94)</f>
        <v>44</v>
      </c>
      <c r="BV94" s="374">
        <f>IF(L94="х"," ",B94)</f>
        <v>44</v>
      </c>
      <c r="BW94" s="374" t="str">
        <f>IF(BV94=" "," ",L94)</f>
        <v xml:space="preserve"> </v>
      </c>
      <c r="BX94" s="374" t="str">
        <f>IF(BU94=" "," ",J94)</f>
        <v xml:space="preserve"> </v>
      </c>
      <c r="BY94" s="61">
        <f>IF(BU94&lt;BX94,BU94,0)</f>
        <v>44</v>
      </c>
      <c r="BZ94" s="61">
        <f t="shared" si="8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4">
        <f>IF(N94="х"," ",B94)</f>
        <v>44</v>
      </c>
      <c r="CG94" s="374" t="str">
        <f>IF(CF94=" "," ",N94)</f>
        <v xml:space="preserve"> </v>
      </c>
      <c r="CH94" s="125">
        <f>IF(CF94&lt;CG94,CF94,0)</f>
        <v>44</v>
      </c>
      <c r="CI94">
        <f t="shared" si="19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4">
        <f>IF(P94="х"," ",B94)</f>
        <v>44</v>
      </c>
      <c r="CM94" s="374" t="str">
        <f>IF(CL94=" "," ",P94)</f>
        <v xml:space="preserve"> </v>
      </c>
      <c r="CN94">
        <f>IF(CL94&lt;CM94,CL94,0)</f>
        <v>44</v>
      </c>
      <c r="CO94">
        <f t="shared" si="19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4">
        <f t="shared" ref="CR94" si="245">IF(R94="х"," ",B94)</f>
        <v>44</v>
      </c>
      <c r="CS94" s="374" t="str">
        <f t="shared" ref="CS94" si="246">IF(CR94=" "," ",R94)</f>
        <v xml:space="preserve"> </v>
      </c>
      <c r="CT94">
        <f>IF(CR94&lt;CS94,CR94,0)</f>
        <v>44</v>
      </c>
      <c r="CU94">
        <f t="shared" si="19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2"/>
      <c r="C95" s="421"/>
      <c r="D95" s="423"/>
      <c r="E95" s="425"/>
      <c r="F95" s="438"/>
      <c r="G95" s="44"/>
      <c r="H95" s="435"/>
      <c r="I95" s="44"/>
      <c r="J95" s="435"/>
      <c r="K95" s="44"/>
      <c r="L95" s="435"/>
      <c r="M95" s="44"/>
      <c r="N95" s="435"/>
      <c r="O95" s="44"/>
      <c r="P95" s="435"/>
      <c r="Q95" s="44"/>
      <c r="R95" s="435"/>
      <c r="S95" s="44"/>
      <c r="T95" s="435"/>
      <c r="U95" s="47"/>
      <c r="V95" s="435"/>
      <c r="W95" s="44"/>
      <c r="X95" s="435"/>
      <c r="Y95" s="44"/>
      <c r="Z95" s="419"/>
      <c r="AA95" s="462"/>
      <c r="AB95" s="427"/>
      <c r="AC95" s="383"/>
      <c r="AD95" s="384"/>
      <c r="AE95" s="386"/>
      <c r="AF95" s="387"/>
      <c r="AG95" s="387"/>
      <c r="AH95" s="387"/>
      <c r="AI95" s="387"/>
      <c r="AJ95" s="387"/>
      <c r="AK95" s="387"/>
      <c r="AL95" s="387"/>
      <c r="AM95" s="387"/>
      <c r="AN95" s="389"/>
      <c r="AO95" s="384"/>
      <c r="AP95" s="391"/>
      <c r="AQ95" s="384"/>
      <c r="AR95" s="392"/>
      <c r="AS95" s="183"/>
      <c r="AT95" s="183"/>
      <c r="AU95" s="183"/>
      <c r="AV95" s="383"/>
      <c r="AW95" s="19"/>
      <c r="AX95" s="19"/>
      <c r="AY95" s="19"/>
      <c r="AZ95" s="19"/>
      <c r="BU95" s="374"/>
      <c r="BV95" s="374"/>
      <c r="BW95" s="374"/>
      <c r="BX95" s="374"/>
      <c r="BY95" s="61" t="str">
        <f>IF(BY94&gt;=1,BX94,0)</f>
        <v xml:space="preserve"> </v>
      </c>
      <c r="BZ95" s="61" t="str">
        <f t="shared" si="8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4"/>
      <c r="CG95" s="374"/>
      <c r="CH95" s="125" t="str">
        <f>IF(CH94&gt;=1,CG94,0)</f>
        <v xml:space="preserve"> </v>
      </c>
      <c r="CI95" t="str">
        <f t="shared" si="19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4"/>
      <c r="CM95" s="374"/>
      <c r="CN95" t="str">
        <f>IF(CN94&gt;=1,CM94,0)</f>
        <v xml:space="preserve"> </v>
      </c>
      <c r="CO95" t="str">
        <f t="shared" si="19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4"/>
      <c r="CS95" s="374"/>
      <c r="CT95" t="str">
        <f>IF(CT94&gt;=1,CS94,0)</f>
        <v xml:space="preserve"> </v>
      </c>
      <c r="CU95" t="str">
        <f t="shared" si="19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1">
        <v>45</v>
      </c>
      <c r="C96" s="420" t="e">
        <f>(VLOOKUP(B96,пр.взв!$B$7:$H$76,2,0))</f>
        <v>#N/A</v>
      </c>
      <c r="D96" s="422" t="e">
        <f>(VLOOKUP(B96,пр.взв!$B$7:$H$76,3,0))</f>
        <v>#N/A</v>
      </c>
      <c r="E96" s="424" t="e">
        <f>(VLOOKUP(B96,пр.взв!$B$7:$H$76,5,0))</f>
        <v>#N/A</v>
      </c>
      <c r="F96" s="440">
        <f t="shared" ref="F96" si="247">IF(ISERROR(C96),0,B98)</f>
        <v>0</v>
      </c>
      <c r="G96" s="42"/>
      <c r="H96" s="456"/>
      <c r="I96" s="42"/>
      <c r="J96" s="436" t="str">
        <f>IF(H96="Х","Х",IF(I96+G96&lt;6," ",IF(I96+G96&gt;=6,IF(AA96&gt;=6,"Х",IF(AA96&lt;6," "," ")))))</f>
        <v xml:space="preserve"> </v>
      </c>
      <c r="K96" s="41"/>
      <c r="L96" s="434" t="str">
        <f>IF(J96="Х","Х",IF(K96&lt;2.5," ",IF(K96&gt;=2.5,IF(G96+I96+K96&gt;=6,"Х",IF(AA96&lt;6," "," ")))))</f>
        <v xml:space="preserve"> </v>
      </c>
      <c r="M96" s="41"/>
      <c r="N96" s="434" t="str">
        <f>IF(L96="Х","Х",IF(M96&lt;2.5," ",IF(M96&gt;=2.5,IF(G96+I96+K96+M96&gt;=6,"Х",IF(AA96&lt;6," "," ")))))</f>
        <v xml:space="preserve"> </v>
      </c>
      <c r="O96" s="41"/>
      <c r="P96" s="434" t="str">
        <f>IF(N96="Х","Х",IF(O96&lt;2.5," ",IF(O96&gt;=2.5,IF(G96+I96+K96+M96+O96&gt;=6,"Х",IF(AA96&lt;6," "," ")))))</f>
        <v xml:space="preserve"> </v>
      </c>
      <c r="Q96" s="41"/>
      <c r="R96" s="434" t="str">
        <f>IF(P96="Х","Х",IF(Q96&lt;2.5," ",IF(Q96&gt;=2.5,IF(G96+I96+K96+M96+O96+Q96&gt;=6,"Х",IF(AA96&lt;6," "," ")))))</f>
        <v xml:space="preserve"> </v>
      </c>
      <c r="S96" s="41"/>
      <c r="T96" s="434" t="str">
        <f>IF(R96="Х","Х",IF(S96&lt;2.5," ",IF(S96&gt;=2.5,IF(G96+I96+K96+M96+O96+Q96+S96&gt;=6,"Х",IF(AA96&lt;6," "," ")))))</f>
        <v xml:space="preserve"> </v>
      </c>
      <c r="U96" s="45"/>
      <c r="V96" s="434" t="str">
        <f>IF(T96="А1",$AX$7,IF(T96="Б2",$AX$6,IF(T96="Б1",$AY$7,IF(T96="А2",$AY$6,IF(T96="Х","Х",IF(T96&lt;6," "," "))))))</f>
        <v xml:space="preserve"> </v>
      </c>
      <c r="W96" s="41"/>
      <c r="X96" s="434" t="str">
        <f t="shared" ref="X96" si="248">IF(T96="Х","Х",IF(ISBLANK(W96),"",IF(W96&gt;2.5," ",IF(B96=AZ$6,AZ$7,AZ$6))))</f>
        <v/>
      </c>
      <c r="Y96" s="42"/>
      <c r="Z96" s="463" t="b">
        <f>IF(H96="Х","1",IF(J96="Х","2",IF(L96="Х","3",IF(N96="Х","4",IF(P96="Х","5",IF(R96="Х","6",IF(T96="Х","7",IF(V96="Х","8"))))))))</f>
        <v>0</v>
      </c>
      <c r="AA96" s="461">
        <f>SUM(G96+I96+K96+M96+O96+Q96+S96+U96+W96+Y96)</f>
        <v>0</v>
      </c>
      <c r="AB96" s="426">
        <f t="shared" ref="AB96" si="249">AD96+0</f>
        <v>20607</v>
      </c>
      <c r="AC96" s="383">
        <f>AB96</f>
        <v>20607</v>
      </c>
      <c r="AD96" s="384" t="str">
        <f>COUNTIF(AE$6:AE$119,"&gt;"&amp;AE$6:AE$119)+1&amp;REPT("-"&amp;COUNTIF(AE$6:AE$119,"&gt;="&amp;AE$6:AE$119),COUNTIF(AE$6:AE$119,AE96)&gt;1)</f>
        <v>6-56</v>
      </c>
      <c r="AE96" s="385">
        <f t="shared" si="220"/>
        <v>80</v>
      </c>
      <c r="AF96" s="387" t="str">
        <f>IF(OR(F96="Х",F96="св")," ",IF(AND(G96&gt;=0,G96&lt;3),"1"," "))</f>
        <v>1</v>
      </c>
      <c r="AG96" s="387" t="str">
        <f>IF(OR(H96="Х",H96="св")," ",IF(AND(I96&gt;=0,I96&lt;3),"1"," "))</f>
        <v>1</v>
      </c>
      <c r="AH96" s="387" t="str">
        <f>IF(OR(J96="Х",J96="св")," ",IF(AND(K96&gt;=0,K96&lt;3),"1"," "))</f>
        <v>1</v>
      </c>
      <c r="AI96" s="387" t="str">
        <f>IF(OR(L96="Х",L96="св")," ",IF(AND(M96&gt;=0,M96&lt;3),"1"," "))</f>
        <v>1</v>
      </c>
      <c r="AJ96" s="387" t="str">
        <f>IF(OR(N96="Х",N96="св")," ",IF(AND(O96&gt;=0,O96&lt;3),"1"," "))</f>
        <v>1</v>
      </c>
      <c r="AK96" s="387" t="str">
        <f>IF(OR(P96="Х",P96="св")," ",IF(AND(Q96&gt;=0,Q96&lt;3),"1"," "))</f>
        <v>1</v>
      </c>
      <c r="AL96" s="387" t="str">
        <f>IF(OR(R96="Х",R96="св")," ",IF(AND(S96&gt;=0,S96&lt;3),"1"," "))</f>
        <v>1</v>
      </c>
      <c r="AM96" s="387" t="str">
        <f>IF(OR(T96="Х",T96="св")," ",IF(AND(U96&gt;=0,U96&lt;3),"1"," "))</f>
        <v>1</v>
      </c>
      <c r="AN96" s="388">
        <f t="shared" ref="AN96" si="250">COUNTIF(AF96:AM97,1)</f>
        <v>8</v>
      </c>
      <c r="AO96" s="390">
        <f>AE96-AA96</f>
        <v>80</v>
      </c>
      <c r="AP96" s="391">
        <f t="shared" si="195"/>
        <v>0</v>
      </c>
      <c r="AQ96" s="384" t="str">
        <f>COUNTIF(AE$6:AE$119,"&gt;"&amp;AE$6:AE$119)+1&amp;REPT("-"&amp;COUNTIF(AE$6:AE$119,"&gt;="&amp;AE$6:AE$119),COUNTIF(AE$6:AE$119,AE96)&gt;1)</f>
        <v>6-56</v>
      </c>
      <c r="AR96" s="392"/>
      <c r="AS96" s="183"/>
      <c r="AT96" s="183"/>
      <c r="AU96" s="183"/>
      <c r="AV96" s="383">
        <f t="shared" si="236"/>
        <v>45</v>
      </c>
      <c r="AW96" s="19"/>
      <c r="AX96" s="19"/>
      <c r="AY96" s="19"/>
      <c r="AZ96" s="19"/>
      <c r="BU96" s="374">
        <f>IF(J96="х"," ",B96)</f>
        <v>45</v>
      </c>
      <c r="BV96" s="374">
        <f>IF(L96="х"," ",B96)</f>
        <v>45</v>
      </c>
      <c r="BW96" s="374" t="str">
        <f>IF(BV96=" "," ",L96)</f>
        <v xml:space="preserve"> </v>
      </c>
      <c r="BX96" s="374" t="str">
        <f>IF(BU96=" "," ",J96)</f>
        <v xml:space="preserve"> </v>
      </c>
      <c r="BY96" s="61">
        <f>IF(BU96&lt;BX96,BU96,0)</f>
        <v>45</v>
      </c>
      <c r="BZ96" s="61">
        <f t="shared" si="8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4">
        <f>IF(N96="х"," ",B96)</f>
        <v>45</v>
      </c>
      <c r="CG96" s="374" t="str">
        <f>IF(CF96=" "," ",N96)</f>
        <v xml:space="preserve"> </v>
      </c>
      <c r="CH96" s="125">
        <f>IF(CF96&lt;CG96,CF96,0)</f>
        <v>45</v>
      </c>
      <c r="CI96">
        <f t="shared" si="19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4">
        <f>IF(P96="х"," ",B96)</f>
        <v>45</v>
      </c>
      <c r="CM96" s="374" t="str">
        <f>IF(CL96=" "," ",P96)</f>
        <v xml:space="preserve"> </v>
      </c>
      <c r="CN96">
        <f>IF(CL96&lt;CM96,CL96,0)</f>
        <v>45</v>
      </c>
      <c r="CO96">
        <f t="shared" si="19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4">
        <f t="shared" ref="CR96" si="251">IF(R96="х"," ",B96)</f>
        <v>45</v>
      </c>
      <c r="CS96" s="374" t="str">
        <f t="shared" ref="CS96" si="252">IF(CR96=" "," ",R96)</f>
        <v xml:space="preserve"> </v>
      </c>
      <c r="CT96">
        <f>IF(CR96&lt;CS96,CR96,0)</f>
        <v>45</v>
      </c>
      <c r="CU96">
        <f t="shared" si="19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2"/>
      <c r="C97" s="421"/>
      <c r="D97" s="423"/>
      <c r="E97" s="425"/>
      <c r="F97" s="438"/>
      <c r="G97" s="44"/>
      <c r="H97" s="435"/>
      <c r="I97" s="44"/>
      <c r="J97" s="435"/>
      <c r="K97" s="44"/>
      <c r="L97" s="435"/>
      <c r="M97" s="44"/>
      <c r="N97" s="435"/>
      <c r="O97" s="44"/>
      <c r="P97" s="435"/>
      <c r="Q97" s="44"/>
      <c r="R97" s="435"/>
      <c r="S97" s="44"/>
      <c r="T97" s="435"/>
      <c r="U97" s="47"/>
      <c r="V97" s="435"/>
      <c r="W97" s="44"/>
      <c r="X97" s="435"/>
      <c r="Y97" s="44"/>
      <c r="Z97" s="419"/>
      <c r="AA97" s="462"/>
      <c r="AB97" s="427"/>
      <c r="AC97" s="383"/>
      <c r="AD97" s="384"/>
      <c r="AE97" s="386"/>
      <c r="AF97" s="387"/>
      <c r="AG97" s="387"/>
      <c r="AH97" s="387"/>
      <c r="AI97" s="387"/>
      <c r="AJ97" s="387"/>
      <c r="AK97" s="387"/>
      <c r="AL97" s="387"/>
      <c r="AM97" s="387"/>
      <c r="AN97" s="389"/>
      <c r="AO97" s="384"/>
      <c r="AP97" s="391"/>
      <c r="AQ97" s="384"/>
      <c r="AR97" s="392"/>
      <c r="AS97" s="183"/>
      <c r="AT97" s="183"/>
      <c r="AU97" s="183"/>
      <c r="AV97" s="383"/>
      <c r="AW97" s="19"/>
      <c r="AX97" s="19"/>
      <c r="AY97" s="19"/>
      <c r="AZ97" s="19"/>
      <c r="BU97" s="374"/>
      <c r="BV97" s="374"/>
      <c r="BW97" s="374"/>
      <c r="BX97" s="374"/>
      <c r="BY97" s="61" t="str">
        <f>IF(BY96&gt;=1,BX96,0)</f>
        <v xml:space="preserve"> </v>
      </c>
      <c r="BZ97" s="61" t="str">
        <f t="shared" ref="BZ97:BZ119" si="253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4"/>
      <c r="CG97" s="374"/>
      <c r="CH97" s="125" t="str">
        <f>IF(CH96&gt;=1,CG96,0)</f>
        <v xml:space="preserve"> </v>
      </c>
      <c r="CI97" t="str">
        <f t="shared" si="19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4"/>
      <c r="CM97" s="374"/>
      <c r="CN97" t="str">
        <f>IF(CN96&gt;=1,CM96,0)</f>
        <v xml:space="preserve"> </v>
      </c>
      <c r="CO97" t="str">
        <f t="shared" si="19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4"/>
      <c r="CS97" s="374"/>
      <c r="CT97" t="str">
        <f>IF(CT96&gt;=1,CS96,0)</f>
        <v xml:space="preserve"> </v>
      </c>
      <c r="CU97" t="str">
        <f t="shared" si="19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1">
        <v>46</v>
      </c>
      <c r="C98" s="420" t="e">
        <f>(VLOOKUP(B98,пр.взв!$B$7:$H$76,2,0))</f>
        <v>#N/A</v>
      </c>
      <c r="D98" s="422" t="e">
        <f>(VLOOKUP(B98,пр.взв!$B$7:$H$76,3,0))</f>
        <v>#N/A</v>
      </c>
      <c r="E98" s="424" t="e">
        <f>(VLOOKUP(B98,пр.взв!$B$7:$H$76,5,0))</f>
        <v>#N/A</v>
      </c>
      <c r="F98" s="439">
        <f t="shared" ref="F98" si="254">IF(ISERROR(C98),0,B96)</f>
        <v>0</v>
      </c>
      <c r="G98" s="42"/>
      <c r="H98" s="456"/>
      <c r="I98" s="42"/>
      <c r="J98" s="436" t="str">
        <f>IF(H98="Х","Х",IF(I98+G98&lt;6," ",IF(I98+G98&gt;=6,IF(AA98&gt;=6,"Х",IF(AA98&lt;6," "," ")))))</f>
        <v xml:space="preserve"> </v>
      </c>
      <c r="K98" s="41"/>
      <c r="L98" s="434" t="str">
        <f>IF(J98="Х","Х",IF(K98&lt;2.5," ",IF(K98&gt;=2.5,IF(G98+I98+K98&gt;=6,"Х",IF(AA98&lt;6," "," ")))))</f>
        <v xml:space="preserve"> </v>
      </c>
      <c r="M98" s="41"/>
      <c r="N98" s="434" t="str">
        <f>IF(L98="Х","Х",IF(M98&lt;2.5," ",IF(M98&gt;=2.5,IF(G98+I98+K98+M98&gt;=6,"Х",IF(AA98&lt;6," "," ")))))</f>
        <v xml:space="preserve"> </v>
      </c>
      <c r="O98" s="41"/>
      <c r="P98" s="434" t="str">
        <f>IF(N98="Х","Х",IF(O98&lt;2.5," ",IF(O98&gt;=2.5,IF(G98+I98+K98+M98+O98&gt;=6,"Х",IF(AA98&lt;6," "," ")))))</f>
        <v xml:space="preserve"> </v>
      </c>
      <c r="Q98" s="41"/>
      <c r="R98" s="434" t="str">
        <f>IF(P98="Х","Х",IF(Q98&lt;2.5," ",IF(Q98&gt;=2.5,IF(G98+I98+K98+M98+O98+Q98&gt;=6,"Х",IF(AA98&lt;6," "," ")))))</f>
        <v xml:space="preserve"> </v>
      </c>
      <c r="S98" s="41"/>
      <c r="T98" s="434" t="str">
        <f>IF(R98="Х","Х",IF(S98&lt;2.5," ",IF(S98&gt;=2.5,IF(G98+I98+K98+M98+O98+Q98+S98&gt;=6,"Х",IF(AA98&lt;6," "," ")))))</f>
        <v xml:space="preserve"> </v>
      </c>
      <c r="U98" s="45"/>
      <c r="V98" s="434" t="str">
        <f t="shared" ref="V98" si="255">IF(T98="А1",$AX$7,IF(T98="Б2",$AX$6,IF(T98="Б1",$AY$7,IF(T98="А2",$AY$6,IF(T98="Х","Х",IF(T98&lt;6," "," "))))))</f>
        <v xml:space="preserve"> </v>
      </c>
      <c r="W98" s="41"/>
      <c r="X98" s="434" t="str">
        <f t="shared" ref="X98" si="256">IF(T98="Х","Х",IF(ISBLANK(W98),"",IF(W98&gt;2.5," ",IF(B98=AZ$6,AZ$7,AZ$6))))</f>
        <v/>
      </c>
      <c r="Y98" s="42"/>
      <c r="Z98" s="463" t="b">
        <f>IF(H98="Х","1",IF(J98="Х","2",IF(L98="Х","3",IF(N98="Х","4",IF(P98="Х","5",IF(R98="Х","6",IF(T98="Х","7",IF(V98="Х","8"))))))))</f>
        <v>0</v>
      </c>
      <c r="AA98" s="461">
        <f>SUM(G98+I98+K98+M98+O98+Q98+S98+U98+W98+Y98)</f>
        <v>0</v>
      </c>
      <c r="AB98" s="426">
        <f t="shared" ref="AB98" si="257">AD98+0</f>
        <v>20607</v>
      </c>
      <c r="AC98" s="383">
        <f>AB98</f>
        <v>20607</v>
      </c>
      <c r="AD98" s="384" t="str">
        <f>COUNTIF(AE$6:AE$119,"&gt;"&amp;AE$6:AE$119)+1&amp;REPT("-"&amp;COUNTIF(AE$6:AE$119,"&gt;="&amp;AE$6:AE$119),COUNTIF(AE$6:AE$119,AE98)&gt;1)</f>
        <v>6-56</v>
      </c>
      <c r="AE98" s="385">
        <f t="shared" si="220"/>
        <v>80</v>
      </c>
      <c r="AF98" s="387" t="str">
        <f>IF(OR(F98="Х",F98="св")," ",IF(AND(G98&gt;=0,G98&lt;3),"1"," "))</f>
        <v>1</v>
      </c>
      <c r="AG98" s="387" t="str">
        <f>IF(OR(H98="Х",H98="св")," ",IF(AND(I98&gt;=0,I98&lt;3),"1"," "))</f>
        <v>1</v>
      </c>
      <c r="AH98" s="387" t="str">
        <f>IF(OR(J98="Х",J98="св")," ",IF(AND(K98&gt;=0,K98&lt;3),"1"," "))</f>
        <v>1</v>
      </c>
      <c r="AI98" s="387" t="str">
        <f>IF(OR(L98="Х",L98="св")," ",IF(AND(M98&gt;=0,M98&lt;3),"1"," "))</f>
        <v>1</v>
      </c>
      <c r="AJ98" s="387" t="str">
        <f>IF(OR(N98="Х",N98="св")," ",IF(AND(O98&gt;=0,O98&lt;3),"1"," "))</f>
        <v>1</v>
      </c>
      <c r="AK98" s="387" t="str">
        <f>IF(OR(P98="Х",P98="св")," ",IF(AND(Q98&gt;=0,Q98&lt;3),"1"," "))</f>
        <v>1</v>
      </c>
      <c r="AL98" s="387" t="str">
        <f>IF(OR(R98="Х",R98="св")," ",IF(AND(S98&gt;=0,S98&lt;3),"1"," "))</f>
        <v>1</v>
      </c>
      <c r="AM98" s="387" t="str">
        <f>IF(OR(T98="Х",T98="св")," ",IF(AND(U98&gt;=0,U98&lt;3),"1"," "))</f>
        <v>1</v>
      </c>
      <c r="AN98" s="388">
        <f t="shared" ref="AN98" si="258">COUNTIF(AF98:AM99,1)</f>
        <v>8</v>
      </c>
      <c r="AO98" s="390">
        <f>AE98-AA98</f>
        <v>80</v>
      </c>
      <c r="AP98" s="391">
        <f t="shared" si="195"/>
        <v>0</v>
      </c>
      <c r="AQ98" s="384" t="str">
        <f>COUNTIF(AE$6:AE$119,"&gt;"&amp;AE$6:AE$119)+1&amp;REPT("-"&amp;COUNTIF(AE$6:AE$119,"&gt;="&amp;AE$6:AE$119),COUNTIF(AE$6:AE$119,AE98)&gt;1)</f>
        <v>6-56</v>
      </c>
      <c r="AR98" s="392"/>
      <c r="AS98" s="183"/>
      <c r="AT98" s="183"/>
      <c r="AU98" s="183"/>
      <c r="AV98" s="383">
        <f t="shared" si="236"/>
        <v>46</v>
      </c>
      <c r="AW98" s="19"/>
      <c r="AX98" s="19"/>
      <c r="AY98" s="19"/>
      <c r="AZ98" s="19"/>
      <c r="BU98" s="374">
        <f>IF(J98="х"," ",B98)</f>
        <v>46</v>
      </c>
      <c r="BV98" s="374">
        <f>IF(L98="х"," ",B98)</f>
        <v>46</v>
      </c>
      <c r="BW98" s="374" t="str">
        <f>IF(BV98=" "," ",L98)</f>
        <v xml:space="preserve"> </v>
      </c>
      <c r="BX98" s="374" t="str">
        <f>IF(BU98=" "," ",J98)</f>
        <v xml:space="preserve"> </v>
      </c>
      <c r="BY98" s="61">
        <f>IF(BU98&lt;BX98,BU98,0)</f>
        <v>46</v>
      </c>
      <c r="BZ98" s="61">
        <f t="shared" si="253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4">
        <f>IF(N98="х"," ",B98)</f>
        <v>46</v>
      </c>
      <c r="CG98" s="374" t="str">
        <f>IF(CF98=" "," ",N98)</f>
        <v xml:space="preserve"> </v>
      </c>
      <c r="CH98" s="125">
        <f>IF(CF98&lt;CG98,CF98,0)</f>
        <v>46</v>
      </c>
      <c r="CI98">
        <f t="shared" si="19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4">
        <f>IF(P98="х"," ",B98)</f>
        <v>46</v>
      </c>
      <c r="CM98" s="374" t="str">
        <f>IF(CL98=" "," ",P98)</f>
        <v xml:space="preserve"> </v>
      </c>
      <c r="CN98">
        <f>IF(CL98&lt;CM98,CL98,0)</f>
        <v>46</v>
      </c>
      <c r="CO98">
        <f t="shared" si="19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4">
        <f t="shared" ref="CR98" si="259">IF(R98="х"," ",B98)</f>
        <v>46</v>
      </c>
      <c r="CS98" s="374" t="str">
        <f t="shared" ref="CS98" si="260">IF(CR98=" "," ",R98)</f>
        <v xml:space="preserve"> </v>
      </c>
      <c r="CT98">
        <f>IF(CR98&lt;CS98,CR98,0)</f>
        <v>46</v>
      </c>
      <c r="CU98">
        <f t="shared" si="19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2"/>
      <c r="C99" s="421"/>
      <c r="D99" s="423"/>
      <c r="E99" s="425"/>
      <c r="F99" s="438"/>
      <c r="G99" s="44"/>
      <c r="H99" s="435"/>
      <c r="I99" s="44"/>
      <c r="J99" s="435"/>
      <c r="K99" s="44"/>
      <c r="L99" s="435"/>
      <c r="M99" s="44"/>
      <c r="N99" s="435"/>
      <c r="O99" s="44"/>
      <c r="P99" s="435"/>
      <c r="Q99" s="44"/>
      <c r="R99" s="435"/>
      <c r="S99" s="44"/>
      <c r="T99" s="435"/>
      <c r="U99" s="47"/>
      <c r="V99" s="435"/>
      <c r="W99" s="44"/>
      <c r="X99" s="435"/>
      <c r="Y99" s="44"/>
      <c r="Z99" s="419"/>
      <c r="AA99" s="462"/>
      <c r="AB99" s="427"/>
      <c r="AC99" s="383"/>
      <c r="AD99" s="384"/>
      <c r="AE99" s="386"/>
      <c r="AF99" s="387"/>
      <c r="AG99" s="387"/>
      <c r="AH99" s="387"/>
      <c r="AI99" s="387"/>
      <c r="AJ99" s="387"/>
      <c r="AK99" s="387"/>
      <c r="AL99" s="387"/>
      <c r="AM99" s="387"/>
      <c r="AN99" s="389"/>
      <c r="AO99" s="384"/>
      <c r="AP99" s="391"/>
      <c r="AQ99" s="384"/>
      <c r="AR99" s="392"/>
      <c r="AS99" s="183"/>
      <c r="AT99" s="183"/>
      <c r="AU99" s="183"/>
      <c r="AV99" s="383"/>
      <c r="BU99" s="374"/>
      <c r="BV99" s="374"/>
      <c r="BW99" s="374"/>
      <c r="BX99" s="374"/>
      <c r="BY99" s="61" t="str">
        <f>IF(BY98&gt;=1,BX98,0)</f>
        <v xml:space="preserve"> </v>
      </c>
      <c r="BZ99" s="61" t="str">
        <f t="shared" si="253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4"/>
      <c r="CG99" s="374"/>
      <c r="CH99" s="125" t="str">
        <f>IF(CH98&gt;=1,CG98,0)</f>
        <v xml:space="preserve"> </v>
      </c>
      <c r="CI99" t="str">
        <f t="shared" si="19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4"/>
      <c r="CM99" s="374"/>
      <c r="CN99" t="str">
        <f>IF(CN98&gt;=1,CM98,0)</f>
        <v xml:space="preserve"> </v>
      </c>
      <c r="CO99" t="str">
        <f t="shared" si="19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4"/>
      <c r="CS99" s="374"/>
      <c r="CT99" t="str">
        <f>IF(CT98&gt;=1,CS98,0)</f>
        <v xml:space="preserve"> </v>
      </c>
      <c r="CU99" t="str">
        <f t="shared" si="19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1">
        <v>47</v>
      </c>
      <c r="C100" s="420" t="e">
        <f>(VLOOKUP(B100,пр.взв!$B$7:$H$76,2,0))</f>
        <v>#N/A</v>
      </c>
      <c r="D100" s="422" t="e">
        <f>(VLOOKUP(B100,пр.взв!$B$7:$H$76,3,0))</f>
        <v>#N/A</v>
      </c>
      <c r="E100" s="424" t="e">
        <f>(VLOOKUP(B100,пр.взв!$B$7:$H$76,5,0))</f>
        <v>#N/A</v>
      </c>
      <c r="F100" s="440">
        <f t="shared" si="217"/>
        <v>0</v>
      </c>
      <c r="G100" s="42"/>
      <c r="H100" s="456"/>
      <c r="I100" s="42"/>
      <c r="J100" s="436" t="str">
        <f>IF(H100="Х","Х",IF(I100+G100&lt;6," ",IF(I100+G100&gt;=6,IF(AA100&gt;=6,"Х",IF(AA100&lt;6," "," ")))))</f>
        <v xml:space="preserve"> </v>
      </c>
      <c r="K100" s="41"/>
      <c r="L100" s="434" t="str">
        <f>IF(J100="Х","Х",IF(K100&lt;2.5," ",IF(K100&gt;=2.5,IF(G100+I100+K100&gt;=6,"Х",IF(AA100&lt;6," "," ")))))</f>
        <v xml:space="preserve"> </v>
      </c>
      <c r="M100" s="41"/>
      <c r="N100" s="434" t="str">
        <f>IF(L100="Х","Х",IF(M100&lt;2.5," ",IF(M100&gt;=2.5,IF(G100+I100+K100+M100&gt;=6,"Х",IF(AA100&lt;6," "," ")))))</f>
        <v xml:space="preserve"> </v>
      </c>
      <c r="O100" s="41"/>
      <c r="P100" s="434" t="str">
        <f>IF(N100="Х","Х",IF(O100&lt;2.5," ",IF(O100&gt;=2.5,IF(G100+I100+K100+M100+O100&gt;=6,"Х",IF(AA100&lt;6," "," ")))))</f>
        <v xml:space="preserve"> </v>
      </c>
      <c r="Q100" s="41"/>
      <c r="R100" s="434" t="str">
        <f>IF(P100="Х","Х",IF(Q100&lt;2.5," ",IF(Q100&gt;=2.5,IF(G100+I100+K100+M100+O100+Q100&gt;=6,"Х",IF(AA100&lt;6," "," ")))))</f>
        <v xml:space="preserve"> </v>
      </c>
      <c r="S100" s="41"/>
      <c r="T100" s="434" t="str">
        <f>IF(R100="Х","Х",IF(S100&lt;2.5," ",IF(S100&gt;=2.5,IF(G100+I100+K100+M100+O100+Q100+S100&gt;=6,"Х",IF(AA100&lt;6," "," ")))))</f>
        <v xml:space="preserve"> </v>
      </c>
      <c r="U100" s="45"/>
      <c r="V100" s="434" t="str">
        <f t="shared" ref="V100" si="261">IF(T100="А1",$AX$7,IF(T100="Б2",$AX$6,IF(T100="Б1",$AY$7,IF(T100="А2",$AY$6,IF(T100="Х","Х",IF(T100&lt;6," "," "))))))</f>
        <v xml:space="preserve"> </v>
      </c>
      <c r="W100" s="41"/>
      <c r="X100" s="434" t="str">
        <f t="shared" ref="X100" si="262">IF(T100="Х","Х",IF(ISBLANK(W100),"",IF(W100&gt;2.5," ",IF(B100=AZ$6,AZ$7,AZ$6))))</f>
        <v/>
      </c>
      <c r="Y100" s="42"/>
      <c r="Z100" s="463" t="b">
        <f>IF(H100="Х","1",IF(J100="Х","2",IF(L100="Х","3",IF(N100="Х","4",IF(P100="Х","5",IF(R100="Х","6",IF(T100="Х","7",IF(V100="Х","8"))))))))</f>
        <v>0</v>
      </c>
      <c r="AA100" s="461">
        <f>SUM(G100+I100+K100+M100+O100+Q100+S100+U100+W100+Y100)</f>
        <v>0</v>
      </c>
      <c r="AB100" s="426">
        <f t="shared" ref="AB100" si="263">AD100+0</f>
        <v>20607</v>
      </c>
      <c r="AC100" s="383">
        <f>AB100</f>
        <v>20607</v>
      </c>
      <c r="AD100" s="384" t="str">
        <f>COUNTIF(AE$6:AE$119,"&gt;"&amp;AE$6:AE$119)+1&amp;REPT("-"&amp;COUNTIF(AE$6:AE$119,"&gt;="&amp;AE$6:AE$119),COUNTIF(AE$6:AE$119,AE100)&gt;1)</f>
        <v>6-56</v>
      </c>
      <c r="AE100" s="385">
        <f t="shared" si="220"/>
        <v>80</v>
      </c>
      <c r="AF100" s="387" t="str">
        <f>IF(OR(F100="Х",F100="св")," ",IF(AND(G100&gt;=0,G100&lt;3),"1"," "))</f>
        <v>1</v>
      </c>
      <c r="AG100" s="387" t="str">
        <f>IF(OR(H100="Х",H100="св")," ",IF(AND(I100&gt;=0,I100&lt;3),"1"," "))</f>
        <v>1</v>
      </c>
      <c r="AH100" s="387" t="str">
        <f>IF(OR(J100="Х",J100="св")," ",IF(AND(K100&gt;=0,K100&lt;3),"1"," "))</f>
        <v>1</v>
      </c>
      <c r="AI100" s="387" t="str">
        <f>IF(OR(L100="Х",L100="св")," ",IF(AND(M100&gt;=0,M100&lt;3),"1"," "))</f>
        <v>1</v>
      </c>
      <c r="AJ100" s="387" t="str">
        <f>IF(OR(N100="Х",N100="св")," ",IF(AND(O100&gt;=0,O100&lt;3),"1"," "))</f>
        <v>1</v>
      </c>
      <c r="AK100" s="387" t="str">
        <f>IF(OR(P100="Х",P100="св")," ",IF(AND(Q100&gt;=0,Q100&lt;3),"1"," "))</f>
        <v>1</v>
      </c>
      <c r="AL100" s="387" t="str">
        <f>IF(OR(R100="Х",R100="св")," ",IF(AND(S100&gt;=0,S100&lt;3),"1"," "))</f>
        <v>1</v>
      </c>
      <c r="AM100" s="387" t="str">
        <f>IF(OR(T100="Х",T100="св")," ",IF(AND(U100&gt;=0,U100&lt;3),"1"," "))</f>
        <v>1</v>
      </c>
      <c r="AN100" s="388">
        <f t="shared" ref="AN100" si="264">COUNTIF(AF100:AM101,1)</f>
        <v>8</v>
      </c>
      <c r="AO100" s="390">
        <f>AE100-AA100</f>
        <v>80</v>
      </c>
      <c r="AP100" s="391">
        <f t="shared" si="195"/>
        <v>0</v>
      </c>
      <c r="AQ100" s="384" t="str">
        <f>COUNTIF(AE$6:AE$119,"&gt;"&amp;AE$6:AE$119)+1&amp;REPT("-"&amp;COUNTIF(AE$6:AE$119,"&gt;="&amp;AE$6:AE$119),COUNTIF(AE$6:AE$119,AE100)&gt;1)</f>
        <v>6-56</v>
      </c>
      <c r="AR100" s="392"/>
      <c r="AS100" s="183"/>
      <c r="AT100" s="183"/>
      <c r="AU100" s="183"/>
      <c r="AV100" s="383">
        <f t="shared" si="236"/>
        <v>47</v>
      </c>
      <c r="BU100" s="374">
        <f>IF(J100="х"," ",B100)</f>
        <v>47</v>
      </c>
      <c r="BV100" s="374">
        <f>IF(L100="х"," ",B100)</f>
        <v>47</v>
      </c>
      <c r="BW100" s="374" t="str">
        <f>IF(BV100=" "," ",L100)</f>
        <v xml:space="preserve"> </v>
      </c>
      <c r="BX100" s="374" t="str">
        <f>IF(BU100=" "," ",J100)</f>
        <v xml:space="preserve"> </v>
      </c>
      <c r="BY100" s="61">
        <f>IF(BU100&lt;BX100,BU100,0)</f>
        <v>47</v>
      </c>
      <c r="BZ100" s="61">
        <f t="shared" si="253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4">
        <f>IF(N100="х"," ",B100)</f>
        <v>47</v>
      </c>
      <c r="CG100" s="374" t="str">
        <f>IF(CF100=" "," ",N100)</f>
        <v xml:space="preserve"> </v>
      </c>
      <c r="CH100" s="125">
        <f>IF(CF100&lt;CG100,CF100,0)</f>
        <v>47</v>
      </c>
      <c r="CI100">
        <f t="shared" si="19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4">
        <f>IF(P100="х"," ",B100)</f>
        <v>47</v>
      </c>
      <c r="CM100" s="374" t="str">
        <f>IF(CL100=" "," ",P100)</f>
        <v xml:space="preserve"> </v>
      </c>
      <c r="CN100">
        <f>IF(CL100&lt;CM100,CL100,0)</f>
        <v>47</v>
      </c>
      <c r="CO100">
        <f t="shared" si="19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4">
        <f t="shared" ref="CR100" si="265">IF(R100="х"," ",B100)</f>
        <v>47</v>
      </c>
      <c r="CS100" s="374" t="str">
        <f t="shared" ref="CS100" si="266">IF(CR100=" "," ",R100)</f>
        <v xml:space="preserve"> </v>
      </c>
      <c r="CT100">
        <f>IF(CR100&lt;CS100,CR100,0)</f>
        <v>47</v>
      </c>
      <c r="CU100">
        <f t="shared" si="19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2"/>
      <c r="C101" s="421"/>
      <c r="D101" s="423"/>
      <c r="E101" s="425"/>
      <c r="F101" s="438"/>
      <c r="G101" s="44"/>
      <c r="H101" s="435"/>
      <c r="I101" s="44"/>
      <c r="J101" s="435"/>
      <c r="K101" s="44"/>
      <c r="L101" s="435"/>
      <c r="M101" s="44"/>
      <c r="N101" s="435"/>
      <c r="O101" s="44"/>
      <c r="P101" s="435"/>
      <c r="Q101" s="44"/>
      <c r="R101" s="435"/>
      <c r="S101" s="44"/>
      <c r="T101" s="435"/>
      <c r="U101" s="47"/>
      <c r="V101" s="435"/>
      <c r="W101" s="44"/>
      <c r="X101" s="435"/>
      <c r="Y101" s="44"/>
      <c r="Z101" s="419"/>
      <c r="AA101" s="462"/>
      <c r="AB101" s="427"/>
      <c r="AC101" s="383"/>
      <c r="AD101" s="384"/>
      <c r="AE101" s="386"/>
      <c r="AF101" s="387"/>
      <c r="AG101" s="387"/>
      <c r="AH101" s="387"/>
      <c r="AI101" s="387"/>
      <c r="AJ101" s="387"/>
      <c r="AK101" s="387"/>
      <c r="AL101" s="387"/>
      <c r="AM101" s="387"/>
      <c r="AN101" s="389"/>
      <c r="AO101" s="384"/>
      <c r="AP101" s="391"/>
      <c r="AQ101" s="384"/>
      <c r="AR101" s="392"/>
      <c r="AS101" s="183"/>
      <c r="AT101" s="183"/>
      <c r="AU101" s="183"/>
      <c r="AV101" s="383"/>
      <c r="BU101" s="374"/>
      <c r="BV101" s="374"/>
      <c r="BW101" s="374"/>
      <c r="BX101" s="374"/>
      <c r="BY101" s="61" t="str">
        <f>IF(BY100&gt;=1,BX100,0)</f>
        <v xml:space="preserve"> </v>
      </c>
      <c r="BZ101" s="61" t="str">
        <f t="shared" si="253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4"/>
      <c r="CG101" s="374"/>
      <c r="CH101" s="125" t="str">
        <f>IF(CH100&gt;=1,CG100,0)</f>
        <v xml:space="preserve"> </v>
      </c>
      <c r="CI101" t="str">
        <f t="shared" si="19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4"/>
      <c r="CM101" s="374"/>
      <c r="CN101" t="str">
        <f>IF(CN100&gt;=1,CM100,0)</f>
        <v xml:space="preserve"> </v>
      </c>
      <c r="CO101" t="str">
        <f t="shared" si="19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4"/>
      <c r="CS101" s="374"/>
      <c r="CT101" t="str">
        <f>IF(CT100&gt;=1,CS100,0)</f>
        <v xml:space="preserve"> </v>
      </c>
      <c r="CU101" t="str">
        <f t="shared" si="19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1">
        <v>48</v>
      </c>
      <c r="C102" s="420" t="e">
        <f>(VLOOKUP(B102,пр.взв!$B$7:$H$76,2,0))</f>
        <v>#N/A</v>
      </c>
      <c r="D102" s="422" t="e">
        <f>(VLOOKUP(B102,пр.взв!$B$7:$H$76,3,0))</f>
        <v>#N/A</v>
      </c>
      <c r="E102" s="424" t="e">
        <f>(VLOOKUP(B102,пр.взв!$B$7:$H$76,5,0))</f>
        <v>#N/A</v>
      </c>
      <c r="F102" s="439">
        <f t="shared" si="223"/>
        <v>0</v>
      </c>
      <c r="G102" s="42"/>
      <c r="H102" s="456"/>
      <c r="I102" s="42"/>
      <c r="J102" s="436" t="str">
        <f>IF(H102="Х","Х",IF(I102+G102&lt;6," ",IF(I102+G102&gt;=6,IF(AA102&gt;=6,"Х",IF(AA102&lt;6," "," ")))))</f>
        <v xml:space="preserve"> </v>
      </c>
      <c r="K102" s="41"/>
      <c r="L102" s="434" t="str">
        <f>IF(J102="Х","Х",IF(K102&lt;2.5," ",IF(K102&gt;=2.5,IF(G102+I102+K102&gt;=6,"Х",IF(AA102&lt;6," "," ")))))</f>
        <v xml:space="preserve"> </v>
      </c>
      <c r="M102" s="41"/>
      <c r="N102" s="434" t="str">
        <f>IF(L102="Х","Х",IF(M102&lt;2.5," ",IF(M102&gt;=2.5,IF(G102+I102+K102+M102&gt;=6,"Х",IF(AA102&lt;6," "," ")))))</f>
        <v xml:space="preserve"> </v>
      </c>
      <c r="O102" s="41"/>
      <c r="P102" s="434" t="str">
        <f>IF(N102="Х","Х",IF(O102&lt;2.5," ",IF(O102&gt;=2.5,IF(G102+I102+K102+M102+O102&gt;=6,"Х",IF(AA102&lt;6," "," ")))))</f>
        <v xml:space="preserve"> </v>
      </c>
      <c r="Q102" s="41"/>
      <c r="R102" s="434" t="str">
        <f>IF(P102="Х","Х",IF(Q102&lt;2.5," ",IF(Q102&gt;=2.5,IF(G102+I102+K102+M102+O102+Q102&gt;=6,"Х",IF(AA102&lt;6," "," ")))))</f>
        <v xml:space="preserve"> </v>
      </c>
      <c r="S102" s="41"/>
      <c r="T102" s="434" t="str">
        <f>IF(R102="Х","Х",IF(S102&lt;2.5," ",IF(S102&gt;=2.5,IF(G102+I102+K102+M102+O102+Q102+S102&gt;=6,"Х",IF(AA102&lt;6," "," ")))))</f>
        <v xml:space="preserve"> </v>
      </c>
      <c r="U102" s="45"/>
      <c r="V102" s="434" t="str">
        <f t="shared" ref="V102" si="267">IF(T102="А1",$AX$7,IF(T102="Б2",$AX$6,IF(T102="Б1",$AY$7,IF(T102="А2",$AY$6,IF(T102="Х","Х",IF(T102&lt;6," "," "))))))</f>
        <v xml:space="preserve"> </v>
      </c>
      <c r="W102" s="41"/>
      <c r="X102" s="434" t="str">
        <f t="shared" ref="X102" si="268">IF(T102="Х","Х",IF(ISBLANK(W102),"",IF(W102&gt;2.5," ",IF(B102=AZ$6,AZ$7,AZ$6))))</f>
        <v/>
      </c>
      <c r="Y102" s="42"/>
      <c r="Z102" s="463" t="b">
        <f>IF(H102="Х","1",IF(J102="Х","2",IF(L102="Х","3",IF(N102="Х","4",IF(P102="Х","5",IF(R102="Х","6",IF(T102="Х","7",IF(V102="Х","8"))))))))</f>
        <v>0</v>
      </c>
      <c r="AA102" s="461">
        <f>SUM(G102+I102+K102+M102+O102+Q102+S102+U102+W102+Y102)</f>
        <v>0</v>
      </c>
      <c r="AB102" s="426">
        <f t="shared" ref="AB102" si="269">AD102+0</f>
        <v>20607</v>
      </c>
      <c r="AC102" s="383">
        <f>AB102</f>
        <v>20607</v>
      </c>
      <c r="AD102" s="384" t="str">
        <f>COUNTIF(AE$6:AE$119,"&gt;"&amp;AE$6:AE$119)+1&amp;REPT("-"&amp;COUNTIF(AE$6:AE$119,"&gt;="&amp;AE$6:AE$119),COUNTIF(AE$6:AE$119,AE102)&gt;1)</f>
        <v>6-56</v>
      </c>
      <c r="AE102" s="385">
        <f t="shared" si="220"/>
        <v>80</v>
      </c>
      <c r="AF102" s="387" t="str">
        <f>IF(OR(F102="Х",F102="св")," ",IF(AND(G102&gt;=0,G102&lt;3),"1"," "))</f>
        <v>1</v>
      </c>
      <c r="AG102" s="387" t="str">
        <f>IF(OR(H102="Х",H102="св")," ",IF(AND(I102&gt;=0,I102&lt;3),"1"," "))</f>
        <v>1</v>
      </c>
      <c r="AH102" s="387" t="str">
        <f>IF(OR(J102="Х",J102="св")," ",IF(AND(K102&gt;=0,K102&lt;3),"1"," "))</f>
        <v>1</v>
      </c>
      <c r="AI102" s="387" t="str">
        <f>IF(OR(L102="Х",L102="св")," ",IF(AND(M102&gt;=0,M102&lt;3),"1"," "))</f>
        <v>1</v>
      </c>
      <c r="AJ102" s="387" t="str">
        <f>IF(OR(N102="Х",N102="св")," ",IF(AND(O102&gt;=0,O102&lt;3),"1"," "))</f>
        <v>1</v>
      </c>
      <c r="AK102" s="387" t="str">
        <f>IF(OR(P102="Х",P102="св")," ",IF(AND(Q102&gt;=0,Q102&lt;3),"1"," "))</f>
        <v>1</v>
      </c>
      <c r="AL102" s="387" t="str">
        <f>IF(OR(R102="Х",R102="св")," ",IF(AND(S102&gt;=0,S102&lt;3),"1"," "))</f>
        <v>1</v>
      </c>
      <c r="AM102" s="387" t="str">
        <f>IF(OR(T102="Х",T102="св")," ",IF(AND(U102&gt;=0,U102&lt;3),"1"," "))</f>
        <v>1</v>
      </c>
      <c r="AN102" s="388">
        <f t="shared" ref="AN102" si="270">COUNTIF(AF102:AM103,1)</f>
        <v>8</v>
      </c>
      <c r="AO102" s="390">
        <f>AE102-AA102</f>
        <v>80</v>
      </c>
      <c r="AP102" s="391">
        <f t="shared" si="195"/>
        <v>0</v>
      </c>
      <c r="AQ102" s="384" t="str">
        <f>COUNTIF(AE$6:AE$119,"&gt;"&amp;AE$6:AE$119)+1&amp;REPT("-"&amp;COUNTIF(AE$6:AE$119,"&gt;="&amp;AE$6:AE$119),COUNTIF(AE$6:AE$119,AE102)&gt;1)</f>
        <v>6-56</v>
      </c>
      <c r="AR102" s="392"/>
      <c r="AS102" s="183"/>
      <c r="AT102" s="183"/>
      <c r="AU102" s="183"/>
      <c r="AV102" s="383">
        <f t="shared" si="236"/>
        <v>48</v>
      </c>
      <c r="BU102" s="374">
        <f>IF(J102="х"," ",B102)</f>
        <v>48</v>
      </c>
      <c r="BV102" s="374">
        <f>IF(L102="х"," ",B102)</f>
        <v>48</v>
      </c>
      <c r="BW102" s="374" t="str">
        <f>IF(BV102=" "," ",L102)</f>
        <v xml:space="preserve"> </v>
      </c>
      <c r="BX102" s="374" t="str">
        <f>IF(BU102=" "," ",J102)</f>
        <v xml:space="preserve"> </v>
      </c>
      <c r="BY102" s="61">
        <f>IF(BU102&lt;BX102,BU102,0)</f>
        <v>48</v>
      </c>
      <c r="BZ102" s="61">
        <f t="shared" si="253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4">
        <f>IF(N102="х"," ",B102)</f>
        <v>48</v>
      </c>
      <c r="CG102" s="374" t="str">
        <f>IF(CF102=" "," ",N102)</f>
        <v xml:space="preserve"> </v>
      </c>
      <c r="CH102" s="125">
        <f>IF(CF102&lt;CG102,CF102,0)</f>
        <v>48</v>
      </c>
      <c r="CI102">
        <f t="shared" si="19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4">
        <f>IF(P102="х"," ",B102)</f>
        <v>48</v>
      </c>
      <c r="CM102" s="374" t="str">
        <f>IF(CL102=" "," ",P102)</f>
        <v xml:space="preserve"> </v>
      </c>
      <c r="CN102">
        <f>IF(CL102&lt;CM102,CL102,0)</f>
        <v>48</v>
      </c>
      <c r="CO102">
        <f t="shared" si="19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4">
        <f t="shared" ref="CR102" si="271">IF(R102="х"," ",B102)</f>
        <v>48</v>
      </c>
      <c r="CS102" s="374" t="str">
        <f t="shared" ref="CS102" si="272">IF(CR102=" "," ",R102)</f>
        <v xml:space="preserve"> </v>
      </c>
      <c r="CT102">
        <f>IF(CR102&lt;CS102,CR102,0)</f>
        <v>48</v>
      </c>
      <c r="CU102">
        <f t="shared" si="19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2"/>
      <c r="C103" s="421"/>
      <c r="D103" s="423"/>
      <c r="E103" s="425"/>
      <c r="F103" s="438"/>
      <c r="G103" s="44"/>
      <c r="H103" s="435"/>
      <c r="I103" s="44"/>
      <c r="J103" s="435"/>
      <c r="K103" s="44"/>
      <c r="L103" s="435"/>
      <c r="M103" s="44"/>
      <c r="N103" s="435"/>
      <c r="O103" s="44"/>
      <c r="P103" s="435"/>
      <c r="Q103" s="44"/>
      <c r="R103" s="435"/>
      <c r="S103" s="44"/>
      <c r="T103" s="435"/>
      <c r="U103" s="47"/>
      <c r="V103" s="435"/>
      <c r="W103" s="44"/>
      <c r="X103" s="435"/>
      <c r="Y103" s="44"/>
      <c r="Z103" s="419"/>
      <c r="AA103" s="462"/>
      <c r="AB103" s="427"/>
      <c r="AC103" s="383"/>
      <c r="AD103" s="384"/>
      <c r="AE103" s="386"/>
      <c r="AF103" s="387"/>
      <c r="AG103" s="387"/>
      <c r="AH103" s="387"/>
      <c r="AI103" s="387"/>
      <c r="AJ103" s="387"/>
      <c r="AK103" s="387"/>
      <c r="AL103" s="387"/>
      <c r="AM103" s="387"/>
      <c r="AN103" s="389"/>
      <c r="AO103" s="384"/>
      <c r="AP103" s="391"/>
      <c r="AQ103" s="384"/>
      <c r="AR103" s="392"/>
      <c r="AS103" s="183"/>
      <c r="AT103" s="183"/>
      <c r="AU103" s="183"/>
      <c r="AV103" s="383"/>
      <c r="BU103" s="374"/>
      <c r="BV103" s="374"/>
      <c r="BW103" s="374"/>
      <c r="BX103" s="374"/>
      <c r="BY103" s="61" t="str">
        <f>IF(BY102&gt;=1,BX102,0)</f>
        <v xml:space="preserve"> </v>
      </c>
      <c r="BZ103" s="61" t="str">
        <f t="shared" si="253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4"/>
      <c r="CG103" s="374"/>
      <c r="CH103" s="125" t="str">
        <f>IF(CH102&gt;=1,CG102,0)</f>
        <v xml:space="preserve"> </v>
      </c>
      <c r="CI103" t="str">
        <f t="shared" si="19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4"/>
      <c r="CM103" s="374"/>
      <c r="CN103" t="str">
        <f>IF(CN102&gt;=1,CM102,0)</f>
        <v xml:space="preserve"> </v>
      </c>
      <c r="CO103" t="str">
        <f t="shared" si="19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4"/>
      <c r="CS103" s="374"/>
      <c r="CT103" t="str">
        <f>IF(CT102&gt;=1,CS102,0)</f>
        <v xml:space="preserve"> </v>
      </c>
      <c r="CU103" t="str">
        <f t="shared" si="19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1">
        <v>49</v>
      </c>
      <c r="C104" s="420" t="e">
        <f>(VLOOKUP(B104,пр.взв!$B$7:$H$76,2,0))</f>
        <v>#N/A</v>
      </c>
      <c r="D104" s="422" t="e">
        <f>(VLOOKUP(B104,пр.взв!$B$7:$H$76,3,0))</f>
        <v>#N/A</v>
      </c>
      <c r="E104" s="424" t="e">
        <f>(VLOOKUP(B104,пр.взв!$B$7:$H$76,5,0))</f>
        <v>#N/A</v>
      </c>
      <c r="F104" s="440">
        <f t="shared" ref="F104" si="273">IF(ISERROR(C104),0,B106)</f>
        <v>0</v>
      </c>
      <c r="G104" s="42"/>
      <c r="H104" s="456"/>
      <c r="I104" s="42"/>
      <c r="J104" s="436" t="str">
        <f>IF(H104="Х","Х",IF(I104+G104&lt;6," ",IF(I104+G104&gt;=6,IF(AA104&gt;=6,"Х",IF(AA104&lt;6," "," ")))))</f>
        <v xml:space="preserve"> </v>
      </c>
      <c r="K104" s="41"/>
      <c r="L104" s="434" t="str">
        <f>IF(J104="Х","Х",IF(K104&lt;2.5," ",IF(K104&gt;=2.5,IF(G104+I104+K104&gt;=6,"Х",IF(AA104&lt;6," "," ")))))</f>
        <v xml:space="preserve"> </v>
      </c>
      <c r="M104" s="41"/>
      <c r="N104" s="434" t="str">
        <f>IF(L104="Х","Х",IF(M104&lt;2.5," ",IF(M104&gt;=2.5,IF(G104+I104+K104+M104&gt;=6,"Х",IF(AA104&lt;6," "," ")))))</f>
        <v xml:space="preserve"> </v>
      </c>
      <c r="O104" s="41"/>
      <c r="P104" s="434" t="str">
        <f>IF(N104="Х","Х",IF(O104&lt;2.5," ",IF(O104&gt;=2.5,IF(G104+I104+K104+M104+O104&gt;=6,"Х",IF(AA104&lt;6," "," ")))))</f>
        <v xml:space="preserve"> </v>
      </c>
      <c r="Q104" s="41"/>
      <c r="R104" s="434" t="str">
        <f>IF(P104="Х","Х",IF(Q104&lt;2.5," ",IF(Q104&gt;=2.5,IF(G104+I104+K104+M104+O104+Q104&gt;=6,"Х",IF(AA104&lt;6," "," ")))))</f>
        <v xml:space="preserve"> </v>
      </c>
      <c r="S104" s="41"/>
      <c r="T104" s="434" t="str">
        <f>IF(R104="Х","Х",IF(S104&lt;2.5," ",IF(S104&gt;=2.5,IF(G104+I104+K104+M104+O104+Q104+S104&gt;=6,"Х",IF(AA104&lt;6," "," ")))))</f>
        <v xml:space="preserve"> </v>
      </c>
      <c r="U104" s="45"/>
      <c r="V104" s="434" t="str">
        <f t="shared" ref="V104" si="274">IF(T104="А1",$AX$7,IF(T104="Б2",$AX$6,IF(T104="Б1",$AY$7,IF(T104="А2",$AY$6,IF(T104="Х","Х",IF(T104&lt;6," "," "))))))</f>
        <v xml:space="preserve"> </v>
      </c>
      <c r="W104" s="41"/>
      <c r="X104" s="434" t="str">
        <f t="shared" ref="X104" si="275">IF(T104="Х","Х",IF(ISBLANK(W104),"",IF(W104&gt;2.5," ",IF(B104=AZ$6,AZ$7,AZ$6))))</f>
        <v/>
      </c>
      <c r="Y104" s="42"/>
      <c r="Z104" s="463" t="b">
        <f>IF(H104="Х","1",IF(J104="Х","2",IF(L104="Х","3",IF(N104="Х","4",IF(P104="Х","5",IF(R104="Х","6",IF(T104="Х","7",IF(V104="Х","8"))))))))</f>
        <v>0</v>
      </c>
      <c r="AA104" s="461">
        <f>SUM(G104+I104+K104+M104+O104+Q104+S104+U104+W104+Y104)</f>
        <v>0</v>
      </c>
      <c r="AB104" s="426">
        <f t="shared" ref="AB104" si="276">AD104+0</f>
        <v>20607</v>
      </c>
      <c r="AC104" s="383">
        <f>AB104</f>
        <v>20607</v>
      </c>
      <c r="AD104" s="384" t="str">
        <f>COUNTIF(AE$6:AE$119,"&gt;"&amp;AE$6:AE$119)+1&amp;REPT("-"&amp;COUNTIF(AE$6:AE$119,"&gt;="&amp;AE$6:AE$119),COUNTIF(AE$6:AE$119,AE104)&gt;1)</f>
        <v>6-56</v>
      </c>
      <c r="AE104" s="385">
        <f t="shared" si="220"/>
        <v>80</v>
      </c>
      <c r="AF104" s="387" t="str">
        <f>IF(OR(F104="Х",F104="св")," ",IF(AND(G104&gt;=0,G104&lt;3),"1"," "))</f>
        <v>1</v>
      </c>
      <c r="AG104" s="387" t="str">
        <f>IF(OR(H104="Х",H104="св")," ",IF(AND(I104&gt;=0,I104&lt;3),"1"," "))</f>
        <v>1</v>
      </c>
      <c r="AH104" s="387" t="str">
        <f>IF(OR(J104="Х",J104="св")," ",IF(AND(K104&gt;=0,K104&lt;3),"1"," "))</f>
        <v>1</v>
      </c>
      <c r="AI104" s="387" t="str">
        <f>IF(OR(L104="Х",L104="св")," ",IF(AND(M104&gt;=0,M104&lt;3),"1"," "))</f>
        <v>1</v>
      </c>
      <c r="AJ104" s="387" t="str">
        <f>IF(OR(N104="Х",N104="св")," ",IF(AND(O104&gt;=0,O104&lt;3),"1"," "))</f>
        <v>1</v>
      </c>
      <c r="AK104" s="387" t="str">
        <f>IF(OR(P104="Х",P104="св")," ",IF(AND(Q104&gt;=0,Q104&lt;3),"1"," "))</f>
        <v>1</v>
      </c>
      <c r="AL104" s="387" t="str">
        <f>IF(OR(R104="Х",R104="св")," ",IF(AND(S104&gt;=0,S104&lt;3),"1"," "))</f>
        <v>1</v>
      </c>
      <c r="AM104" s="387" t="str">
        <f>IF(OR(T104="Х",T104="св")," ",IF(AND(U104&gt;=0,U104&lt;3),"1"," "))</f>
        <v>1</v>
      </c>
      <c r="AN104" s="388">
        <f t="shared" ref="AN104" si="277">COUNTIF(AF104:AM105,1)</f>
        <v>8</v>
      </c>
      <c r="AO104" s="390">
        <f>AE104-AA104</f>
        <v>80</v>
      </c>
      <c r="AP104" s="391">
        <f t="shared" si="195"/>
        <v>0</v>
      </c>
      <c r="AQ104" s="384" t="str">
        <f>COUNTIF(AE$6:AE$119,"&gt;"&amp;AE$6:AE$119)+1&amp;REPT("-"&amp;COUNTIF(AE$6:AE$119,"&gt;="&amp;AE$6:AE$119),COUNTIF(AE$6:AE$119,AE104)&gt;1)</f>
        <v>6-56</v>
      </c>
      <c r="AR104" s="392"/>
      <c r="AS104" s="183"/>
      <c r="AT104" s="183"/>
      <c r="AU104" s="183"/>
      <c r="AV104" s="383">
        <f t="shared" si="236"/>
        <v>49</v>
      </c>
      <c r="BU104" s="374">
        <f>IF(J104="х"," ",B104)</f>
        <v>49</v>
      </c>
      <c r="BV104" s="374">
        <f>IF(L104="х"," ",B104)</f>
        <v>49</v>
      </c>
      <c r="BW104" s="374" t="str">
        <f>IF(BV104=" "," ",L104)</f>
        <v xml:space="preserve"> </v>
      </c>
      <c r="BX104" s="374" t="str">
        <f>IF(BU104=" "," ",J104)</f>
        <v xml:space="preserve"> </v>
      </c>
      <c r="BY104" s="61">
        <f>IF(BU104&lt;BX104,BU104,0)</f>
        <v>49</v>
      </c>
      <c r="BZ104" s="61">
        <f t="shared" si="253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4">
        <f>IF(N104="х"," ",B104)</f>
        <v>49</v>
      </c>
      <c r="CG104" s="374" t="str">
        <f>IF(CF104=" "," ",N104)</f>
        <v xml:space="preserve"> </v>
      </c>
      <c r="CH104" s="125">
        <f>IF(CF104&lt;CG104,CF104,0)</f>
        <v>49</v>
      </c>
      <c r="CI104">
        <f t="shared" si="19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4">
        <f>IF(P104="х"," ",B104)</f>
        <v>49</v>
      </c>
      <c r="CM104" s="374" t="str">
        <f>IF(CL104=" "," ",P104)</f>
        <v xml:space="preserve"> </v>
      </c>
      <c r="CN104">
        <f>IF(CL104&lt;CM104,CL104,0)</f>
        <v>49</v>
      </c>
      <c r="CO104">
        <f t="shared" si="19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4">
        <f t="shared" ref="CR104" si="278">IF(R104="х"," ",B104)</f>
        <v>49</v>
      </c>
      <c r="CS104" s="374" t="str">
        <f t="shared" ref="CS104" si="279">IF(CR104=" "," ",R104)</f>
        <v xml:space="preserve"> </v>
      </c>
      <c r="CT104">
        <f>IF(CR104&lt;CS104,CR104,0)</f>
        <v>49</v>
      </c>
      <c r="CU104">
        <f t="shared" si="19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2"/>
      <c r="C105" s="421"/>
      <c r="D105" s="423"/>
      <c r="E105" s="425"/>
      <c r="F105" s="438"/>
      <c r="G105" s="44"/>
      <c r="H105" s="435"/>
      <c r="I105" s="44"/>
      <c r="J105" s="435"/>
      <c r="K105" s="44"/>
      <c r="L105" s="435"/>
      <c r="M105" s="44"/>
      <c r="N105" s="435"/>
      <c r="O105" s="44"/>
      <c r="P105" s="435"/>
      <c r="Q105" s="44"/>
      <c r="R105" s="435"/>
      <c r="S105" s="44"/>
      <c r="T105" s="435"/>
      <c r="U105" s="47"/>
      <c r="V105" s="435"/>
      <c r="W105" s="44"/>
      <c r="X105" s="435"/>
      <c r="Y105" s="44"/>
      <c r="Z105" s="419"/>
      <c r="AA105" s="462"/>
      <c r="AB105" s="427"/>
      <c r="AC105" s="383"/>
      <c r="AD105" s="384"/>
      <c r="AE105" s="386"/>
      <c r="AF105" s="387"/>
      <c r="AG105" s="387"/>
      <c r="AH105" s="387"/>
      <c r="AI105" s="387"/>
      <c r="AJ105" s="387"/>
      <c r="AK105" s="387"/>
      <c r="AL105" s="387"/>
      <c r="AM105" s="387"/>
      <c r="AN105" s="389"/>
      <c r="AO105" s="384"/>
      <c r="AP105" s="391"/>
      <c r="AQ105" s="384"/>
      <c r="AR105" s="392"/>
      <c r="AS105" s="183"/>
      <c r="AT105" s="183"/>
      <c r="AU105" s="183"/>
      <c r="AV105" s="383"/>
      <c r="BU105" s="374"/>
      <c r="BV105" s="374"/>
      <c r="BW105" s="374"/>
      <c r="BX105" s="374"/>
      <c r="BY105" s="61" t="str">
        <f>IF(BY104&gt;=1,BX104,0)</f>
        <v xml:space="preserve"> </v>
      </c>
      <c r="BZ105" s="61" t="str">
        <f t="shared" si="253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4"/>
      <c r="CG105" s="374"/>
      <c r="CH105" s="125" t="str">
        <f>IF(CH104&gt;=1,CG104,0)</f>
        <v xml:space="preserve"> </v>
      </c>
      <c r="CI105" t="str">
        <f t="shared" si="19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4"/>
      <c r="CM105" s="374"/>
      <c r="CN105" t="str">
        <f>IF(CN104&gt;=1,CM104,0)</f>
        <v xml:space="preserve"> </v>
      </c>
      <c r="CO105" t="str">
        <f t="shared" si="19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4"/>
      <c r="CS105" s="374"/>
      <c r="CT105" t="str">
        <f>IF(CT104&gt;=1,CS104,0)</f>
        <v xml:space="preserve"> </v>
      </c>
      <c r="CU105" t="str">
        <f t="shared" si="19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1">
        <v>50</v>
      </c>
      <c r="C106" s="420" t="e">
        <f>(VLOOKUP(B106,пр.взв!$B$7:$H$76,2,0))</f>
        <v>#N/A</v>
      </c>
      <c r="D106" s="422" t="e">
        <f>(VLOOKUP(B106,пр.взв!$B$7:$H$76,3,0))</f>
        <v>#N/A</v>
      </c>
      <c r="E106" s="424" t="e">
        <f>(VLOOKUP(B106,пр.взв!$B$7:$H$76,5,0))</f>
        <v>#N/A</v>
      </c>
      <c r="F106" s="439">
        <f t="shared" ref="F106" si="280">IF(ISERROR(C106),0,B104)</f>
        <v>0</v>
      </c>
      <c r="G106" s="42"/>
      <c r="H106" s="456"/>
      <c r="I106" s="42"/>
      <c r="J106" s="436" t="str">
        <f>IF(H106="Х","Х",IF(I106+G106&lt;6," ",IF(I106+G106&gt;=6,IF(AA106&gt;=6,"Х",IF(AA106&lt;6," "," ")))))</f>
        <v xml:space="preserve"> </v>
      </c>
      <c r="K106" s="41"/>
      <c r="L106" s="434" t="str">
        <f>IF(J106="Х","Х",IF(K106&lt;2.5," ",IF(K106&gt;=2.5,IF(G106+I106+K106&gt;=6,"Х",IF(AA106&lt;6," "," ")))))</f>
        <v xml:space="preserve"> </v>
      </c>
      <c r="M106" s="41"/>
      <c r="N106" s="434" t="str">
        <f>IF(L106="Х","Х",IF(M106&lt;2.5," ",IF(M106&gt;=2.5,IF(G106+I106+K106+M106&gt;=6,"Х",IF(AA106&lt;6," "," ")))))</f>
        <v xml:space="preserve"> </v>
      </c>
      <c r="O106" s="41"/>
      <c r="P106" s="434" t="str">
        <f>IF(N106="Х","Х",IF(O106&lt;2.5," ",IF(O106&gt;=2.5,IF(G106+I106+K106+M106+O106&gt;=6,"Х",IF(AA106&lt;6," "," ")))))</f>
        <v xml:space="preserve"> </v>
      </c>
      <c r="Q106" s="41"/>
      <c r="R106" s="434" t="str">
        <f>IF(P106="Х","Х",IF(Q106&lt;2.5," ",IF(Q106&gt;=2.5,IF(G106+I106+K106+M106+O106+Q106&gt;=6,"Х",IF(AA106&lt;6," "," ")))))</f>
        <v xml:space="preserve"> </v>
      </c>
      <c r="S106" s="41"/>
      <c r="T106" s="434" t="str">
        <f>IF(R106="Х","Х",IF(S106&lt;2.5," ",IF(S106&gt;=2.5,IF(G106+I106+K106+M106+O106+Q106+S106&gt;=6,"Х",IF(AA106&lt;6," "," ")))))</f>
        <v xml:space="preserve"> </v>
      </c>
      <c r="U106" s="45"/>
      <c r="V106" s="434" t="str">
        <f t="shared" ref="V106" si="281">IF(T106="А1",$AX$7,IF(T106="Б2",$AX$6,IF(T106="Б1",$AY$7,IF(T106="А2",$AY$6,IF(T106="Х","Х",IF(T106&lt;6," "," "))))))</f>
        <v xml:space="preserve"> </v>
      </c>
      <c r="W106" s="41"/>
      <c r="X106" s="434" t="str">
        <f t="shared" ref="X106" si="282">IF(T106="Х","Х",IF(ISBLANK(W106),"",IF(W106&gt;2.5," ",IF(B106=AZ$6,AZ$7,AZ$6))))</f>
        <v/>
      </c>
      <c r="Y106" s="42"/>
      <c r="Z106" s="463" t="b">
        <f>IF(H106="Х","1",IF(J106="Х","2",IF(L106="Х","3",IF(N106="Х","4",IF(P106="Х","5",IF(R106="Х","6",IF(T106="Х","7",IF(V106="Х","8"))))))))</f>
        <v>0</v>
      </c>
      <c r="AA106" s="461">
        <f>SUM(G106+I106+K106+M106+O106+Q106+S106+U106+W106+Y106)</f>
        <v>0</v>
      </c>
      <c r="AB106" s="426">
        <f t="shared" ref="AB106" si="283">AD106+0</f>
        <v>20607</v>
      </c>
      <c r="AC106" s="383">
        <f>AB106</f>
        <v>20607</v>
      </c>
      <c r="AD106" s="384" t="str">
        <f>COUNTIF(AE$6:AE$119,"&gt;"&amp;AE$6:AE$119)+1&amp;REPT("-"&amp;COUNTIF(AE$6:AE$119,"&gt;="&amp;AE$6:AE$119),COUNTIF(AE$6:AE$119,AE106)&gt;1)</f>
        <v>6-56</v>
      </c>
      <c r="AE106" s="385">
        <f t="shared" si="220"/>
        <v>80</v>
      </c>
      <c r="AF106" s="387" t="str">
        <f>IF(OR(F106="Х",F106="св")," ",IF(AND(G106&gt;=0,G106&lt;3),"1"," "))</f>
        <v>1</v>
      </c>
      <c r="AG106" s="387" t="str">
        <f>IF(OR(H106="Х",H106="св")," ",IF(AND(I106&gt;=0,I106&lt;3),"1"," "))</f>
        <v>1</v>
      </c>
      <c r="AH106" s="387" t="str">
        <f>IF(OR(J106="Х",J106="св")," ",IF(AND(K106&gt;=0,K106&lt;3),"1"," "))</f>
        <v>1</v>
      </c>
      <c r="AI106" s="387" t="str">
        <f>IF(OR(L106="Х",L106="св")," ",IF(AND(M106&gt;=0,M106&lt;3),"1"," "))</f>
        <v>1</v>
      </c>
      <c r="AJ106" s="387" t="str">
        <f>IF(OR(N106="Х",N106="св")," ",IF(AND(O106&gt;=0,O106&lt;3),"1"," "))</f>
        <v>1</v>
      </c>
      <c r="AK106" s="387" t="str">
        <f>IF(OR(P106="Х",P106="св")," ",IF(AND(Q106&gt;=0,Q106&lt;3),"1"," "))</f>
        <v>1</v>
      </c>
      <c r="AL106" s="387" t="str">
        <f>IF(OR(R106="Х",R106="св")," ",IF(AND(S106&gt;=0,S106&lt;3),"1"," "))</f>
        <v>1</v>
      </c>
      <c r="AM106" s="387" t="str">
        <f>IF(OR(T106="Х",T106="св")," ",IF(AND(U106&gt;=0,U106&lt;3),"1"," "))</f>
        <v>1</v>
      </c>
      <c r="AN106" s="388">
        <f t="shared" ref="AN106" si="284">COUNTIF(AF106:AM107,1)</f>
        <v>8</v>
      </c>
      <c r="AO106" s="390">
        <f>AE106-AA106</f>
        <v>80</v>
      </c>
      <c r="AP106" s="391">
        <f t="shared" si="195"/>
        <v>0</v>
      </c>
      <c r="AQ106" s="384" t="str">
        <f>COUNTIF(AE$6:AE$119,"&gt;"&amp;AE$6:AE$119)+1&amp;REPT("-"&amp;COUNTIF(AE$6:AE$119,"&gt;="&amp;AE$6:AE$119),COUNTIF(AE$6:AE$119,AE106)&gt;1)</f>
        <v>6-56</v>
      </c>
      <c r="AR106" s="392"/>
      <c r="AS106" s="183"/>
      <c r="AT106" s="183"/>
      <c r="AU106" s="183"/>
      <c r="AV106" s="383">
        <f t="shared" si="236"/>
        <v>50</v>
      </c>
      <c r="BU106" s="374">
        <f>IF(J106="х"," ",B106)</f>
        <v>50</v>
      </c>
      <c r="BV106" s="374">
        <f>IF(L106="х"," ",B106)</f>
        <v>50</v>
      </c>
      <c r="BW106" s="374" t="str">
        <f>IF(BV106=" "," ",L106)</f>
        <v xml:space="preserve"> </v>
      </c>
      <c r="BX106" s="374" t="str">
        <f>IF(BU106=" "," ",J106)</f>
        <v xml:space="preserve"> </v>
      </c>
      <c r="BY106" s="61">
        <f>IF(BU106&lt;BX106,BU106,0)</f>
        <v>50</v>
      </c>
      <c r="BZ106" s="61">
        <f t="shared" si="253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4">
        <f>IF(N106="х"," ",B106)</f>
        <v>50</v>
      </c>
      <c r="CG106" s="374" t="str">
        <f>IF(CF106=" "," ",N106)</f>
        <v xml:space="preserve"> </v>
      </c>
      <c r="CH106" s="125">
        <f>IF(CF106&lt;CG106,CF106,0)</f>
        <v>50</v>
      </c>
      <c r="CI106">
        <f t="shared" si="19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4">
        <f>IF(P106="х"," ",B106)</f>
        <v>50</v>
      </c>
      <c r="CM106" s="374" t="str">
        <f>IF(CL106=" "," ",P106)</f>
        <v xml:space="preserve"> </v>
      </c>
      <c r="CN106">
        <f>IF(CL106&lt;CM106,CL106,0)</f>
        <v>50</v>
      </c>
      <c r="CO106">
        <f t="shared" si="19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4">
        <f t="shared" ref="CR106" si="285">IF(R106="х"," ",B106)</f>
        <v>50</v>
      </c>
      <c r="CS106" s="374" t="str">
        <f t="shared" ref="CS106" si="286">IF(CR106=" "," ",R106)</f>
        <v xml:space="preserve"> </v>
      </c>
      <c r="CT106">
        <f>IF(CR106&lt;CS106,CR106,0)</f>
        <v>50</v>
      </c>
      <c r="CU106">
        <f t="shared" si="19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2"/>
      <c r="C107" s="421"/>
      <c r="D107" s="423"/>
      <c r="E107" s="425"/>
      <c r="F107" s="438"/>
      <c r="G107" s="44"/>
      <c r="H107" s="435"/>
      <c r="I107" s="44"/>
      <c r="J107" s="435"/>
      <c r="K107" s="44"/>
      <c r="L107" s="435"/>
      <c r="M107" s="44"/>
      <c r="N107" s="435"/>
      <c r="O107" s="44"/>
      <c r="P107" s="435"/>
      <c r="Q107" s="44"/>
      <c r="R107" s="435"/>
      <c r="S107" s="44"/>
      <c r="T107" s="435"/>
      <c r="U107" s="47"/>
      <c r="V107" s="435"/>
      <c r="W107" s="44"/>
      <c r="X107" s="435"/>
      <c r="Y107" s="44"/>
      <c r="Z107" s="419"/>
      <c r="AA107" s="462"/>
      <c r="AB107" s="427"/>
      <c r="AC107" s="383"/>
      <c r="AD107" s="384"/>
      <c r="AE107" s="386"/>
      <c r="AF107" s="387"/>
      <c r="AG107" s="387"/>
      <c r="AH107" s="387"/>
      <c r="AI107" s="387"/>
      <c r="AJ107" s="387"/>
      <c r="AK107" s="387"/>
      <c r="AL107" s="387"/>
      <c r="AM107" s="387"/>
      <c r="AN107" s="389"/>
      <c r="AO107" s="384"/>
      <c r="AP107" s="391"/>
      <c r="AQ107" s="384"/>
      <c r="AR107" s="392"/>
      <c r="AS107" s="183"/>
      <c r="AT107" s="183"/>
      <c r="AU107" s="183"/>
      <c r="AV107" s="383"/>
      <c r="BU107" s="374"/>
      <c r="BV107" s="374"/>
      <c r="BW107" s="374"/>
      <c r="BX107" s="374"/>
      <c r="BY107" s="61" t="str">
        <f>IF(BY106&gt;=1,BX106,0)</f>
        <v xml:space="preserve"> </v>
      </c>
      <c r="BZ107" s="61" t="str">
        <f t="shared" si="253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4"/>
      <c r="CG107" s="374"/>
      <c r="CH107" s="125" t="str">
        <f>IF(CH106&gt;=1,CG106,0)</f>
        <v xml:space="preserve"> </v>
      </c>
      <c r="CI107" t="str">
        <f t="shared" si="19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4"/>
      <c r="CM107" s="374"/>
      <c r="CN107" t="str">
        <f>IF(CN106&gt;=1,CM106,0)</f>
        <v xml:space="preserve"> </v>
      </c>
      <c r="CO107" t="str">
        <f t="shared" si="19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4"/>
      <c r="CS107" s="374"/>
      <c r="CT107" t="str">
        <f>IF(CT106&gt;=1,CS106,0)</f>
        <v xml:space="preserve"> </v>
      </c>
      <c r="CU107" t="str">
        <f t="shared" si="19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1">
        <v>51</v>
      </c>
      <c r="C108" s="420" t="e">
        <f>(VLOOKUP(B108,пр.взв!$B$7:$H$76,2,0))</f>
        <v>#N/A</v>
      </c>
      <c r="D108" s="422" t="e">
        <f>(VLOOKUP(B108,пр.взв!$B$7:$H$76,3,0))</f>
        <v>#N/A</v>
      </c>
      <c r="E108" s="424" t="e">
        <f>(VLOOKUP(B108,пр.взв!$B$7:$H$76,5,0))</f>
        <v>#N/A</v>
      </c>
      <c r="F108" s="440">
        <f t="shared" si="217"/>
        <v>0</v>
      </c>
      <c r="G108" s="42"/>
      <c r="H108" s="456"/>
      <c r="I108" s="42"/>
      <c r="J108" s="436" t="str">
        <f>IF(H108="Х","Х",IF(I108+G108&lt;6," ",IF(I108+G108&gt;=6,IF(AA108&gt;=6,"Х",IF(AA108&lt;6," "," ")))))</f>
        <v xml:space="preserve"> </v>
      </c>
      <c r="K108" s="41"/>
      <c r="L108" s="434" t="str">
        <f>IF(J108="Х","Х",IF(K108&lt;2.5," ",IF(K108&gt;=2.5,IF(G108+I108+K108&gt;=6,"Х",IF(AA108&lt;6," "," ")))))</f>
        <v xml:space="preserve"> </v>
      </c>
      <c r="M108" s="41"/>
      <c r="N108" s="434" t="str">
        <f>IF(L108="Х","Х",IF(M108&lt;2.5," ",IF(M108&gt;=2.5,IF(G108+I108+K108+M108&gt;=6,"Х",IF(AA108&lt;6," "," ")))))</f>
        <v xml:space="preserve"> </v>
      </c>
      <c r="O108" s="41"/>
      <c r="P108" s="434" t="str">
        <f>IF(N108="Х","Х",IF(O108&lt;2.5," ",IF(O108&gt;=2.5,IF(G108+I108+K108+M108+O108&gt;=6,"Х",IF(AA108&lt;6," "," ")))))</f>
        <v xml:space="preserve"> </v>
      </c>
      <c r="Q108" s="41"/>
      <c r="R108" s="434" t="str">
        <f>IF(P108="Х","Х",IF(Q108&lt;2.5," ",IF(Q108&gt;=2.5,IF(G108+I108+K108+M108+O108+Q108&gt;=6,"Х",IF(AA108&lt;6," "," ")))))</f>
        <v xml:space="preserve"> </v>
      </c>
      <c r="S108" s="41"/>
      <c r="T108" s="434" t="str">
        <f>IF(R108="Х","Х",IF(S108&lt;2.5," ",IF(S108&gt;=2.5,IF(G108+I108+K108+M108+O108+Q108+S108&gt;=6,"Х",IF(AA108&lt;6," "," ")))))</f>
        <v xml:space="preserve"> </v>
      </c>
      <c r="U108" s="45"/>
      <c r="V108" s="434" t="str">
        <f t="shared" ref="V108" si="287">IF(T108="А1",$AX$7,IF(T108="Б2",$AX$6,IF(T108="Б1",$AY$7,IF(T108="А2",$AY$6,IF(T108="Х","Х",IF(T108&lt;6," "," "))))))</f>
        <v xml:space="preserve"> </v>
      </c>
      <c r="W108" s="41"/>
      <c r="X108" s="434" t="str">
        <f t="shared" ref="X108" si="288">IF(T108="Х","Х",IF(ISBLANK(W108),"",IF(W108&gt;2.5," ",IF(B108=AZ$6,AZ$7,AZ$6))))</f>
        <v/>
      </c>
      <c r="Y108" s="42"/>
      <c r="Z108" s="463" t="b">
        <f>IF(H108="Х","1",IF(J108="Х","2",IF(L108="Х","3",IF(N108="Х","4",IF(P108="Х","5",IF(R108="Х","6",IF(T108="Х","7",IF(V108="Х","8"))))))))</f>
        <v>0</v>
      </c>
      <c r="AA108" s="461">
        <f>SUM(G108+I108+K108+M108+O108+Q108+S108+U108+W108+Y108)</f>
        <v>0</v>
      </c>
      <c r="AB108" s="426">
        <f t="shared" ref="AB108" si="289">AD108+0</f>
        <v>20607</v>
      </c>
      <c r="AC108" s="383">
        <f>AB108</f>
        <v>20607</v>
      </c>
      <c r="AD108" s="384" t="str">
        <f>COUNTIF(AE$6:AE$119,"&gt;"&amp;AE$6:AE$119)+1&amp;REPT("-"&amp;COUNTIF(AE$6:AE$119,"&gt;="&amp;AE$6:AE$119),COUNTIF(AE$6:AE$119,AE108)&gt;1)</f>
        <v>6-56</v>
      </c>
      <c r="AE108" s="385">
        <f t="shared" si="220"/>
        <v>80</v>
      </c>
      <c r="AF108" s="387" t="str">
        <f>IF(OR(F108="Х",F108="св")," ",IF(AND(G108&gt;=0,G108&lt;3),"1"," "))</f>
        <v>1</v>
      </c>
      <c r="AG108" s="387" t="str">
        <f>IF(OR(H108="Х",H108="св")," ",IF(AND(I108&gt;=0,I108&lt;3),"1"," "))</f>
        <v>1</v>
      </c>
      <c r="AH108" s="387" t="str">
        <f>IF(OR(J108="Х",J108="св")," ",IF(AND(K108&gt;=0,K108&lt;3),"1"," "))</f>
        <v>1</v>
      </c>
      <c r="AI108" s="387" t="str">
        <f>IF(OR(L108="Х",L108="св")," ",IF(AND(M108&gt;=0,M108&lt;3),"1"," "))</f>
        <v>1</v>
      </c>
      <c r="AJ108" s="387" t="str">
        <f>IF(OR(N108="Х",N108="св")," ",IF(AND(O108&gt;=0,O108&lt;3),"1"," "))</f>
        <v>1</v>
      </c>
      <c r="AK108" s="387" t="str">
        <f>IF(OR(P108="Х",P108="св")," ",IF(AND(Q108&gt;=0,Q108&lt;3),"1"," "))</f>
        <v>1</v>
      </c>
      <c r="AL108" s="387" t="str">
        <f>IF(OR(R108="Х",R108="св")," ",IF(AND(S108&gt;=0,S108&lt;3),"1"," "))</f>
        <v>1</v>
      </c>
      <c r="AM108" s="387" t="str">
        <f>IF(OR(T108="Х",T108="св")," ",IF(AND(U108&gt;=0,U108&lt;3),"1"," "))</f>
        <v>1</v>
      </c>
      <c r="AN108" s="388">
        <f t="shared" ref="AN108" si="290">COUNTIF(AF108:AM109,1)</f>
        <v>8</v>
      </c>
      <c r="AO108" s="390">
        <f>AE108-AA108</f>
        <v>80</v>
      </c>
      <c r="AP108" s="391">
        <f t="shared" si="195"/>
        <v>0</v>
      </c>
      <c r="AQ108" s="384" t="str">
        <f>COUNTIF(AE$6:AE$119,"&gt;"&amp;AE$6:AE$119)+1&amp;REPT("-"&amp;COUNTIF(AE$6:AE$119,"&gt;="&amp;AE$6:AE$119),COUNTIF(AE$6:AE$119,AE108)&gt;1)</f>
        <v>6-56</v>
      </c>
      <c r="AR108" s="392"/>
      <c r="AS108" s="183"/>
      <c r="AT108" s="183"/>
      <c r="AU108" s="183"/>
      <c r="AV108" s="383">
        <f t="shared" si="236"/>
        <v>51</v>
      </c>
      <c r="BU108" s="374">
        <f>IF(J108="х"," ",B108)</f>
        <v>51</v>
      </c>
      <c r="BV108" s="374">
        <f>IF(L108="х"," ",B108)</f>
        <v>51</v>
      </c>
      <c r="BW108" s="374" t="str">
        <f>IF(BV108=" "," ",L108)</f>
        <v xml:space="preserve"> </v>
      </c>
      <c r="BX108" s="374" t="str">
        <f>IF(BU108=" "," ",J108)</f>
        <v xml:space="preserve"> </v>
      </c>
      <c r="BY108" s="61">
        <f>IF(BU108&lt;BX108,BU108,0)</f>
        <v>51</v>
      </c>
      <c r="BZ108" s="61">
        <f t="shared" si="253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4">
        <f>IF(N108="х"," ",B108)</f>
        <v>51</v>
      </c>
      <c r="CG108" s="374" t="str">
        <f>IF(CF108=" "," ",N108)</f>
        <v xml:space="preserve"> </v>
      </c>
      <c r="CH108" s="125">
        <f>IF(CF108&lt;CG108,CF108,0)</f>
        <v>51</v>
      </c>
      <c r="CI108">
        <f t="shared" si="19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4">
        <f>IF(P108="х"," ",B108)</f>
        <v>51</v>
      </c>
      <c r="CM108" s="374" t="str">
        <f>IF(CL108=" "," ",P108)</f>
        <v xml:space="preserve"> </v>
      </c>
      <c r="CN108">
        <f>IF(CL108&lt;CM108,CL108,0)</f>
        <v>51</v>
      </c>
      <c r="CO108">
        <f t="shared" si="19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4">
        <f t="shared" ref="CR108" si="291">IF(R108="х"," ",B108)</f>
        <v>51</v>
      </c>
      <c r="CS108" s="374" t="str">
        <f t="shared" ref="CS108" si="292">IF(CR108=" "," ",R108)</f>
        <v xml:space="preserve"> </v>
      </c>
      <c r="CT108">
        <f>IF(CR108&lt;CS108,CR108,0)</f>
        <v>51</v>
      </c>
      <c r="CU108">
        <f t="shared" si="19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2"/>
      <c r="C109" s="421"/>
      <c r="D109" s="423"/>
      <c r="E109" s="425"/>
      <c r="F109" s="438"/>
      <c r="G109" s="44"/>
      <c r="H109" s="435"/>
      <c r="I109" s="44"/>
      <c r="J109" s="435"/>
      <c r="K109" s="44"/>
      <c r="L109" s="435"/>
      <c r="M109" s="44"/>
      <c r="N109" s="435"/>
      <c r="O109" s="44"/>
      <c r="P109" s="435"/>
      <c r="Q109" s="44"/>
      <c r="R109" s="435"/>
      <c r="S109" s="44"/>
      <c r="T109" s="435"/>
      <c r="U109" s="47"/>
      <c r="V109" s="435"/>
      <c r="W109" s="44"/>
      <c r="X109" s="435"/>
      <c r="Y109" s="44"/>
      <c r="Z109" s="419"/>
      <c r="AA109" s="462"/>
      <c r="AB109" s="427"/>
      <c r="AC109" s="383"/>
      <c r="AD109" s="384"/>
      <c r="AE109" s="386"/>
      <c r="AF109" s="387"/>
      <c r="AG109" s="387"/>
      <c r="AH109" s="387"/>
      <c r="AI109" s="387"/>
      <c r="AJ109" s="387"/>
      <c r="AK109" s="387"/>
      <c r="AL109" s="387"/>
      <c r="AM109" s="387"/>
      <c r="AN109" s="389"/>
      <c r="AO109" s="384"/>
      <c r="AP109" s="391"/>
      <c r="AQ109" s="384"/>
      <c r="AR109" s="392"/>
      <c r="AS109" s="183"/>
      <c r="AT109" s="183"/>
      <c r="AU109" s="183"/>
      <c r="AV109" s="383"/>
      <c r="BU109" s="374"/>
      <c r="BV109" s="374"/>
      <c r="BW109" s="374"/>
      <c r="BX109" s="374"/>
      <c r="BY109" s="61" t="str">
        <f>IF(BY108&gt;=1,BX108,0)</f>
        <v xml:space="preserve"> </v>
      </c>
      <c r="BZ109" s="61" t="str">
        <f t="shared" si="253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4"/>
      <c r="CG109" s="374"/>
      <c r="CH109" s="125" t="str">
        <f>IF(CH108&gt;=1,CG108,0)</f>
        <v xml:space="preserve"> </v>
      </c>
      <c r="CI109" t="str">
        <f t="shared" si="19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4"/>
      <c r="CM109" s="374"/>
      <c r="CN109" t="str">
        <f>IF(CN108&gt;=1,CM108,0)</f>
        <v xml:space="preserve"> </v>
      </c>
      <c r="CO109" t="str">
        <f t="shared" si="19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4"/>
      <c r="CS109" s="374"/>
      <c r="CT109" t="str">
        <f>IF(CT108&gt;=1,CS108,0)</f>
        <v xml:space="preserve"> </v>
      </c>
      <c r="CU109" t="str">
        <f t="shared" si="19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1">
        <v>52</v>
      </c>
      <c r="C110" s="420" t="e">
        <f>(VLOOKUP(B110,пр.взв!$B$7:$H$76,2,0))</f>
        <v>#N/A</v>
      </c>
      <c r="D110" s="422" t="e">
        <f>(VLOOKUP(B110,пр.взв!$B$7:$H$76,3,0))</f>
        <v>#N/A</v>
      </c>
      <c r="E110" s="424" t="e">
        <f>(VLOOKUP(B110,пр.взв!$B$7:$H$76,5,0))</f>
        <v>#N/A</v>
      </c>
      <c r="F110" s="439">
        <f t="shared" si="223"/>
        <v>0</v>
      </c>
      <c r="G110" s="42"/>
      <c r="H110" s="456"/>
      <c r="I110" s="42"/>
      <c r="J110" s="436" t="str">
        <f>IF(H110="Х","Х",IF(I110+G110&lt;6," ",IF(I110+G110&gt;=6,IF(AA110&gt;=6,"Х",IF(AA110&lt;6," "," ")))))</f>
        <v xml:space="preserve"> </v>
      </c>
      <c r="K110" s="41"/>
      <c r="L110" s="434" t="str">
        <f>IF(J110="Х","Х",IF(K110&lt;2.5," ",IF(K110&gt;=2.5,IF(G110+I110+K110&gt;=6,"Х",IF(AA110&lt;6," "," ")))))</f>
        <v xml:space="preserve"> </v>
      </c>
      <c r="M110" s="41"/>
      <c r="N110" s="434" t="str">
        <f>IF(L110="Х","Х",IF(M110&lt;2.5," ",IF(M110&gt;=2.5,IF(G110+I110+K110+M110&gt;=6,"Х",IF(AA110&lt;6," "," ")))))</f>
        <v xml:space="preserve"> </v>
      </c>
      <c r="O110" s="41"/>
      <c r="P110" s="434" t="str">
        <f>IF(N110="Х","Х",IF(O110&lt;2.5," ",IF(O110&gt;=2.5,IF(G110+I110+K110+M110+O110&gt;=6,"Х",IF(AA110&lt;6," "," ")))))</f>
        <v xml:space="preserve"> </v>
      </c>
      <c r="Q110" s="41"/>
      <c r="R110" s="434" t="str">
        <f>IF(P110="Х","Х",IF(Q110&lt;2.5," ",IF(Q110&gt;=2.5,IF(G110+I110+K110+M110+O110+Q110&gt;=6,"Х",IF(AA110&lt;6," "," ")))))</f>
        <v xml:space="preserve"> </v>
      </c>
      <c r="S110" s="41"/>
      <c r="T110" s="434" t="str">
        <f>IF(R110="Х","Х",IF(S110&lt;2.5," ",IF(S110&gt;=2.5,IF(G110+I110+K110+M110+O110+Q110+S110&gt;=6,"Х",IF(AA110&lt;6," "," ")))))</f>
        <v xml:space="preserve"> </v>
      </c>
      <c r="U110" s="45"/>
      <c r="V110" s="434" t="str">
        <f t="shared" ref="V110" si="293">IF(T110="А1",$AX$7,IF(T110="Б2",$AX$6,IF(T110="Б1",$AY$7,IF(T110="А2",$AY$6,IF(T110="Х","Х",IF(T110&lt;6," "," "))))))</f>
        <v xml:space="preserve"> </v>
      </c>
      <c r="W110" s="41"/>
      <c r="X110" s="434" t="str">
        <f t="shared" ref="X110" si="294">IF(T110="Х","Х",IF(ISBLANK(W110),"",IF(W110&gt;2.5," ",IF(B110=AZ$6,AZ$7,AZ$6))))</f>
        <v/>
      </c>
      <c r="Y110" s="42"/>
      <c r="Z110" s="463" t="b">
        <f>IF(H110="Х","1",IF(J110="Х","2",IF(L110="Х","3",IF(N110="Х","4",IF(P110="Х","5",IF(R110="Х","6",IF(T110="Х","7",IF(V110="Х","8"))))))))</f>
        <v>0</v>
      </c>
      <c r="AA110" s="461">
        <f>SUM(G110+I110+K110+M110+O110+Q110+S110+U110+W110+Y110)</f>
        <v>0</v>
      </c>
      <c r="AB110" s="426">
        <f t="shared" ref="AB110" si="295">AD110+0</f>
        <v>20607</v>
      </c>
      <c r="AC110" s="383">
        <f>AB110</f>
        <v>20607</v>
      </c>
      <c r="AD110" s="384" t="str">
        <f>COUNTIF(AE$6:AE$119,"&gt;"&amp;AE$6:AE$119)+1&amp;REPT("-"&amp;COUNTIF(AE$6:AE$119,"&gt;="&amp;AE$6:AE$119),COUNTIF(AE$6:AE$119,AE110)&gt;1)</f>
        <v>6-56</v>
      </c>
      <c r="AE110" s="385">
        <f t="shared" si="220"/>
        <v>80</v>
      </c>
      <c r="AF110" s="387" t="str">
        <f>IF(OR(F110="Х",F110="св")," ",IF(AND(G110&gt;=0,G110&lt;3),"1"," "))</f>
        <v>1</v>
      </c>
      <c r="AG110" s="387" t="str">
        <f>IF(OR(H110="Х",H110="св")," ",IF(AND(I110&gt;=0,I110&lt;3),"1"," "))</f>
        <v>1</v>
      </c>
      <c r="AH110" s="387" t="str">
        <f>IF(OR(J110="Х",J110="св")," ",IF(AND(K110&gt;=0,K110&lt;3),"1"," "))</f>
        <v>1</v>
      </c>
      <c r="AI110" s="387" t="str">
        <f>IF(OR(L110="Х",L110="св")," ",IF(AND(M110&gt;=0,M110&lt;3),"1"," "))</f>
        <v>1</v>
      </c>
      <c r="AJ110" s="387" t="str">
        <f>IF(OR(N110="Х",N110="св")," ",IF(AND(O110&gt;=0,O110&lt;3),"1"," "))</f>
        <v>1</v>
      </c>
      <c r="AK110" s="387" t="str">
        <f>IF(OR(P110="Х",P110="св")," ",IF(AND(Q110&gt;=0,Q110&lt;3),"1"," "))</f>
        <v>1</v>
      </c>
      <c r="AL110" s="387" t="str">
        <f>IF(OR(R110="Х",R110="св")," ",IF(AND(S110&gt;=0,S110&lt;3),"1"," "))</f>
        <v>1</v>
      </c>
      <c r="AM110" s="387" t="str">
        <f>IF(OR(T110="Х",T110="св")," ",IF(AND(U110&gt;=0,U110&lt;3),"1"," "))</f>
        <v>1</v>
      </c>
      <c r="AN110" s="388">
        <f t="shared" ref="AN110" si="296">COUNTIF(AF110:AM111,1)</f>
        <v>8</v>
      </c>
      <c r="AO110" s="390">
        <f>AE110-AA110</f>
        <v>80</v>
      </c>
      <c r="AP110" s="391">
        <f t="shared" si="195"/>
        <v>0</v>
      </c>
      <c r="AQ110" s="384" t="str">
        <f>COUNTIF(AE$6:AE$119,"&gt;"&amp;AE$6:AE$119)+1&amp;REPT("-"&amp;COUNTIF(AE$6:AE$119,"&gt;="&amp;AE$6:AE$119),COUNTIF(AE$6:AE$119,AE110)&gt;1)</f>
        <v>6-56</v>
      </c>
      <c r="AR110" s="392"/>
      <c r="AS110" s="183"/>
      <c r="AT110" s="183"/>
      <c r="AU110" s="183"/>
      <c r="AV110" s="383">
        <f t="shared" si="236"/>
        <v>52</v>
      </c>
      <c r="BU110" s="374">
        <f>IF(J110="х"," ",B110)</f>
        <v>52</v>
      </c>
      <c r="BV110" s="374">
        <f>IF(L110="х"," ",B110)</f>
        <v>52</v>
      </c>
      <c r="BW110" s="374" t="str">
        <f>IF(BV110=" "," ",L110)</f>
        <v xml:space="preserve"> </v>
      </c>
      <c r="BX110" s="374" t="str">
        <f>IF(BU110=" "," ",J110)</f>
        <v xml:space="preserve"> </v>
      </c>
      <c r="BY110" s="61">
        <f>IF(BU110&lt;BX110,BU110,0)</f>
        <v>52</v>
      </c>
      <c r="BZ110" s="61">
        <f t="shared" si="253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4">
        <f>IF(N110="х"," ",B110)</f>
        <v>52</v>
      </c>
      <c r="CG110" s="374" t="str">
        <f>IF(CF110=" "," ",N110)</f>
        <v xml:space="preserve"> </v>
      </c>
      <c r="CH110" s="125">
        <f>IF(CF110&lt;CG110,CF110,0)</f>
        <v>52</v>
      </c>
      <c r="CI110">
        <f t="shared" si="19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4">
        <f>IF(P110="х"," ",B110)</f>
        <v>52</v>
      </c>
      <c r="CM110" s="374" t="str">
        <f>IF(CL110=" "," ",P110)</f>
        <v xml:space="preserve"> </v>
      </c>
      <c r="CN110">
        <f>IF(CL110&lt;CM110,CL110,0)</f>
        <v>52</v>
      </c>
      <c r="CO110">
        <f t="shared" si="19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4">
        <f t="shared" ref="CR110" si="297">IF(R110="х"," ",B110)</f>
        <v>52</v>
      </c>
      <c r="CS110" s="374" t="str">
        <f t="shared" ref="CS110" si="298">IF(CR110=" "," ",R110)</f>
        <v xml:space="preserve"> </v>
      </c>
      <c r="CT110">
        <f>IF(CR110&lt;CS110,CR110,0)</f>
        <v>52</v>
      </c>
      <c r="CU110">
        <f t="shared" si="19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2"/>
      <c r="C111" s="421"/>
      <c r="D111" s="423"/>
      <c r="E111" s="425"/>
      <c r="F111" s="438"/>
      <c r="G111" s="44"/>
      <c r="H111" s="435"/>
      <c r="I111" s="44"/>
      <c r="J111" s="435"/>
      <c r="K111" s="44"/>
      <c r="L111" s="435"/>
      <c r="M111" s="44"/>
      <c r="N111" s="435"/>
      <c r="O111" s="44"/>
      <c r="P111" s="435"/>
      <c r="Q111" s="44"/>
      <c r="R111" s="435"/>
      <c r="S111" s="44"/>
      <c r="T111" s="435"/>
      <c r="U111" s="47"/>
      <c r="V111" s="435"/>
      <c r="W111" s="44"/>
      <c r="X111" s="435"/>
      <c r="Y111" s="44"/>
      <c r="Z111" s="419"/>
      <c r="AA111" s="462"/>
      <c r="AB111" s="427"/>
      <c r="AC111" s="383"/>
      <c r="AD111" s="384"/>
      <c r="AE111" s="386"/>
      <c r="AF111" s="387"/>
      <c r="AG111" s="387"/>
      <c r="AH111" s="387"/>
      <c r="AI111" s="387"/>
      <c r="AJ111" s="387"/>
      <c r="AK111" s="387"/>
      <c r="AL111" s="387"/>
      <c r="AM111" s="387"/>
      <c r="AN111" s="389"/>
      <c r="AO111" s="384"/>
      <c r="AP111" s="391"/>
      <c r="AQ111" s="384"/>
      <c r="AR111" s="392"/>
      <c r="AS111" s="183"/>
      <c r="AT111" s="183"/>
      <c r="AU111" s="183"/>
      <c r="AV111" s="383"/>
      <c r="BU111" s="374"/>
      <c r="BV111" s="374"/>
      <c r="BW111" s="374"/>
      <c r="BX111" s="374"/>
      <c r="BY111" s="61" t="str">
        <f>IF(BY110&gt;=1,BX110,0)</f>
        <v xml:space="preserve"> </v>
      </c>
      <c r="BZ111" s="61" t="str">
        <f t="shared" si="253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4"/>
      <c r="CG111" s="374"/>
      <c r="CH111" s="125" t="str">
        <f>IF(CH110&gt;=1,CG110,0)</f>
        <v xml:space="preserve"> </v>
      </c>
      <c r="CI111" t="str">
        <f t="shared" si="19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4"/>
      <c r="CM111" s="374"/>
      <c r="CN111" t="str">
        <f>IF(CN110&gt;=1,CM110,0)</f>
        <v xml:space="preserve"> </v>
      </c>
      <c r="CO111" t="str">
        <f t="shared" si="19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4"/>
      <c r="CS111" s="374"/>
      <c r="CT111" t="str">
        <f>IF(CT110&gt;=1,CS110,0)</f>
        <v xml:space="preserve"> </v>
      </c>
      <c r="CU111" t="str">
        <f t="shared" si="19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1">
        <v>53</v>
      </c>
      <c r="C112" s="420" t="e">
        <f>(VLOOKUP(B112,пр.взв!$B$7:$H$76,2,0))</f>
        <v>#N/A</v>
      </c>
      <c r="D112" s="422" t="e">
        <f>(VLOOKUP(B112,пр.взв!$B$7:$H$76,3,0))</f>
        <v>#N/A</v>
      </c>
      <c r="E112" s="424" t="e">
        <f>(VLOOKUP(B112,пр.взв!$B$7:$H$76,5,0))</f>
        <v>#N/A</v>
      </c>
      <c r="F112" s="440">
        <f t="shared" ref="F112" si="299">IF(ISERROR(C112),0,B114)</f>
        <v>0</v>
      </c>
      <c r="G112" s="42"/>
      <c r="H112" s="456"/>
      <c r="I112" s="42"/>
      <c r="J112" s="436" t="str">
        <f>IF(H112="Х","Х",IF(I112+G112&lt;6," ",IF(I112+G112&gt;=6,IF(AA112&gt;=6,"Х",IF(AA112&lt;6," "," ")))))</f>
        <v xml:space="preserve"> </v>
      </c>
      <c r="K112" s="41"/>
      <c r="L112" s="434" t="str">
        <f>IF(J112="Х","Х",IF(K112&lt;2.5," ",IF(K112&gt;=2.5,IF(G112+I112+K112&gt;=6,"Х",IF(AA112&lt;6," "," ")))))</f>
        <v xml:space="preserve"> </v>
      </c>
      <c r="M112" s="41"/>
      <c r="N112" s="434" t="str">
        <f>IF(L112="Х","Х",IF(M112&lt;2.5," ",IF(M112&gt;=2.5,IF(G112+I112+K112+M112&gt;=6,"Х",IF(AA112&lt;6," "," ")))))</f>
        <v xml:space="preserve"> </v>
      </c>
      <c r="O112" s="41"/>
      <c r="P112" s="434" t="str">
        <f>IF(N112="Х","Х",IF(O112&lt;2.5," ",IF(O112&gt;=2.5,IF(G112+I112+K112+M112+O112&gt;=6,"Х",IF(AA112&lt;6," "," ")))))</f>
        <v xml:space="preserve"> </v>
      </c>
      <c r="Q112" s="41"/>
      <c r="R112" s="434" t="str">
        <f>IF(P112="Х","Х",IF(Q112&lt;2.5," ",IF(Q112&gt;=2.5,IF(G112+I112+K112+M112+O112+Q112&gt;=6,"Х",IF(AA112&lt;6," "," ")))))</f>
        <v xml:space="preserve"> </v>
      </c>
      <c r="S112" s="41"/>
      <c r="T112" s="434" t="str">
        <f>IF(R112="Х","Х",IF(S112&lt;2.5," ",IF(S112&gt;=2.5,IF(G112+I112+K112+M112+O112+Q112+S112&gt;=6,"Х",IF(AA112&lt;6," "," ")))))</f>
        <v xml:space="preserve"> </v>
      </c>
      <c r="U112" s="45"/>
      <c r="V112" s="434" t="str">
        <f t="shared" ref="V112" si="300">IF(T112="А1",$AX$7,IF(T112="Б2",$AX$6,IF(T112="Б1",$AY$7,IF(T112="А2",$AY$6,IF(T112="Х","Х",IF(T112&lt;6," "," "))))))</f>
        <v xml:space="preserve"> </v>
      </c>
      <c r="W112" s="41"/>
      <c r="X112" s="434" t="str">
        <f t="shared" ref="X112" si="301">IF(T112="Х","Х",IF(ISBLANK(W112),"",IF(W112&gt;2.5," ",IF(B112=AZ$6,AZ$7,AZ$6))))</f>
        <v/>
      </c>
      <c r="Y112" s="42"/>
      <c r="Z112" s="463" t="b">
        <f>IF(H112="Х","1",IF(J112="Х","2",IF(L112="Х","3",IF(N112="Х","4",IF(P112="Х","5",IF(R112="Х","6",IF(T112="Х","7",IF(V112="Х","8"))))))))</f>
        <v>0</v>
      </c>
      <c r="AA112" s="461">
        <f>SUM(G112+I112+K112+M112+O112+Q112+S112+U112+W112+Y112)</f>
        <v>0</v>
      </c>
      <c r="AB112" s="426">
        <f t="shared" ref="AB112" si="302">AD112+0</f>
        <v>20607</v>
      </c>
      <c r="AC112" s="383">
        <f>AB112</f>
        <v>20607</v>
      </c>
      <c r="AD112" s="384" t="str">
        <f>COUNTIF(AE$6:AE$119,"&gt;"&amp;AE$6:AE$119)+1&amp;REPT("-"&amp;COUNTIF(AE$6:AE$119,"&gt;="&amp;AE$6:AE$119),COUNTIF(AE$6:AE$119,AE112)&gt;1)</f>
        <v>6-56</v>
      </c>
      <c r="AE112" s="385">
        <f t="shared" si="220"/>
        <v>80</v>
      </c>
      <c r="AF112" s="387" t="str">
        <f>IF(OR(F112="Х",F112="св")," ",IF(AND(G112&gt;=0,G112&lt;3),"1"," "))</f>
        <v>1</v>
      </c>
      <c r="AG112" s="387" t="str">
        <f>IF(OR(H112="Х",H112="св")," ",IF(AND(I112&gt;=0,I112&lt;3),"1"," "))</f>
        <v>1</v>
      </c>
      <c r="AH112" s="387" t="str">
        <f>IF(OR(J112="Х",J112="св")," ",IF(AND(K112&gt;=0,K112&lt;3),"1"," "))</f>
        <v>1</v>
      </c>
      <c r="AI112" s="387" t="str">
        <f>IF(OR(L112="Х",L112="св")," ",IF(AND(M112&gt;=0,M112&lt;3),"1"," "))</f>
        <v>1</v>
      </c>
      <c r="AJ112" s="387" t="str">
        <f>IF(OR(N112="Х",N112="св")," ",IF(AND(O112&gt;=0,O112&lt;3),"1"," "))</f>
        <v>1</v>
      </c>
      <c r="AK112" s="387" t="str">
        <f>IF(OR(P112="Х",P112="св")," ",IF(AND(Q112&gt;=0,Q112&lt;3),"1"," "))</f>
        <v>1</v>
      </c>
      <c r="AL112" s="387" t="str">
        <f>IF(OR(R112="Х",R112="св")," ",IF(AND(S112&gt;=0,S112&lt;3),"1"," "))</f>
        <v>1</v>
      </c>
      <c r="AM112" s="387" t="str">
        <f>IF(OR(T112="Х",T112="св")," ",IF(AND(U112&gt;=0,U112&lt;3),"1"," "))</f>
        <v>1</v>
      </c>
      <c r="AN112" s="388">
        <f t="shared" ref="AN112" si="303">COUNTIF(AF112:AM113,1)</f>
        <v>8</v>
      </c>
      <c r="AO112" s="390">
        <f>AE112-AA112</f>
        <v>80</v>
      </c>
      <c r="AP112" s="391">
        <f t="shared" si="195"/>
        <v>0</v>
      </c>
      <c r="AQ112" s="384" t="str">
        <f>COUNTIF(AE$6:AE$119,"&gt;"&amp;AE$6:AE$119)+1&amp;REPT("-"&amp;COUNTIF(AE$6:AE$119,"&gt;="&amp;AE$6:AE$119),COUNTIF(AE$6:AE$119,AE112)&gt;1)</f>
        <v>6-56</v>
      </c>
      <c r="AR112" s="392"/>
      <c r="AS112" s="183"/>
      <c r="AT112" s="183"/>
      <c r="AU112" s="183"/>
      <c r="AV112" s="383">
        <f t="shared" si="236"/>
        <v>53</v>
      </c>
      <c r="BU112" s="374">
        <f>IF(J112="х"," ",B112)</f>
        <v>53</v>
      </c>
      <c r="BV112" s="374">
        <f>IF(L112="х"," ",B112)</f>
        <v>53</v>
      </c>
      <c r="BW112" s="374" t="str">
        <f>IF(BV112=" "," ",L112)</f>
        <v xml:space="preserve"> </v>
      </c>
      <c r="BX112" s="374" t="str">
        <f>IF(BU112=" "," ",J112)</f>
        <v xml:space="preserve"> </v>
      </c>
      <c r="BY112" s="61">
        <f>IF(BU112&lt;BX112,BU112,0)</f>
        <v>53</v>
      </c>
      <c r="BZ112" s="61">
        <f t="shared" si="253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4">
        <f>IF(N112="х"," ",B112)</f>
        <v>53</v>
      </c>
      <c r="CG112" s="374" t="str">
        <f>IF(CF112=" "," ",N112)</f>
        <v xml:space="preserve"> </v>
      </c>
      <c r="CH112" s="125">
        <f>IF(CF112&lt;CG112,CF112,0)</f>
        <v>53</v>
      </c>
      <c r="CI112">
        <f t="shared" si="19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4">
        <f>IF(P112="х"," ",B112)</f>
        <v>53</v>
      </c>
      <c r="CM112" s="374" t="str">
        <f>IF(CL112=" "," ",P112)</f>
        <v xml:space="preserve"> </v>
      </c>
      <c r="CN112">
        <f>IF(CL112&lt;CM112,CL112,0)</f>
        <v>53</v>
      </c>
      <c r="CO112">
        <f t="shared" si="19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4">
        <f t="shared" ref="CR112" si="304">IF(R112="х"," ",B112)</f>
        <v>53</v>
      </c>
      <c r="CS112" s="374" t="str">
        <f t="shared" ref="CS112" si="305">IF(CR112=" "," ",R112)</f>
        <v xml:space="preserve"> </v>
      </c>
      <c r="CT112">
        <f>IF(CR112&lt;CS112,CR112,0)</f>
        <v>53</v>
      </c>
      <c r="CU112">
        <f t="shared" si="19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2"/>
      <c r="C113" s="421"/>
      <c r="D113" s="423"/>
      <c r="E113" s="425"/>
      <c r="F113" s="438"/>
      <c r="G113" s="44"/>
      <c r="H113" s="435"/>
      <c r="I113" s="44"/>
      <c r="J113" s="435"/>
      <c r="K113" s="44"/>
      <c r="L113" s="435"/>
      <c r="M113" s="44"/>
      <c r="N113" s="435"/>
      <c r="O113" s="44"/>
      <c r="P113" s="435"/>
      <c r="Q113" s="44"/>
      <c r="R113" s="435"/>
      <c r="S113" s="44"/>
      <c r="T113" s="435"/>
      <c r="U113" s="47"/>
      <c r="V113" s="435"/>
      <c r="W113" s="44"/>
      <c r="X113" s="435"/>
      <c r="Y113" s="44"/>
      <c r="Z113" s="419"/>
      <c r="AA113" s="462"/>
      <c r="AB113" s="427"/>
      <c r="AC113" s="383"/>
      <c r="AD113" s="384"/>
      <c r="AE113" s="386"/>
      <c r="AF113" s="387"/>
      <c r="AG113" s="387"/>
      <c r="AH113" s="387"/>
      <c r="AI113" s="387"/>
      <c r="AJ113" s="387"/>
      <c r="AK113" s="387"/>
      <c r="AL113" s="387"/>
      <c r="AM113" s="387"/>
      <c r="AN113" s="389"/>
      <c r="AO113" s="384"/>
      <c r="AP113" s="391"/>
      <c r="AQ113" s="384"/>
      <c r="AR113" s="392"/>
      <c r="AS113" s="183"/>
      <c r="AT113" s="183"/>
      <c r="AU113" s="183"/>
      <c r="AV113" s="383"/>
      <c r="BU113" s="374"/>
      <c r="BV113" s="374"/>
      <c r="BW113" s="374"/>
      <c r="BX113" s="374"/>
      <c r="BY113" s="61" t="str">
        <f>IF(BY112&gt;=1,BX112,0)</f>
        <v xml:space="preserve"> </v>
      </c>
      <c r="BZ113" s="61" t="str">
        <f t="shared" si="253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4"/>
      <c r="CG113" s="374"/>
      <c r="CH113" s="125" t="str">
        <f>IF(CH112&gt;=1,CG112,0)</f>
        <v xml:space="preserve"> </v>
      </c>
      <c r="CI113" t="str">
        <f t="shared" si="19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4"/>
      <c r="CM113" s="374"/>
      <c r="CN113" t="str">
        <f>IF(CN112&gt;=1,CM112,0)</f>
        <v xml:space="preserve"> </v>
      </c>
      <c r="CO113" t="str">
        <f t="shared" si="19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4"/>
      <c r="CS113" s="374"/>
      <c r="CT113" t="str">
        <f>IF(CT112&gt;=1,CS112,0)</f>
        <v xml:space="preserve"> </v>
      </c>
      <c r="CU113" t="str">
        <f t="shared" si="19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1">
        <v>54</v>
      </c>
      <c r="C114" s="420" t="e">
        <f>(VLOOKUP(B114,пр.взв!$B$7:$H$76,2,0))</f>
        <v>#N/A</v>
      </c>
      <c r="D114" s="422" t="e">
        <f>(VLOOKUP(B114,пр.взв!$B$7:$H$76,3,0))</f>
        <v>#N/A</v>
      </c>
      <c r="E114" s="424" t="e">
        <f>(VLOOKUP(B114,пр.взв!$B$7:$H$76,5,0))</f>
        <v>#N/A</v>
      </c>
      <c r="F114" s="439">
        <f t="shared" ref="F114" si="306">IF(ISERROR(C114),0,B112)</f>
        <v>0</v>
      </c>
      <c r="G114" s="42"/>
      <c r="H114" s="456"/>
      <c r="I114" s="42"/>
      <c r="J114" s="436" t="str">
        <f>IF(H114="Х","Х",IF(I114+G114&lt;6," ",IF(I114+G114&gt;=6,IF(AA114&gt;=6,"Х",IF(AA114&lt;6," "," ")))))</f>
        <v xml:space="preserve"> </v>
      </c>
      <c r="K114" s="41"/>
      <c r="L114" s="434" t="str">
        <f>IF(J114="Х","Х",IF(K114&lt;2.5," ",IF(K114&gt;=2.5,IF(G114+I114+K114&gt;=6,"Х",IF(AA114&lt;6," "," ")))))</f>
        <v xml:space="preserve"> </v>
      </c>
      <c r="M114" s="41"/>
      <c r="N114" s="434" t="str">
        <f>IF(L114="Х","Х",IF(M114&lt;2.5," ",IF(M114&gt;=2.5,IF(G114+I114+K114+M114&gt;=6,"Х",IF(AA114&lt;6," "," ")))))</f>
        <v xml:space="preserve"> </v>
      </c>
      <c r="O114" s="41"/>
      <c r="P114" s="434" t="str">
        <f>IF(N114="Х","Х",IF(O114&lt;2.5," ",IF(O114&gt;=2.5,IF(G114+I114+K114+M114+O114&gt;=6,"Х",IF(AA114&lt;6," "," ")))))</f>
        <v xml:space="preserve"> </v>
      </c>
      <c r="Q114" s="41"/>
      <c r="R114" s="434" t="str">
        <f>IF(P114="Х","Х",IF(Q114&lt;2.5," ",IF(Q114&gt;=2.5,IF(G114+I114+K114+M114+O114+Q114&gt;=6,"Х",IF(AA114&lt;6," "," ")))))</f>
        <v xml:space="preserve"> </v>
      </c>
      <c r="S114" s="41"/>
      <c r="T114" s="434" t="str">
        <f>IF(R114="Х","Х",IF(S114&lt;2.5," ",IF(S114&gt;=2.5,IF(G114+I114+K114+M114+O114+Q114+S114&gt;=6,"Х",IF(AA114&lt;6," "," ")))))</f>
        <v xml:space="preserve"> </v>
      </c>
      <c r="U114" s="45"/>
      <c r="V114" s="434" t="str">
        <f t="shared" ref="V114" si="307">IF(T114="А1",$AX$7,IF(T114="Б2",$AX$6,IF(T114="Б1",$AY$7,IF(T114="А2",$AY$6,IF(T114="Х","Х",IF(T114&lt;6," "," "))))))</f>
        <v xml:space="preserve"> </v>
      </c>
      <c r="W114" s="41"/>
      <c r="X114" s="434" t="str">
        <f t="shared" ref="X114" si="308">IF(T114="Х","Х",IF(ISBLANK(W114),"",IF(W114&gt;2.5," ",IF(B114=AZ$6,AZ$7,AZ$6))))</f>
        <v/>
      </c>
      <c r="Y114" s="42"/>
      <c r="Z114" s="463" t="b">
        <f>IF(H114="Х","1",IF(J114="Х","2",IF(L114="Х","3",IF(N114="Х","4",IF(P114="Х","5",IF(R114="Х","6",IF(T114="Х","7",IF(V114="Х","8"))))))))</f>
        <v>0</v>
      </c>
      <c r="AA114" s="461">
        <f>SUM(G114+I114+K114+M114+O114+Q114+S114+U114+W114+Y114)</f>
        <v>0</v>
      </c>
      <c r="AB114" s="426">
        <f t="shared" ref="AB114" si="309">AD114+0</f>
        <v>20607</v>
      </c>
      <c r="AC114" s="383">
        <f>AB114</f>
        <v>20607</v>
      </c>
      <c r="AD114" s="384" t="str">
        <f>COUNTIF(AE$6:AE$119,"&gt;"&amp;AE$6:AE$119)+1&amp;REPT("-"&amp;COUNTIF(AE$6:AE$119,"&gt;="&amp;AE$6:AE$119),COUNTIF(AE$6:AE$119,AE114)&gt;1)</f>
        <v>6-56</v>
      </c>
      <c r="AE114" s="385">
        <f t="shared" si="220"/>
        <v>80</v>
      </c>
      <c r="AF114" s="387" t="str">
        <f>IF(OR(F114="Х",F114="св")," ",IF(AND(G114&gt;=0,G114&lt;3),"1"," "))</f>
        <v>1</v>
      </c>
      <c r="AG114" s="387" t="str">
        <f>IF(OR(H114="Х",H114="св")," ",IF(AND(I114&gt;=0,I114&lt;3),"1"," "))</f>
        <v>1</v>
      </c>
      <c r="AH114" s="387" t="str">
        <f>IF(OR(J114="Х",J114="св")," ",IF(AND(K114&gt;=0,K114&lt;3),"1"," "))</f>
        <v>1</v>
      </c>
      <c r="AI114" s="387" t="str">
        <f>IF(OR(L114="Х",L114="св")," ",IF(AND(M114&gt;=0,M114&lt;3),"1"," "))</f>
        <v>1</v>
      </c>
      <c r="AJ114" s="387" t="str">
        <f>IF(OR(N114="Х",N114="св")," ",IF(AND(O114&gt;=0,O114&lt;3),"1"," "))</f>
        <v>1</v>
      </c>
      <c r="AK114" s="387" t="str">
        <f>IF(OR(P114="Х",P114="св")," ",IF(AND(Q114&gt;=0,Q114&lt;3),"1"," "))</f>
        <v>1</v>
      </c>
      <c r="AL114" s="387" t="str">
        <f>IF(OR(R114="Х",R114="св")," ",IF(AND(S114&gt;=0,S114&lt;3),"1"," "))</f>
        <v>1</v>
      </c>
      <c r="AM114" s="387" t="str">
        <f>IF(OR(T114="Х",T114="св")," ",IF(AND(U114&gt;=0,U114&lt;3),"1"," "))</f>
        <v>1</v>
      </c>
      <c r="AN114" s="388">
        <f t="shared" ref="AN114" si="310">COUNTIF(AF114:AM115,1)</f>
        <v>8</v>
      </c>
      <c r="AO114" s="390">
        <f>AE114-AA114</f>
        <v>80</v>
      </c>
      <c r="AP114" s="391">
        <f t="shared" si="195"/>
        <v>0</v>
      </c>
      <c r="AQ114" s="384" t="str">
        <f>COUNTIF(AE$6:AE$119,"&gt;"&amp;AE$6:AE$119)+1&amp;REPT("-"&amp;COUNTIF(AE$6:AE$119,"&gt;="&amp;AE$6:AE$119),COUNTIF(AE$6:AE$119,AE114)&gt;1)</f>
        <v>6-56</v>
      </c>
      <c r="AR114" s="392"/>
      <c r="AS114" s="183"/>
      <c r="AT114" s="183"/>
      <c r="AU114" s="183"/>
      <c r="AV114" s="383">
        <f t="shared" si="236"/>
        <v>54</v>
      </c>
      <c r="BU114" s="374">
        <f>IF(J114="х"," ",B114)</f>
        <v>54</v>
      </c>
      <c r="BV114" s="374">
        <f>IF(L114="х"," ",B114)</f>
        <v>54</v>
      </c>
      <c r="BW114" s="374" t="str">
        <f>IF(BV114=" "," ",L114)</f>
        <v xml:space="preserve"> </v>
      </c>
      <c r="BX114" s="374" t="str">
        <f>IF(BU114=" "," ",J114)</f>
        <v xml:space="preserve"> </v>
      </c>
      <c r="BY114" s="61">
        <f>IF(BU114&lt;BX114,BU114,0)</f>
        <v>54</v>
      </c>
      <c r="BZ114" s="61">
        <f t="shared" si="253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4">
        <f>IF(N114="х"," ",B114)</f>
        <v>54</v>
      </c>
      <c r="CG114" s="374" t="str">
        <f>IF(CF114=" "," ",N114)</f>
        <v xml:space="preserve"> </v>
      </c>
      <c r="CH114" s="125">
        <f>IF(CF114&lt;CG114,CF114,0)</f>
        <v>54</v>
      </c>
      <c r="CI114">
        <f t="shared" si="19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4">
        <f>IF(P114="х"," ",B114)</f>
        <v>54</v>
      </c>
      <c r="CM114" s="374" t="str">
        <f>IF(CL114=" "," ",P114)</f>
        <v xml:space="preserve"> </v>
      </c>
      <c r="CN114">
        <f>IF(CL114&lt;CM114,CL114,0)</f>
        <v>54</v>
      </c>
      <c r="CO114">
        <f t="shared" si="19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4">
        <f t="shared" ref="CR114" si="311">IF(R114="х"," ",B114)</f>
        <v>54</v>
      </c>
      <c r="CS114" s="374" t="str">
        <f t="shared" ref="CS114" si="312">IF(CR114=" "," ",R114)</f>
        <v xml:space="preserve"> </v>
      </c>
      <c r="CT114">
        <f>IF(CR114&lt;CS114,CR114,0)</f>
        <v>54</v>
      </c>
      <c r="CU114">
        <f t="shared" si="19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2"/>
      <c r="C115" s="421"/>
      <c r="D115" s="423"/>
      <c r="E115" s="425"/>
      <c r="F115" s="438"/>
      <c r="G115" s="44"/>
      <c r="H115" s="435"/>
      <c r="I115" s="44"/>
      <c r="J115" s="435"/>
      <c r="K115" s="44"/>
      <c r="L115" s="435"/>
      <c r="M115" s="44"/>
      <c r="N115" s="435"/>
      <c r="O115" s="44"/>
      <c r="P115" s="435"/>
      <c r="Q115" s="44"/>
      <c r="R115" s="435"/>
      <c r="S115" s="44"/>
      <c r="T115" s="435"/>
      <c r="U115" s="47"/>
      <c r="V115" s="435"/>
      <c r="W115" s="44"/>
      <c r="X115" s="435"/>
      <c r="Y115" s="44"/>
      <c r="Z115" s="419"/>
      <c r="AA115" s="462"/>
      <c r="AB115" s="427"/>
      <c r="AC115" s="383"/>
      <c r="AD115" s="384"/>
      <c r="AE115" s="386"/>
      <c r="AF115" s="387"/>
      <c r="AG115" s="387"/>
      <c r="AH115" s="387"/>
      <c r="AI115" s="387"/>
      <c r="AJ115" s="387"/>
      <c r="AK115" s="387"/>
      <c r="AL115" s="387"/>
      <c r="AM115" s="387"/>
      <c r="AN115" s="389"/>
      <c r="AO115" s="384"/>
      <c r="AP115" s="391"/>
      <c r="AQ115" s="384"/>
      <c r="AR115" s="392"/>
      <c r="AS115" s="183"/>
      <c r="AT115" s="183"/>
      <c r="AU115" s="183"/>
      <c r="AV115" s="383"/>
      <c r="BU115" s="374"/>
      <c r="BV115" s="374"/>
      <c r="BW115" s="374"/>
      <c r="BX115" s="374"/>
      <c r="BY115" s="61" t="str">
        <f>IF(BY114&gt;=1,BX114,0)</f>
        <v xml:space="preserve"> </v>
      </c>
      <c r="BZ115" s="61" t="str">
        <f t="shared" si="253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4"/>
      <c r="CG115" s="374"/>
      <c r="CH115" s="125" t="str">
        <f>IF(CH114&gt;=1,CG114,0)</f>
        <v xml:space="preserve"> </v>
      </c>
      <c r="CI115" t="str">
        <f t="shared" si="19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4"/>
      <c r="CM115" s="374"/>
      <c r="CN115" t="str">
        <f>IF(CN114&gt;=1,CM114,0)</f>
        <v xml:space="preserve"> </v>
      </c>
      <c r="CO115" t="str">
        <f t="shared" si="19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4"/>
      <c r="CS115" s="374"/>
      <c r="CT115" t="str">
        <f>IF(CT114&gt;=1,CS114,0)</f>
        <v xml:space="preserve"> </v>
      </c>
      <c r="CU115" t="str">
        <f t="shared" si="19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1">
        <v>55</v>
      </c>
      <c r="C116" s="420" t="e">
        <f>(VLOOKUP(B116,пр.взв!$B$7:$H$76,2,0))</f>
        <v>#N/A</v>
      </c>
      <c r="D116" s="422" t="e">
        <f>(VLOOKUP(B116,пр.взв!$B$7:$H$76,3,0))</f>
        <v>#N/A</v>
      </c>
      <c r="E116" s="424" t="e">
        <f>(VLOOKUP(B116,пр.взв!$B$7:$H$76,5,0))</f>
        <v>#N/A</v>
      </c>
      <c r="F116" s="440">
        <f t="shared" si="217"/>
        <v>0</v>
      </c>
      <c r="G116" s="42"/>
      <c r="H116" s="456"/>
      <c r="I116" s="42"/>
      <c r="J116" s="436" t="str">
        <f>IF(H116="Х","Х",IF(I116+G116&lt;6," ",IF(I116+G116&gt;=6,IF(AA116&gt;=6,"Х",IF(AA116&lt;6," "," ")))))</f>
        <v xml:space="preserve"> </v>
      </c>
      <c r="K116" s="41"/>
      <c r="L116" s="434" t="str">
        <f>IF(J116="Х","Х",IF(K116&lt;2.5," ",IF(K116&gt;=2.5,IF(G116+I116+K116&gt;=6,"Х",IF(AA116&lt;6," "," ")))))</f>
        <v xml:space="preserve"> </v>
      </c>
      <c r="M116" s="41"/>
      <c r="N116" s="434" t="str">
        <f>IF(L116="Х","Х",IF(M116&lt;2.5," ",IF(M116&gt;=2.5,IF(G116+I116+K116+M116&gt;=6,"Х",IF(AA116&lt;6," "," ")))))</f>
        <v xml:space="preserve"> </v>
      </c>
      <c r="O116" s="41"/>
      <c r="P116" s="434" t="str">
        <f>IF(N116="Х","Х",IF(O116&lt;2.5," ",IF(O116&gt;=2.5,IF(G116+I116+K116+M116+O116&gt;=6,"Х",IF(AA116&lt;6," "," ")))))</f>
        <v xml:space="preserve"> </v>
      </c>
      <c r="Q116" s="41"/>
      <c r="R116" s="434" t="str">
        <f>IF(P116="Х","Х",IF(Q116&lt;2.5," ",IF(Q116&gt;=2.5,IF(G116+I116+K116+M116+O116+Q116&gt;=6,"Х",IF(AA116&lt;6," "," ")))))</f>
        <v xml:space="preserve"> </v>
      </c>
      <c r="S116" s="41"/>
      <c r="T116" s="434" t="str">
        <f>IF(R116="Х","Х",IF(S116&lt;2.5," ",IF(S116&gt;=2.5,IF(G116+I116+K116+M116+O116+Q116+S116&gt;=6,"Х",IF(AA116&lt;6," "," ")))))</f>
        <v xml:space="preserve"> </v>
      </c>
      <c r="U116" s="45"/>
      <c r="V116" s="434" t="str">
        <f t="shared" ref="V116" si="313">IF(T116="А1",$AX$7,IF(T116="Б2",$AX$6,IF(T116="Б1",$AY$7,IF(T116="А2",$AY$6,IF(T116="Х","Х",IF(T116&lt;6," "," "))))))</f>
        <v xml:space="preserve"> </v>
      </c>
      <c r="W116" s="41"/>
      <c r="X116" s="434" t="str">
        <f t="shared" ref="X116" si="314">IF(T116="Х","Х",IF(ISBLANK(W116),"",IF(W116&gt;2.5," ",IF(B116=AZ$6,AZ$7,AZ$6))))</f>
        <v/>
      </c>
      <c r="Y116" s="42"/>
      <c r="Z116" s="463" t="b">
        <f>IF(H116="Х","1",IF(J116="Х","2",IF(L116="Х","3",IF(N116="Х","4",IF(P116="Х","5",IF(R116="Х","6",IF(T116="Х","7",IF(V116="Х","8"))))))))</f>
        <v>0</v>
      </c>
      <c r="AA116" s="461">
        <f>SUM(G116+I116+K116+M116+O116+Q116+S116+U116+W116+Y116)</f>
        <v>0</v>
      </c>
      <c r="AB116" s="426">
        <f t="shared" ref="AB116" si="315">AD116+0</f>
        <v>20607</v>
      </c>
      <c r="AC116" s="383">
        <f>AB116</f>
        <v>20607</v>
      </c>
      <c r="AD116" s="384" t="str">
        <f>COUNTIF(AE$6:AE$119,"&gt;"&amp;AE$6:AE$119)+1&amp;REPT("-"&amp;COUNTIF(AE$6:AE$119,"&gt;="&amp;AE$6:AE$119),COUNTIF(AE$6:AE$119,AE116)&gt;1)</f>
        <v>6-56</v>
      </c>
      <c r="AE116" s="385">
        <f t="shared" si="220"/>
        <v>80</v>
      </c>
      <c r="AF116" s="387" t="str">
        <f>IF(OR(F116="Х",F116="св")," ",IF(AND(G116&gt;=0,G116&lt;3),"1"," "))</f>
        <v>1</v>
      </c>
      <c r="AG116" s="387" t="str">
        <f>IF(OR(H116="Х",H116="св")," ",IF(AND(I116&gt;=0,I116&lt;3),"1"," "))</f>
        <v>1</v>
      </c>
      <c r="AH116" s="387" t="str">
        <f>IF(OR(J116="Х",J116="св")," ",IF(AND(K116&gt;=0,K116&lt;3),"1"," "))</f>
        <v>1</v>
      </c>
      <c r="AI116" s="387" t="str">
        <f>IF(OR(L116="Х",L116="св")," ",IF(AND(M116&gt;=0,M116&lt;3),"1"," "))</f>
        <v>1</v>
      </c>
      <c r="AJ116" s="387" t="str">
        <f>IF(OR(N116="Х",N116="св")," ",IF(AND(O116&gt;=0,O116&lt;3),"1"," "))</f>
        <v>1</v>
      </c>
      <c r="AK116" s="387" t="str">
        <f>IF(OR(P116="Х",P116="св")," ",IF(AND(Q116&gt;=0,Q116&lt;3),"1"," "))</f>
        <v>1</v>
      </c>
      <c r="AL116" s="387" t="str">
        <f>IF(OR(R116="Х",R116="св")," ",IF(AND(S116&gt;=0,S116&lt;3),"1"," "))</f>
        <v>1</v>
      </c>
      <c r="AM116" s="387" t="str">
        <f>IF(OR(T116="Х",T116="св")," ",IF(AND(U116&gt;=0,U116&lt;3),"1"," "))</f>
        <v>1</v>
      </c>
      <c r="AN116" s="388">
        <f t="shared" ref="AN116" si="316">COUNTIF(AF116:AM117,1)</f>
        <v>8</v>
      </c>
      <c r="AO116" s="390">
        <f>AE116-AA116</f>
        <v>80</v>
      </c>
      <c r="AP116" s="391">
        <f t="shared" si="195"/>
        <v>0</v>
      </c>
      <c r="AQ116" s="384" t="str">
        <f>COUNTIF(AE$6:AE$119,"&gt;"&amp;AE$6:AE$119)+1&amp;REPT("-"&amp;COUNTIF(AE$6:AE$119,"&gt;="&amp;AE$6:AE$119),COUNTIF(AE$6:AE$119,AE116)&gt;1)</f>
        <v>6-56</v>
      </c>
      <c r="AR116" s="392"/>
      <c r="AS116" s="183"/>
      <c r="AT116" s="183"/>
      <c r="AU116" s="183"/>
      <c r="AV116" s="383">
        <f t="shared" si="236"/>
        <v>55</v>
      </c>
      <c r="BU116" s="374">
        <f>IF(J116="х"," ",B116)</f>
        <v>55</v>
      </c>
      <c r="BV116" s="374">
        <f>IF(L116="х"," ",B116)</f>
        <v>55</v>
      </c>
      <c r="BW116" s="374" t="str">
        <f>IF(BV116=" "," ",L116)</f>
        <v xml:space="preserve"> </v>
      </c>
      <c r="BX116" s="374" t="str">
        <f>IF(BU116=" "," ",J116)</f>
        <v xml:space="preserve"> </v>
      </c>
      <c r="BY116" s="61">
        <f>IF(BU116&lt;BX116,BU116,0)</f>
        <v>55</v>
      </c>
      <c r="BZ116" s="61">
        <f t="shared" si="253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4">
        <f>IF(N116="х"," ",B116)</f>
        <v>55</v>
      </c>
      <c r="CG116" s="374" t="str">
        <f>IF(CF116=" "," ",N116)</f>
        <v xml:space="preserve"> </v>
      </c>
      <c r="CH116" s="125">
        <f>IF(CF116&lt;CG116,CF116,0)</f>
        <v>55</v>
      </c>
      <c r="CI116">
        <f t="shared" si="19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4">
        <f>IF(P116="х"," ",B116)</f>
        <v>55</v>
      </c>
      <c r="CM116" s="374" t="str">
        <f>IF(CL116=" "," ",P116)</f>
        <v xml:space="preserve"> </v>
      </c>
      <c r="CN116">
        <f>IF(CL116&lt;CM116,CL116,0)</f>
        <v>55</v>
      </c>
      <c r="CO116">
        <f t="shared" si="19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4">
        <f t="shared" ref="CR116" si="317">IF(R116="х"," ",B116)</f>
        <v>55</v>
      </c>
      <c r="CS116" s="374" t="str">
        <f t="shared" ref="CS116" si="318">IF(CR116=" "," ",R116)</f>
        <v xml:space="preserve"> </v>
      </c>
      <c r="CT116">
        <f>IF(CR116&lt;CS116,CR116,0)</f>
        <v>55</v>
      </c>
      <c r="CU116">
        <f t="shared" si="19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2"/>
      <c r="C117" s="421"/>
      <c r="D117" s="423"/>
      <c r="E117" s="425"/>
      <c r="F117" s="438"/>
      <c r="G117" s="44"/>
      <c r="H117" s="435"/>
      <c r="I117" s="44"/>
      <c r="J117" s="435"/>
      <c r="K117" s="44"/>
      <c r="L117" s="435"/>
      <c r="M117" s="44"/>
      <c r="N117" s="435"/>
      <c r="O117" s="44"/>
      <c r="P117" s="435"/>
      <c r="Q117" s="44"/>
      <c r="R117" s="435"/>
      <c r="S117" s="44"/>
      <c r="T117" s="435"/>
      <c r="U117" s="47"/>
      <c r="V117" s="435"/>
      <c r="W117" s="44"/>
      <c r="X117" s="435"/>
      <c r="Y117" s="44"/>
      <c r="Z117" s="419"/>
      <c r="AA117" s="462"/>
      <c r="AB117" s="427"/>
      <c r="AC117" s="383"/>
      <c r="AD117" s="384"/>
      <c r="AE117" s="386"/>
      <c r="AF117" s="387"/>
      <c r="AG117" s="387"/>
      <c r="AH117" s="387"/>
      <c r="AI117" s="387"/>
      <c r="AJ117" s="387"/>
      <c r="AK117" s="387"/>
      <c r="AL117" s="387"/>
      <c r="AM117" s="387"/>
      <c r="AN117" s="389"/>
      <c r="AO117" s="384"/>
      <c r="AP117" s="391"/>
      <c r="AQ117" s="384"/>
      <c r="AR117" s="392"/>
      <c r="AS117" s="183"/>
      <c r="AT117" s="183"/>
      <c r="AU117" s="183"/>
      <c r="AV117" s="383"/>
      <c r="BU117" s="374"/>
      <c r="BV117" s="374"/>
      <c r="BW117" s="374"/>
      <c r="BX117" s="374"/>
      <c r="BY117" s="61" t="str">
        <f>IF(BY116&gt;=1,BX116,0)</f>
        <v xml:space="preserve"> </v>
      </c>
      <c r="BZ117" s="61" t="str">
        <f t="shared" si="253"/>
        <v xml:space="preserve"> </v>
      </c>
      <c r="CB117" t="str">
        <f>IF(CB116&gt;=1,BW116,0)</f>
        <v xml:space="preserve"> </v>
      </c>
      <c r="CC117" s="125" t="str">
        <f t="shared" si="189"/>
        <v xml:space="preserve"> </v>
      </c>
      <c r="CF117" s="374"/>
      <c r="CG117" s="374"/>
      <c r="CH117" s="125" t="str">
        <f>IF(CH116&gt;=1,CG116,0)</f>
        <v xml:space="preserve"> </v>
      </c>
      <c r="CI117" t="str">
        <f t="shared" si="196"/>
        <v xml:space="preserve"> </v>
      </c>
      <c r="CL117" s="374"/>
      <c r="CM117" s="374"/>
      <c r="CN117" t="str">
        <f>IF(CN116&gt;=1,CM116,0)</f>
        <v xml:space="preserve"> </v>
      </c>
      <c r="CO117" t="str">
        <f t="shared" si="190"/>
        <v xml:space="preserve"> </v>
      </c>
      <c r="CR117" s="374"/>
      <c r="CS117" s="374"/>
      <c r="CT117" t="str">
        <f>IF(CT116&gt;=1,CS116,0)</f>
        <v xml:space="preserve"> </v>
      </c>
      <c r="CU117" t="str">
        <f t="shared" si="191"/>
        <v xml:space="preserve"> </v>
      </c>
    </row>
    <row r="118" spans="1:100" ht="12" hidden="1" customHeight="1" thickTop="1">
      <c r="A118" s="198"/>
      <c r="B118" s="411">
        <v>56</v>
      </c>
      <c r="C118" s="420" t="e">
        <f>(VLOOKUP(B118,пр.взв!$B$7:$H$76,2,0))</f>
        <v>#N/A</v>
      </c>
      <c r="D118" s="422" t="e">
        <f>(VLOOKUP(B118,пр.взв!$B$7:$H$76,3,0))</f>
        <v>#N/A</v>
      </c>
      <c r="E118" s="424" t="e">
        <f>(VLOOKUP(B118,пр.взв!$B$7:$H$76,5,0))</f>
        <v>#N/A</v>
      </c>
      <c r="F118" s="439">
        <f t="shared" si="223"/>
        <v>0</v>
      </c>
      <c r="G118" s="42"/>
      <c r="H118" s="456"/>
      <c r="I118" s="42"/>
      <c r="J118" s="436" t="str">
        <f>IF(H118="Х","Х",IF(I118+G118&lt;6," ",IF(I118+G118&gt;=6,IF(AA118&gt;=6,"Х",IF(AA118&lt;6," "," ")))))</f>
        <v xml:space="preserve"> </v>
      </c>
      <c r="K118" s="41"/>
      <c r="L118" s="434" t="str">
        <f>IF(J118="Х","Х",IF(K118&lt;2.5," ",IF(K118&gt;=2.5,IF(G118+I118+K118&gt;=6,"Х",IF(AA118&lt;6," "," ")))))</f>
        <v xml:space="preserve"> </v>
      </c>
      <c r="M118" s="41"/>
      <c r="N118" s="434" t="str">
        <f>IF(L118="Х","Х",IF(M118&lt;2.5," ",IF(M118&gt;=2.5,IF(G118+I118+K118+M118&gt;=6,"Х",IF(AA118&lt;6," "," ")))))</f>
        <v xml:space="preserve"> </v>
      </c>
      <c r="O118" s="41"/>
      <c r="P118" s="434" t="str">
        <f>IF(N118="Х","Х",IF(O118&lt;2.5," ",IF(O118&gt;=2.5,IF(G118+I118+K118+M118+O118&gt;=6,"Х",IF(AA118&lt;6," "," ")))))</f>
        <v xml:space="preserve"> </v>
      </c>
      <c r="Q118" s="41"/>
      <c r="R118" s="434" t="str">
        <f>IF(P118="Х","Х",IF(Q118&lt;2.5," ",IF(Q118&gt;=2.5,IF(G118+I118+K118+M118+O118+Q118&gt;=6,"Х",IF(AA118&lt;6," "," ")))))</f>
        <v xml:space="preserve"> </v>
      </c>
      <c r="S118" s="41"/>
      <c r="T118" s="434" t="str">
        <f>IF(R118="Х","Х",IF(S118&lt;2.5," ",IF(S118&gt;=2.5,IF(G118+I118+K118+M118+O118+Q118+S118&gt;=6,"Х",IF(AA118&lt;6," "," ")))))</f>
        <v xml:space="preserve"> </v>
      </c>
      <c r="U118" s="45"/>
      <c r="V118" s="434" t="str">
        <f t="shared" ref="V118" si="319">IF(T118="А1",$AX$7,IF(T118="Б2",$AX$6,IF(T118="Б1",$AY$7,IF(T118="А2",$AY$6,IF(T118="Х","Х",IF(T118&lt;6," "," "))))))</f>
        <v xml:space="preserve"> </v>
      </c>
      <c r="W118" s="41"/>
      <c r="X118" s="434" t="str">
        <f t="shared" ref="X118" si="320">IF(T118="Х","Х",IF(ISBLANK(W118),"",IF(W118&gt;2.5," ",IF(B118=AZ$6,AZ$7,AZ$6))))</f>
        <v/>
      </c>
      <c r="Y118" s="42"/>
      <c r="Z118" s="463" t="b">
        <f>IF(H118="Х","1",IF(J118="Х","2",IF(L118="Х","3",IF(N118="Х","4",IF(P118="Х","5",IF(R118="Х","6",IF(T118="Х","7",IF(V118="Х","8"))))))))</f>
        <v>0</v>
      </c>
      <c r="AA118" s="461">
        <f>SUM(G118+I118+K118+M118+O118+Q118+S118+U118+W118+Y118)</f>
        <v>0</v>
      </c>
      <c r="AB118" s="426">
        <f t="shared" ref="AB118" si="321">AD118+0</f>
        <v>20607</v>
      </c>
      <c r="AC118" s="383">
        <f>AB118</f>
        <v>20607</v>
      </c>
      <c r="AD118" s="384" t="str">
        <f>COUNTIF(AE$6:AE$119,"&gt;"&amp;AE$6:AE$119)+1&amp;REPT("-"&amp;COUNTIF(AE$6:AE$119,"&gt;="&amp;AE$6:AE$119),COUNTIF(AE$6:AE$119,AE118)&gt;1)</f>
        <v>6-56</v>
      </c>
      <c r="AE118" s="385">
        <f t="shared" si="220"/>
        <v>80</v>
      </c>
      <c r="AF118" s="387" t="str">
        <f>IF(OR(F118="Х",F118="св")," ",IF(AND(G118&gt;=0,G118&lt;3),"1"," "))</f>
        <v>1</v>
      </c>
      <c r="AG118" s="387" t="str">
        <f>IF(OR(H118="Х",H118="св")," ",IF(AND(I118&gt;=0,I118&lt;3),"1"," "))</f>
        <v>1</v>
      </c>
      <c r="AH118" s="387" t="str">
        <f>IF(OR(J118="Х",J118="св")," ",IF(AND(K118&gt;=0,K118&lt;3),"1"," "))</f>
        <v>1</v>
      </c>
      <c r="AI118" s="387" t="str">
        <f>IF(OR(L118="Х",L118="св")," ",IF(AND(M118&gt;=0,M118&lt;3),"1"," "))</f>
        <v>1</v>
      </c>
      <c r="AJ118" s="387" t="str">
        <f>IF(OR(N118="Х",N118="св")," ",IF(AND(O118&gt;=0,O118&lt;3),"1"," "))</f>
        <v>1</v>
      </c>
      <c r="AK118" s="387" t="str">
        <f>IF(OR(P118="Х",P118="св")," ",IF(AND(Q118&gt;=0,Q118&lt;3),"1"," "))</f>
        <v>1</v>
      </c>
      <c r="AL118" s="387" t="str">
        <f>IF(OR(R118="Х",R118="св")," ",IF(AND(S118&gt;=0,S118&lt;3),"1"," "))</f>
        <v>1</v>
      </c>
      <c r="AM118" s="387" t="str">
        <f>IF(OR(T118="Х",T118="св")," ",IF(AND(U118&gt;=0,U118&lt;3),"1"," "))</f>
        <v>1</v>
      </c>
      <c r="AN118" s="388">
        <f t="shared" ref="AN118" si="322">COUNTIF(AF118:AM119,1)</f>
        <v>8</v>
      </c>
      <c r="AO118" s="390">
        <f>AE118-AA118</f>
        <v>80</v>
      </c>
      <c r="AP118" s="391">
        <f t="shared" si="195"/>
        <v>0</v>
      </c>
      <c r="AQ118" s="384" t="str">
        <f>COUNTIF(AE$6:AE$119,"&gt;"&amp;AE$6:AE$119)+1&amp;REPT("-"&amp;COUNTIF(AE$6:AE$119,"&gt;="&amp;AE$6:AE$119),COUNTIF(AE$6:AE$119,AE118)&gt;1)</f>
        <v>6-56</v>
      </c>
      <c r="AR118" s="392"/>
      <c r="AS118" s="183"/>
      <c r="AT118" s="183"/>
      <c r="AU118" s="183"/>
      <c r="AV118" s="383">
        <f t="shared" si="236"/>
        <v>56</v>
      </c>
      <c r="BU118" s="374">
        <f>IF(J118="х"," ",B118)</f>
        <v>56</v>
      </c>
      <c r="BV118" s="374">
        <f>IF(L118="х"," ",B118)</f>
        <v>56</v>
      </c>
      <c r="BW118" s="374" t="str">
        <f>IF(BV118=" "," ",L118)</f>
        <v xml:space="preserve"> </v>
      </c>
      <c r="BX118" s="374" t="str">
        <f>IF(BU118=" "," ",J118)</f>
        <v xml:space="preserve"> </v>
      </c>
      <c r="BY118" s="61">
        <f>IF(BU118&lt;BX118,BU118,0)</f>
        <v>56</v>
      </c>
      <c r="BZ118" s="61">
        <f t="shared" si="253"/>
        <v>56</v>
      </c>
      <c r="CB118">
        <f>IF(BV118&lt;BW118,BV118,0)</f>
        <v>56</v>
      </c>
      <c r="CC118" s="125">
        <f t="shared" si="189"/>
        <v>56</v>
      </c>
      <c r="CF118" s="374">
        <f>IF(N118="х"," ",B118)</f>
        <v>56</v>
      </c>
      <c r="CG118" s="374" t="str">
        <f>IF(CF118=" "," ",N118)</f>
        <v xml:space="preserve"> </v>
      </c>
      <c r="CH118" s="125">
        <f>IF(CF118&lt;CG118,CF118,0)</f>
        <v>56</v>
      </c>
      <c r="CI118">
        <f t="shared" si="196"/>
        <v>56</v>
      </c>
      <c r="CL118" s="374">
        <f>IF(P118="х"," ",B118)</f>
        <v>56</v>
      </c>
      <c r="CM118" s="374" t="str">
        <f>IF(CL118=" "," ",P118)</f>
        <v xml:space="preserve"> </v>
      </c>
      <c r="CN118">
        <f>IF(CL118&lt;CM118,CL118,0)</f>
        <v>56</v>
      </c>
      <c r="CO118">
        <f t="shared" si="190"/>
        <v>56</v>
      </c>
      <c r="CR118" s="374">
        <f t="shared" ref="CR118" si="323">IF(R118="х"," ",B118)</f>
        <v>56</v>
      </c>
      <c r="CS118" s="374" t="str">
        <f t="shared" ref="CS118" si="324">IF(CR118=" "," ",R118)</f>
        <v xml:space="preserve"> </v>
      </c>
      <c r="CT118">
        <f>IF(CR118&lt;CS118,CR118,0)</f>
        <v>56</v>
      </c>
      <c r="CU118">
        <f t="shared" si="191"/>
        <v>56</v>
      </c>
    </row>
    <row r="119" spans="1:100" ht="12" hidden="1" customHeight="1" thickBot="1">
      <c r="A119" s="198"/>
      <c r="B119" s="412"/>
      <c r="C119" s="421"/>
      <c r="D119" s="423"/>
      <c r="E119" s="425"/>
      <c r="F119" s="438"/>
      <c r="G119" s="44"/>
      <c r="H119" s="435"/>
      <c r="I119" s="44"/>
      <c r="J119" s="435"/>
      <c r="K119" s="44"/>
      <c r="L119" s="435"/>
      <c r="M119" s="44"/>
      <c r="N119" s="435"/>
      <c r="O119" s="44"/>
      <c r="P119" s="435"/>
      <c r="Q119" s="44"/>
      <c r="R119" s="435"/>
      <c r="S119" s="44"/>
      <c r="T119" s="435"/>
      <c r="U119" s="47"/>
      <c r="V119" s="435"/>
      <c r="W119" s="44"/>
      <c r="X119" s="435"/>
      <c r="Y119" s="44"/>
      <c r="Z119" s="419"/>
      <c r="AA119" s="462"/>
      <c r="AB119" s="427"/>
      <c r="AC119" s="383"/>
      <c r="AD119" s="384"/>
      <c r="AE119" s="386"/>
      <c r="AF119" s="387"/>
      <c r="AG119" s="387"/>
      <c r="AH119" s="387"/>
      <c r="AI119" s="387"/>
      <c r="AJ119" s="387"/>
      <c r="AK119" s="387"/>
      <c r="AL119" s="387"/>
      <c r="AM119" s="387"/>
      <c r="AN119" s="389"/>
      <c r="AO119" s="384"/>
      <c r="AP119" s="391"/>
      <c r="AQ119" s="384"/>
      <c r="AR119" s="392"/>
      <c r="AS119" s="183"/>
      <c r="AT119" s="183"/>
      <c r="AU119" s="183"/>
      <c r="AV119" s="383"/>
      <c r="BU119" s="374"/>
      <c r="BV119" s="374"/>
      <c r="BW119" s="374"/>
      <c r="BX119" s="374"/>
      <c r="BY119" s="61" t="str">
        <f>IF(BY118&gt;=1,BX118,0)</f>
        <v xml:space="preserve"> </v>
      </c>
      <c r="BZ119" s="61" t="str">
        <f t="shared" si="253"/>
        <v xml:space="preserve"> </v>
      </c>
      <c r="CB119" t="str">
        <f>IF(CB118&gt;=1,BW118,0)</f>
        <v xml:space="preserve"> </v>
      </c>
      <c r="CC119" s="125" t="str">
        <f t="shared" si="189"/>
        <v xml:space="preserve"> </v>
      </c>
      <c r="CF119" s="374"/>
      <c r="CG119" s="374"/>
      <c r="CH119" s="125" t="str">
        <f>IF(CH118&gt;=1,CG118,0)</f>
        <v xml:space="preserve"> </v>
      </c>
      <c r="CI119" t="str">
        <f t="shared" si="196"/>
        <v xml:space="preserve"> </v>
      </c>
      <c r="CL119" s="374"/>
      <c r="CM119" s="374"/>
      <c r="CN119" t="str">
        <f>IF(CN118&gt;=1,CM118,0)</f>
        <v xml:space="preserve"> </v>
      </c>
      <c r="CO119" t="str">
        <f t="shared" si="190"/>
        <v xml:space="preserve"> </v>
      </c>
      <c r="CR119" s="374"/>
      <c r="CS119" s="374"/>
      <c r="CT119" t="str">
        <f>IF(CT118&gt;=1,CS118,0)</f>
        <v xml:space="preserve"> </v>
      </c>
      <c r="CU119" t="str">
        <f t="shared" si="191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2:AB1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8:X9 X14:X119">
    <cfRule type="containsErrors" dxfId="67" priority="67">
      <formula>ISERROR(X8)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8:Y9 F14:Y119 F6:W7 Y6:Y7 F10:W11 Y10:Y11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C6" sqref="C6:H10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3" t="s">
        <v>64</v>
      </c>
      <c r="B1" s="483"/>
      <c r="C1" s="483"/>
      <c r="D1" s="483"/>
      <c r="E1" s="483"/>
      <c r="F1" s="483"/>
      <c r="G1" s="483"/>
      <c r="H1" s="483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Пермский</v>
      </c>
    </row>
    <row r="2" spans="1:49" ht="55.5" customHeight="1" thickBot="1">
      <c r="A2" s="403" t="s">
        <v>161</v>
      </c>
      <c r="B2" s="403"/>
      <c r="C2" s="403"/>
      <c r="D2" s="484" t="str">
        <f>[4]реквизиты!$A$2</f>
        <v>ВСЕРОССИЙСКИЕ СОРЕВНОВАНИЯ ПО САМБО "ПАМЯТЬ" СРЕДИ МУЖЧИН И ЖЕНЩИН</v>
      </c>
      <c r="E2" s="485"/>
      <c r="F2" s="485"/>
      <c r="G2" s="485"/>
      <c r="H2" s="486"/>
      <c r="I2" s="26"/>
      <c r="M2" s="374">
        <f>SUMIF(J14:J16,O1,$K$14:$K$17)</f>
        <v>0</v>
      </c>
      <c r="N2" s="374"/>
      <c r="O2" s="374"/>
      <c r="P2" s="374"/>
      <c r="Q2" s="374"/>
      <c r="AC2" s="509" t="s">
        <v>107</v>
      </c>
      <c r="AD2" s="509"/>
      <c r="AE2" s="509"/>
      <c r="AF2" s="509"/>
      <c r="AG2" s="509"/>
      <c r="AH2" s="509"/>
    </row>
    <row r="3" spans="1:49" ht="25.5" customHeight="1" thickBot="1">
      <c r="B3" s="27"/>
      <c r="C3" s="492" t="str">
        <f>[4]реквизиты!$A$3</f>
        <v>29-31 марта  2019 года                          г.Екатеринбург</v>
      </c>
      <c r="D3" s="492"/>
      <c r="E3" s="492"/>
      <c r="F3" s="492"/>
      <c r="G3" s="493"/>
      <c r="H3" s="50" t="str">
        <f>пр.взв!$D$4</f>
        <v>В.к. 68 кг.</v>
      </c>
      <c r="I3" s="27"/>
      <c r="AW3">
        <v>7</v>
      </c>
    </row>
    <row r="4" spans="1:49" ht="12.75" customHeight="1" thickBot="1">
      <c r="A4" s="487" t="s">
        <v>22</v>
      </c>
      <c r="B4" s="489" t="s">
        <v>5</v>
      </c>
      <c r="C4" s="491" t="s">
        <v>2</v>
      </c>
      <c r="D4" s="491" t="s">
        <v>3</v>
      </c>
      <c r="E4" s="496" t="s">
        <v>4</v>
      </c>
      <c r="F4" s="497"/>
      <c r="G4" s="491" t="s">
        <v>8</v>
      </c>
      <c r="H4" s="494" t="s">
        <v>9</v>
      </c>
      <c r="J4" s="507" t="str">
        <f>IFERROR(LEFT(F6,FIND(",",F6)-1),F6)</f>
        <v>Свердловская</v>
      </c>
      <c r="K4" s="508">
        <v>1</v>
      </c>
      <c r="L4" s="505" t="s">
        <v>87</v>
      </c>
      <c r="M4" s="510" t="s">
        <v>65</v>
      </c>
      <c r="N4" s="513"/>
      <c r="O4" s="514"/>
      <c r="P4" s="514"/>
      <c r="Q4" s="515"/>
      <c r="V4" s="505" t="s">
        <v>87</v>
      </c>
      <c r="W4" s="510" t="s">
        <v>65</v>
      </c>
      <c r="X4" s="502"/>
      <c r="Y4" s="503"/>
      <c r="Z4" s="503"/>
      <c r="AA4" s="504"/>
      <c r="AC4" s="505" t="s">
        <v>87</v>
      </c>
      <c r="AD4" s="510" t="s">
        <v>65</v>
      </c>
      <c r="AE4" s="502"/>
      <c r="AF4" s="503"/>
      <c r="AG4" s="503"/>
      <c r="AH4" s="504"/>
    </row>
    <row r="5" spans="1:49" ht="16" thickBot="1">
      <c r="A5" s="488"/>
      <c r="B5" s="490"/>
      <c r="C5" s="490"/>
      <c r="D5" s="490"/>
      <c r="E5" s="498"/>
      <c r="F5" s="499"/>
      <c r="G5" s="490"/>
      <c r="H5" s="495"/>
      <c r="J5" s="507"/>
      <c r="K5" s="508"/>
      <c r="L5" s="506"/>
      <c r="M5" s="51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6"/>
      <c r="W5" s="511"/>
      <c r="X5" s="105">
        <v>1</v>
      </c>
      <c r="Y5" s="106">
        <v>2</v>
      </c>
      <c r="Z5" s="106">
        <v>3</v>
      </c>
      <c r="AA5" s="107">
        <v>5</v>
      </c>
      <c r="AC5" s="506"/>
      <c r="AD5" s="511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3</v>
      </c>
      <c r="C6" s="196" t="str">
        <f>VLOOKUP(B6,пр.взв!B$7:H$120,2,FALSE)</f>
        <v>СУСЛОВА Екатерина Алексеевна</v>
      </c>
      <c r="D6" s="196" t="str">
        <f>VLOOKUP(B6,пр.взв!B$7:H$120,3,FALSE)</f>
        <v>09.04.98, КМС</v>
      </c>
      <c r="E6" s="196" t="str">
        <f>VLOOKUP(B6,пр.взв!B$7:H$120,4,FALSE)</f>
        <v>УФО</v>
      </c>
      <c r="F6" s="191" t="str">
        <f>VLOOKUP(B6,пр.взв!B$7:H$120,5,FALSE)</f>
        <v>Свердловская, Н-Тагил, СШ№3</v>
      </c>
      <c r="G6" s="192">
        <f>VLOOKUP(B6,пр.взв!B$7:H$120,6,FALSE)</f>
        <v>0</v>
      </c>
      <c r="H6" s="191" t="str">
        <f>VLOOKUP(B6,пр.взв!B$7:H$120,7,FALSE)</f>
        <v>Алдушин А.И.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1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1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1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</v>
      </c>
      <c r="C7" s="191" t="str">
        <f>VLOOKUP(B7,пр.взв!B$7:H$120,2,FALSE)</f>
        <v>ШАРКУНОВА Дарья Владимировна</v>
      </c>
      <c r="D7" s="191" t="str">
        <f>VLOOKUP(B7,пр.взв!B$7:H$120,3,FALSE)</f>
        <v>31.01.99, КМС</v>
      </c>
      <c r="E7" s="191" t="str">
        <f>VLOOKUP(B7,пр.взв!B$7:H$120,4,FALSE)</f>
        <v>УФО</v>
      </c>
      <c r="F7" s="191" t="str">
        <f>VLOOKUP(B7,пр.взв!B$7:H$120,5,FALSE)</f>
        <v>Свердловская, Ирбит, ДЮСШ</v>
      </c>
      <c r="G7" s="192">
        <f>VLOOKUP(B7,пр.взв!B$7:H$120,6,FALSE)</f>
        <v>0</v>
      </c>
      <c r="H7" s="191" t="str">
        <f>VLOOKUP(B7,пр.взв!B$7:H$120,7,FALSE)</f>
        <v>Шевчук П.Н.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 xml:space="preserve"> 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СУТОРМИНА Анастасия Евгеньевна</v>
      </c>
      <c r="D8" s="191" t="str">
        <f>VLOOKUP(B8,пр.взв!B$7:H$120,3,FALSE)</f>
        <v>15.11.00, КМС</v>
      </c>
      <c r="E8" s="191" t="str">
        <f>VLOOKUP(B8,пр.взв!B$7:H$120,4,FALSE)</f>
        <v>УФО</v>
      </c>
      <c r="F8" s="191" t="str">
        <f>VLOOKUP(B8,пр.взв!B$7:H$120,5,FALSE)</f>
        <v>Свердловская, Екатеринбург,ДЮСК Алый Парус</v>
      </c>
      <c r="G8" s="192">
        <f>VLOOKUP(B8,пр.взв!B$7:H$120,6,FALSE)</f>
        <v>0</v>
      </c>
      <c r="H8" s="191" t="str">
        <f>VLOOKUP(B8,пр.взв!B$7:H$120,7,FALSE)</f>
        <v>Еремеева Н.В.,Даутов А.Р.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Пермский</v>
      </c>
      <c r="U8" t="str">
        <f>IF(OR(S8=" ",S7=" "),S9,S8)</f>
        <v xml:space="preserve"> </v>
      </c>
      <c r="V8" s="115">
        <v>3</v>
      </c>
      <c r="W8" s="113" t="e">
        <f>IF(OR(U8=" ",U7=" "),U9,U8)</f>
        <v>#N/A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1</v>
      </c>
      <c r="AC8" s="115">
        <v>3</v>
      </c>
      <c r="AD8" s="113" t="e">
        <f t="shared" si="7"/>
        <v>#N/A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1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5</v>
      </c>
      <c r="C9" s="191" t="str">
        <f>VLOOKUP(B9,пр.взв!B$7:H$120,2,FALSE)</f>
        <v>ГОРДЕЕВА Софья Александровна</v>
      </c>
      <c r="D9" s="191" t="str">
        <f>VLOOKUP(B9,пр.взв!B$7:H$120,3,FALSE)</f>
        <v>26.04.96, КМС</v>
      </c>
      <c r="E9" s="191" t="str">
        <f>VLOOKUP(B9,пр.взв!B$7:H$120,4,FALSE)</f>
        <v>ПФО</v>
      </c>
      <c r="F9" s="191" t="str">
        <f>VLOOKUP(B9,пр.взв!B$7:H$120,5,FALSE)</f>
        <v>Пермский, Пермь, МО</v>
      </c>
      <c r="G9" s="192">
        <f>VLOOKUP(B9,пр.взв!B$7:H$120,6,FALSE)</f>
        <v>0</v>
      </c>
      <c r="H9" s="191" t="str">
        <f>VLOOKUP(B9,пр.взв!B$7:H$120,7,FALSE)</f>
        <v>Газеев А.Г.</v>
      </c>
      <c r="J9" s="239"/>
      <c r="K9" s="239"/>
      <c r="L9" s="63">
        <v>4</v>
      </c>
      <c r="M9" s="64" t="str">
        <f>IF(OR(J12=J4,J12=J8,J12=J10)," ",J12)</f>
        <v>Пермский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 xml:space="preserve"> 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1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1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2</v>
      </c>
      <c r="C10" s="191" t="str">
        <f>VLOOKUP(B10,пр.взв!B$7:H$120,2,FALSE)</f>
        <v>ЛУТФУЛЛИНА Эльвина Фанилевна</v>
      </c>
      <c r="D10" s="191" t="str">
        <f>VLOOKUP(B10,пр.взв!B$7:H$120,3,FALSE)</f>
        <v>24.02.97, КМС</v>
      </c>
      <c r="E10" s="191" t="str">
        <f>VLOOKUP(B10,пр.взв!B$7:H$120,4,FALSE)</f>
        <v>УФО</v>
      </c>
      <c r="F10" s="191" t="str">
        <f>VLOOKUP(B10,пр.взв!B$7:H$120,5,FALSE)</f>
        <v>Свердловская, Екатеринбург, СШОР ПО САМБО И ДЗЮДО</v>
      </c>
      <c r="G10" s="192">
        <f>VLOOKUP(B10,пр.взв!B$7:H$120,6,FALSE)</f>
        <v>0</v>
      </c>
      <c r="H10" s="191" t="str">
        <f>VLOOKUP(B10,пр.взв!B$7:H$120,7,FALSE)</f>
        <v>Старков А.А.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e">
        <f>IF(OR(M7=" ",M8=" ",M9=" ",M10=" "),M11,M10)</f>
        <v>#N/A</v>
      </c>
      <c r="U10" t="str">
        <f>IF(OR(S7=" ",S8=" ",S9=" ")," ",S10)</f>
        <v xml:space="preserve"> 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1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1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1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1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Пермский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5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5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0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1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6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7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1</v>
      </c>
      <c r="C5" s="296" t="str">
        <f ca="1">IFERROR(VLOOKUP(B5,пр.взв!$B$7:$H$76,2,0),"")</f>
        <v>ШАРКУНОВА Дарья Владимировна</v>
      </c>
      <c r="D5" s="298" t="str">
        <f ca="1">IFERROR(VLOOKUP(B5,пр.взв!$B$7:$H$76,3,0),"")</f>
        <v>31.01.99,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Свердловская, Ирбит, ДЮСШ</v>
      </c>
      <c r="G5" s="302" t="s">
        <v>185</v>
      </c>
      <c r="H5" s="302"/>
      <c r="I5" s="304"/>
      <c r="J5" s="306"/>
      <c r="L5" s="308">
        <f ca="1">пр.хода!AY11</f>
        <v>4</v>
      </c>
      <c r="M5" s="296" t="str">
        <f ca="1">IFERROR(VLOOKUP(L5,пр.взв!$B$7:$H$76,2,0),"")</f>
        <v>СУТОРМИНА Анастасия Евгеньевна</v>
      </c>
      <c r="N5" s="298" t="str">
        <f ca="1">IFERROR(VLOOKUP(L5,пр.взв!$B$7:$H$76,3,0),"")</f>
        <v>15.11.00,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Екатеринбург,ДЮСК Алый Парус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 t="str">
        <f ca="1">пр.хода!$AX11</f>
        <v xml:space="preserve"> </v>
      </c>
      <c r="C7" s="311" t="str">
        <f ca="1">IFERROR(VLOOKUP(B7,пр.взв!$B$7:$H$76,2,0),"")</f>
        <v/>
      </c>
      <c r="D7" s="313" t="str">
        <f ca="1">IFERROR(VLOOKUP(B7,пр.взв!$B$7:$H$76,3,0),"")</f>
        <v/>
      </c>
      <c r="E7" s="313" t="str">
        <f ca="1">IFERROR(VLOOKUP(B7,пр.взв!$B$7:$H$76,4,0),"")</f>
        <v/>
      </c>
      <c r="F7" s="313" t="str">
        <f ca="1">IFERROR(VLOOKUP(B7,пр.взв!$B$7:$H$76,5,0),"")</f>
        <v/>
      </c>
      <c r="G7" s="303"/>
      <c r="H7" s="303"/>
      <c r="I7" s="305"/>
      <c r="J7" s="307"/>
      <c r="L7" s="309">
        <f ca="1">пр.хода!AZ11</f>
        <v>5</v>
      </c>
      <c r="M7" s="311" t="str">
        <f ca="1">IFERROR(VLOOKUP(L7,пр.взв!$B$7:$H$76,2,0),"")</f>
        <v>ГОРДЕЕВА Софья Александровна</v>
      </c>
      <c r="N7" s="313" t="str">
        <f ca="1">IFERROR(VLOOKUP(L7,пр.взв!$B$7:$H$76,3,0),"")</f>
        <v>26.04.96,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пр.хода!$AW14</f>
        <v>2</v>
      </c>
      <c r="C9" s="319" t="str">
        <f ca="1">IFERROR(VLOOKUP(B9,пр.взв!$B$7:$H$76,2,0),"")</f>
        <v>ЛУТФУЛЛИНА Эльвина Фанилевна</v>
      </c>
      <c r="D9" s="300" t="str">
        <f ca="1">IFERROR(VLOOKUP(B9,пр.взв!$B$7:$H$76,3,0),"")</f>
        <v>24.02.97, КМС</v>
      </c>
      <c r="E9" s="300" t="str">
        <f ca="1">IFERROR(VLOOKUP(B9,пр.взв!$B$7:$H$76,4,0),"")</f>
        <v>УФО</v>
      </c>
      <c r="F9" s="300" t="str">
        <f ca="1">IFERROR(VLOOKUP(B9,пр.взв!$B$7:$H$76,5,0),"")</f>
        <v>Свердловская, Екатеринбург, СШОР ПО САМБО И ДЗЮДО</v>
      </c>
      <c r="G9" s="302"/>
      <c r="H9" s="302"/>
      <c r="I9" s="304"/>
      <c r="J9" s="306"/>
      <c r="L9" s="308" t="str">
        <f ca="1">пр.хода!AY14</f>
        <v xml:space="preserve"> 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пр.хода!$AX14</f>
        <v>3</v>
      </c>
      <c r="C11" s="311" t="str">
        <f ca="1">IFERROR(VLOOKUP(B11,пр.взв!$B$7:$H$76,2,0),"")</f>
        <v>СУСЛОВА Екатерина Алексеевна</v>
      </c>
      <c r="D11" s="313" t="str">
        <f ca="1">IFERROR(VLOOKUP(B11,пр.взв!$B$7:$H$76,3,0),"")</f>
        <v>09.04.98, КМС</v>
      </c>
      <c r="E11" s="313" t="str">
        <f ca="1">IFERROR(VLOOKUP(B11,пр.взв!$B$7:$H$76,4,0),"")</f>
        <v>УФО</v>
      </c>
      <c r="F11" s="313" t="str">
        <f ca="1">IFERROR(VLOOKUP(B11,пр.взв!$B$7:$H$76,5,0),"")</f>
        <v>Свердловская, Н-Тагил, СШ№3</v>
      </c>
      <c r="G11" s="303"/>
      <c r="H11" s="303"/>
      <c r="I11" s="305"/>
      <c r="J11" s="307"/>
      <c r="L11" s="309" t="str">
        <f ca="1">пр.хода!AZ14</f>
        <v xml:space="preserve"> 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пр.хода!$AW15</f>
        <v>0</v>
      </c>
      <c r="C13" s="319" t="str">
        <f ca="1">IFERROR(VLOOKUP(B13,пр.взв!$B$7:$H$76,2,0),"")</f>
        <v/>
      </c>
      <c r="D13" s="300" t="str">
        <f ca="1">IFERROR(VLOOKUP(B13,пр.взв!$B$7:$H$76,3,0),"")</f>
        <v/>
      </c>
      <c r="E13" s="300" t="str">
        <f ca="1">IFERROR(VLOOKUP(B13,пр.взв!$B$7:$H$76,4,0),"")</f>
        <v/>
      </c>
      <c r="F13" s="300" t="str">
        <f ca="1">IFERROR(VLOOKUP(B13,пр.взв!$B$7:$H$76,5,0),"")</f>
        <v/>
      </c>
      <c r="G13" s="302"/>
      <c r="H13" s="302"/>
      <c r="I13" s="304"/>
      <c r="J13" s="306"/>
      <c r="L13" s="308" t="str">
        <f ca="1">пр.хода!AY15</f>
        <v xml:space="preserve"> 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пр.хода!$AX15</f>
        <v>0</v>
      </c>
      <c r="C15" s="325" t="str">
        <f ca="1">IFERROR(VLOOKUP(B15,пр.взв!$B$7:$H$76,2,0),"")</f>
        <v/>
      </c>
      <c r="D15" s="327" t="str">
        <f ca="1">IFERROR(VLOOKUP(B15,пр.взв!$B$7:$H$76,3,0),"")</f>
        <v/>
      </c>
      <c r="E15" s="327" t="str">
        <f ca="1">IFERROR(VLOOKUP(B15,пр.взв!$B$7:$H$76,4,0),"")</f>
        <v/>
      </c>
      <c r="F15" s="327" t="str">
        <f ca="1">IFERROR(VLOOKUP(B15,пр.взв!$B$7:$H$76,5,0),"")</f>
        <v/>
      </c>
      <c r="G15" s="303"/>
      <c r="H15" s="303"/>
      <c r="I15" s="305"/>
      <c r="J15" s="307"/>
      <c r="L15" s="309" t="b">
        <f ca="1">пр.хода!AZ15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 ht="12.75" customHeight="1">
      <c r="A17" s="271"/>
      <c r="B17" s="294">
        <f ca="1">пр.хода!$AW16</f>
        <v>4</v>
      </c>
      <c r="C17" s="329" t="str">
        <f ca="1">IFERROR(VLOOKUP(B17,пр.взв!$B$7:$H$76,2,0),"")</f>
        <v>СУТОРМИНА Анастасия Евгеньевна</v>
      </c>
      <c r="D17" s="331" t="str">
        <f ca="1">IFERROR(VLOOKUP(B17,пр.взв!$B$7:$H$76,3,0),"")</f>
        <v>15.11.00, КМС</v>
      </c>
      <c r="E17" s="331" t="str">
        <f ca="1">IFERROR(VLOOKUP(B17,пр.взв!$B$7:$H$76,4,0),"")</f>
        <v>УФО</v>
      </c>
      <c r="F17" s="331" t="str">
        <f ca="1">IFERROR(VLOOKUP(B17,пр.взв!$B$7:$H$76,5,0),"")</f>
        <v>Свердловская, Екатеринбург,ДЮСК Алый Парус</v>
      </c>
      <c r="G17" s="302"/>
      <c r="H17" s="302"/>
      <c r="I17" s="304"/>
      <c r="J17" s="306"/>
      <c r="L17" s="308" t="b">
        <f ca="1">пр.хода!AY16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 ht="12.75" customHeight="1">
      <c r="A19" s="271"/>
      <c r="B19" s="295">
        <f ca="1">пр.хода!$AX16</f>
        <v>5</v>
      </c>
      <c r="C19" s="325" t="str">
        <f ca="1">IFERROR(VLOOKUP(B19,пр.взв!$B$7:$H$76,2,0),"")</f>
        <v>ГОРДЕЕВА Софья Александровна</v>
      </c>
      <c r="D19" s="327" t="str">
        <f ca="1">IFERROR(VLOOKUP(B19,пр.взв!$B$7:$H$76,3,0),"")</f>
        <v>26.04.96, КМС</v>
      </c>
      <c r="E19" s="327" t="str">
        <f ca="1">IFERROR(VLOOKUP(B19,пр.взв!$B$7:$H$76,4,0),"")</f>
        <v>ПФО</v>
      </c>
      <c r="F19" s="327" t="str">
        <f ca="1">IFERROR(VLOOKUP(B19,пр.взв!$B$7:$H$76,5,0),"")</f>
        <v>Пермский, Пермь, МО</v>
      </c>
      <c r="G19" s="303"/>
      <c r="H19" s="303"/>
      <c r="I19" s="305"/>
      <c r="J19" s="307"/>
      <c r="L19" s="309" t="b">
        <f ca="1">пр.хода!AZ16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 ht="12.75" customHeight="1">
      <c r="A21" s="271"/>
      <c r="B21" s="294" t="str">
        <f ca="1">пр.хода!$AW17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пр.хода!AY17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 ht="12.75" customHeight="1">
      <c r="A23" s="271"/>
      <c r="B23" s="295" t="str">
        <f ca="1">пр.хода!$AX17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пр.хода!AZ17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пр.хода!$AW18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пр.хода!AY18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 t="str">
        <f ca="1">пр.хода!$AX18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пр.хода!AZ18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пр.хода!$AW19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пр.хода!AY19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пр.хода!$AX19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пр.хода!AZ19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пр.хода!AY20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пр.хода!AZ20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пр.хода!$AW21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пр.хода!AY21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пр.хода!$AX21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пр.хода!AZ21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пр.хода!$AW22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пр.хода!AY22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пр.хода!$AX22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пр.хода!AZ22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пр.хода!$AW23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пр.хода!AY23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пр.хода!$AX23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пр.хода!AZ23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пр.хода!$AW24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пр.хода!AY24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пр.хода!$AX24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пр.хода!AZ24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пр.хода!$AW25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пр.хода!AY25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пр.хода!$AX25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пр.хода!AZ25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5"/>
      <c r="H61" s="525"/>
      <c r="I61" s="516"/>
      <c r="J61" s="518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5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7"/>
      <c r="J62" s="519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7"/>
      <c r="J63" s="519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2"/>
      <c r="J64" s="523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4"/>
      <c r="H65" s="525"/>
      <c r="I65" s="516"/>
      <c r="J65" s="518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4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0"/>
      <c r="H66" s="339"/>
      <c r="I66" s="517"/>
      <c r="J66" s="519"/>
      <c r="K66" s="91"/>
      <c r="L66" s="295"/>
      <c r="M66" s="320"/>
      <c r="N66" s="301"/>
      <c r="O66" s="301"/>
      <c r="P66" s="301"/>
      <c r="Q66" s="520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0"/>
      <c r="H67" s="339"/>
      <c r="I67" s="517"/>
      <c r="J67" s="519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0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1"/>
      <c r="H68" s="340"/>
      <c r="I68" s="522"/>
      <c r="J68" s="523"/>
      <c r="K68" s="91"/>
      <c r="L68" s="338"/>
      <c r="M68" s="312"/>
      <c r="N68" s="314"/>
      <c r="O68" s="314"/>
      <c r="P68" s="314"/>
      <c r="Q68" s="521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6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27"/>
      <c r="F4" s="281"/>
      <c r="G4" s="275"/>
      <c r="H4" s="277"/>
      <c r="I4" s="275"/>
      <c r="J4" s="283"/>
      <c r="L4" s="285"/>
      <c r="M4" s="287"/>
      <c r="N4" s="289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пр.хода!BB11</f>
        <v>1</v>
      </c>
      <c r="C5" s="296" t="str">
        <f ca="1">IFERROR(VLOOKUP(B5,пр.взв!$B$7:$H$76,2,0),"")</f>
        <v>ШАРКУНОВА Дарья Владимировна</v>
      </c>
      <c r="D5" s="298" t="str">
        <f ca="1">IFERROR(VLOOKUP(B5,пр.взв!$B$7:$H$76,3,0),"")</f>
        <v>31.01.99,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Свердловская, Ирбит, ДЮСШ</v>
      </c>
      <c r="G5" s="302"/>
      <c r="H5" s="302"/>
      <c r="I5" s="304"/>
      <c r="J5" s="306"/>
      <c r="L5" s="308">
        <f ca="1">пр.хода!BD11</f>
        <v>4</v>
      </c>
      <c r="M5" s="296" t="str">
        <f ca="1">IFERROR(VLOOKUP(L5,пр.взв!$B$7:$H$76,2,0),"")</f>
        <v>СУТОРМИНА Анастасия Евгеньевна</v>
      </c>
      <c r="N5" s="298" t="str">
        <f ca="1">IFERROR(VLOOKUP(L5,пр.взв!$B$7:$H$76,3,0),"")</f>
        <v>15.11.00,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Екатеринбург,ДЮСК Алый Парус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3</v>
      </c>
      <c r="C7" s="311" t="str">
        <f ca="1">IFERROR(VLOOKUP(B7,пр.взв!$B$7:$H$76,2,0),"")</f>
        <v>СУСЛОВА Екатерина Алексеевна</v>
      </c>
      <c r="D7" s="313" t="str">
        <f ca="1">IFERROR(VLOOKUP(B7,пр.взв!$B$7:$H$76,3,0),"")</f>
        <v>09.04.98,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Н-Тагил, СШ№3</v>
      </c>
      <c r="G7" s="303"/>
      <c r="H7" s="303"/>
      <c r="I7" s="305"/>
      <c r="J7" s="307"/>
      <c r="L7" s="309">
        <f ca="1">пр.хода!BE11</f>
        <v>5</v>
      </c>
      <c r="M7" s="311" t="str">
        <f ca="1">IFERROR(VLOOKUP(L7,пр.взв!$B$7:$H$76,2,0),"")</f>
        <v>ГОРДЕЕВА Софья Александровна</v>
      </c>
      <c r="N7" s="313" t="str">
        <f ca="1">IFERROR(VLOOKUP(L7,пр.взв!$B$7:$H$76,3,0),"")</f>
        <v>26.04.96,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пр.хода!BD14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пр.хода!BE14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пр.хода!BB15</f>
        <v>4</v>
      </c>
      <c r="C13" s="319" t="str">
        <f ca="1">IFERROR(VLOOKUP(B13,пр.взв!$B$7:$H$76,2,0),"")</f>
        <v>СУТОРМИНА Анастасия Евгеньевна</v>
      </c>
      <c r="D13" s="300" t="str">
        <f ca="1">IFERROR(VLOOKUP(B13,пр.взв!$B$7:$H$76,3,0),"")</f>
        <v>15.11.00, КМС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Екатеринбург,ДЮСК Алый Парус</v>
      </c>
      <c r="G13" s="302"/>
      <c r="H13" s="302"/>
      <c r="I13" s="304"/>
      <c r="J13" s="306"/>
      <c r="L13" s="308" t="b">
        <f ca="1">пр.хода!BD15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пр.хода!BC15</f>
        <v>5</v>
      </c>
      <c r="C15" s="325" t="str">
        <f ca="1">IFERROR(VLOOKUP(B15,пр.взв!$B$7:$H$76,2,0),"")</f>
        <v>ГОРДЕЕВА Софья Александровна</v>
      </c>
      <c r="D15" s="327" t="str">
        <f ca="1">IFERROR(VLOOKUP(B15,пр.взв!$B$7:$H$76,3,0),"")</f>
        <v>26.04.96, КМС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пр.хода!BE15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пр.хода!BB16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пр.хода!BD16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пр.хода!BC16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пр.хода!BE16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пр.хода!BB17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пр.хода!BD17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пр.хода!BC17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пр.хода!BE17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пр.хода!BB18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пр.хода!BD18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пр.хода!BE18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пр.хода!BD20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пр.хода!BE20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пр.хода!BG15</f>
        <v>1</v>
      </c>
      <c r="C5" s="296" t="str">
        <f ca="1">IFERROR(VLOOKUP(B5,пр.взв!$B$7:$H$76,2,0),"")</f>
        <v>ШАРКУНОВА Дарья Владимировна</v>
      </c>
      <c r="D5" s="298" t="str">
        <f ca="1">IFERROR(VLOOKUP(B5,пр.взв!$B$7:$H$76,3,0),"")</f>
        <v>31.01.99,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Свердловская, Ирбит, ДЮСШ</v>
      </c>
      <c r="G5" s="302"/>
      <c r="H5" s="302"/>
      <c r="I5" s="304"/>
      <c r="J5" s="306"/>
      <c r="L5" s="308">
        <f ca="1">пр.хода!BI15</f>
        <v>4</v>
      </c>
      <c r="M5" s="296" t="str">
        <f ca="1">IFERROR(VLOOKUP(L5,пр.взв!$B$7:$H$76,2,0),"")</f>
        <v>СУТОРМИНА Анастасия Евгеньевна</v>
      </c>
      <c r="N5" s="298" t="str">
        <f ca="1">IFERROR(VLOOKUP(L5,пр.взв!$B$7:$H$76,3,0),"")</f>
        <v>15.11.00,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Екатеринбург,ДЮСК Алый Парус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пр.хода!BH15</f>
        <v>3</v>
      </c>
      <c r="C7" s="311" t="str">
        <f ca="1">IFERROR(VLOOKUP(B7,пр.взв!$B$7:$H$76,2,0),"")</f>
        <v>СУСЛОВА Екатерина Алексеевна</v>
      </c>
      <c r="D7" s="313" t="str">
        <f ca="1">IFERROR(VLOOKUP(B7,пр.взв!$B$7:$H$76,3,0),"")</f>
        <v>09.04.98,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Н-Тагил, СШ№3</v>
      </c>
      <c r="G7" s="303"/>
      <c r="H7" s="303"/>
      <c r="I7" s="305"/>
      <c r="J7" s="307"/>
      <c r="L7" s="309">
        <f ca="1">пр.хода!BJ15</f>
        <v>5</v>
      </c>
      <c r="M7" s="311" t="str">
        <f ca="1">IFERROR(VLOOKUP(L7,пр.взв!$B$7:$H$76,2,0),"")</f>
        <v>ГОРДЕЕВА Софья Александровна</v>
      </c>
      <c r="N7" s="313" t="str">
        <f ca="1">IFERROR(VLOOKUP(L7,пр.взв!$B$7:$H$76,3,0),"")</f>
        <v>26.04.96,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пр.хода!BI16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пр.хода!BG17</f>
        <v>4</v>
      </c>
      <c r="C13" s="319" t="str">
        <f ca="1">IFERROR(VLOOKUP(B13,пр.взв!$B$7:$H$76,2,0),"")</f>
        <v>СУТОРМИНА Анастасия Евгеньевна</v>
      </c>
      <c r="D13" s="300" t="str">
        <f ca="1">IFERROR(VLOOKUP(B13,пр.взв!$B$7:$H$76,3,0),"")</f>
        <v>15.11.00, КМС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Екатеринбург,ДЮСК Алый Парус</v>
      </c>
      <c r="G13" s="302"/>
      <c r="H13" s="302"/>
      <c r="I13" s="304"/>
      <c r="J13" s="306"/>
      <c r="L13" s="308" t="b">
        <f ca="1">пр.хода!BI17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пр.хода!BH17</f>
        <v>5</v>
      </c>
      <c r="C15" s="325" t="str">
        <f ca="1">IFERROR(VLOOKUP(B15,пр.взв!$B$7:$H$76,2,0),"")</f>
        <v>ГОРДЕЕВА Софья Александровна</v>
      </c>
      <c r="D15" s="327" t="str">
        <f ca="1">IFERROR(VLOOKUP(B15,пр.взв!$B$7:$H$76,3,0),"")</f>
        <v>26.04.96, КМС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пр.хода!BJ17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пр.хода!BG18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пр.хода!BI18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пр.хода!BH18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пр.хода!BJ18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пр.хода!BG19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пр.хода!BI19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пр.хода!BH19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пр.хода!BJ19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 t="str">
        <f ca="1">пр.хода!BG20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пр.хода!BI20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пр.хода!BH20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пр.хода!BJ20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>
      <c r="A5" s="271"/>
      <c r="B5" s="294">
        <f ca="1">пр.хода!BL15</f>
        <v>1</v>
      </c>
      <c r="C5" s="296" t="str">
        <f ca="1">IFERROR(VLOOKUP(B5,пр.взв!$B$7:$H$76,2,0),"")</f>
        <v>ШАРКУНОВА Дарья Владимировна</v>
      </c>
      <c r="D5" s="298" t="str">
        <f ca="1">IFERROR(VLOOKUP(B5,пр.взв!$B$7:$H$76,3,0),"")</f>
        <v>31.01.99,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Свердловская, Ирбит, ДЮСШ</v>
      </c>
      <c r="G5" s="302"/>
      <c r="H5" s="302"/>
      <c r="I5" s="304"/>
      <c r="J5" s="306"/>
      <c r="L5" s="308">
        <f ca="1">пр.хода!BN15</f>
        <v>4</v>
      </c>
      <c r="M5" s="296" t="str">
        <f ca="1">IFERROR(VLOOKUP(L5,пр.взв!$B$7:$H$76,2,0),"")</f>
        <v>СУТОРМИНА Анастасия Евгеньевна</v>
      </c>
      <c r="N5" s="298" t="str">
        <f ca="1">IFERROR(VLOOKUP(L5,пр.взв!$B$7:$H$76,3,0),"")</f>
        <v>15.11.00,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Екатеринбург,ДЮСК Алый Парус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пр.хода!BM15</f>
        <v>3</v>
      </c>
      <c r="C7" s="311" t="str">
        <f ca="1">IFERROR(VLOOKUP(B7,пр.взв!$B$7:$H$76,2,0),"")</f>
        <v>СУСЛОВА Екатерина Алексеевна</v>
      </c>
      <c r="D7" s="313" t="str">
        <f ca="1">IFERROR(VLOOKUP(B7,пр.взв!$B$7:$H$76,3,0),"")</f>
        <v>09.04.98,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Н-Тагил, СШ№3</v>
      </c>
      <c r="G7" s="303"/>
      <c r="H7" s="303"/>
      <c r="I7" s="305"/>
      <c r="J7" s="307"/>
      <c r="L7" s="309">
        <f ca="1">пр.хода!BO15</f>
        <v>5</v>
      </c>
      <c r="M7" s="311" t="str">
        <f ca="1">IFERROR(VLOOKUP(L7,пр.взв!$B$7:$H$76,2,0),"")</f>
        <v>ГОРДЕЕВА Софья Александровна</v>
      </c>
      <c r="N7" s="313" t="str">
        <f ca="1">IFERROR(VLOOKUP(L7,пр.взв!$B$7:$H$76,3,0),"")</f>
        <v>26.04.96,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пр.хода!BL17</f>
        <v>4</v>
      </c>
      <c r="C13" s="319" t="str">
        <f ca="1">IFERROR(VLOOKUP(B13,пр.взв!$B$7:$H$76,2,0),"")</f>
        <v>СУТОРМИНА Анастасия Евгеньевна</v>
      </c>
      <c r="D13" s="300" t="str">
        <f ca="1">IFERROR(VLOOKUP(B13,пр.взв!$B$7:$H$76,3,0),"")</f>
        <v>15.11.00, КМС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Екатеринбург,ДЮСК Алый Парус</v>
      </c>
      <c r="G13" s="302"/>
      <c r="H13" s="302"/>
      <c r="I13" s="304"/>
      <c r="J13" s="306"/>
      <c r="L13" s="308" t="b">
        <f ca="1">пр.хода!BN17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пр.хода!BM17</f>
        <v>5</v>
      </c>
      <c r="C15" s="325" t="str">
        <f ca="1">IFERROR(VLOOKUP(B15,пр.взв!$B$7:$H$76,2,0),"")</f>
        <v>ГОРДЕЕВА Софья Александровна</v>
      </c>
      <c r="D15" s="327" t="str">
        <f ca="1">IFERROR(VLOOKUP(B15,пр.взв!$B$7:$H$76,3,0),"")</f>
        <v>26.04.96, КМС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пр.хода!BO17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пр.хода!BL18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пр.хода!BM18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/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08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/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09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2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554"/>
      <c r="B3" s="561" t="s">
        <v>5</v>
      </c>
      <c r="C3" s="552" t="s">
        <v>2</v>
      </c>
      <c r="D3" s="550" t="s">
        <v>23</v>
      </c>
      <c r="E3" s="563" t="s">
        <v>24</v>
      </c>
      <c r="F3" s="564"/>
      <c r="G3" s="552" t="s">
        <v>25</v>
      </c>
      <c r="H3" s="550" t="s">
        <v>26</v>
      </c>
      <c r="I3" s="552" t="s">
        <v>27</v>
      </c>
      <c r="J3" s="557" t="s">
        <v>28</v>
      </c>
      <c r="L3" s="559" t="s">
        <v>5</v>
      </c>
      <c r="M3" s="542" t="s">
        <v>2</v>
      </c>
      <c r="N3" s="542" t="s">
        <v>23</v>
      </c>
      <c r="O3" s="546" t="s">
        <v>24</v>
      </c>
      <c r="P3" s="547"/>
      <c r="Q3" s="542" t="s">
        <v>25</v>
      </c>
      <c r="R3" s="540" t="s">
        <v>26</v>
      </c>
      <c r="S3" s="542" t="s">
        <v>27</v>
      </c>
      <c r="T3" s="544" t="s">
        <v>28</v>
      </c>
    </row>
    <row r="4" spans="1:20" ht="13" thickBot="1">
      <c r="A4" s="554"/>
      <c r="B4" s="562"/>
      <c r="C4" s="553"/>
      <c r="D4" s="551"/>
      <c r="E4" s="565"/>
      <c r="F4" s="566"/>
      <c r="G4" s="553"/>
      <c r="H4" s="551"/>
      <c r="I4" s="553"/>
      <c r="J4" s="558"/>
      <c r="L4" s="560"/>
      <c r="M4" s="543"/>
      <c r="N4" s="543"/>
      <c r="O4" s="548"/>
      <c r="P4" s="549"/>
      <c r="Q4" s="543"/>
      <c r="R4" s="541"/>
      <c r="S4" s="543"/>
      <c r="T4" s="545"/>
    </row>
    <row r="5" spans="1:20">
      <c r="A5" s="554"/>
      <c r="B5" s="555">
        <f ca="1">пр.хода!BQ15</f>
        <v>1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4"/>
      <c r="H5" s="534"/>
      <c r="I5" s="536"/>
      <c r="J5" s="532"/>
      <c r="L5" s="538">
        <f ca="1">пр.хода!BS15</f>
        <v>4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4"/>
      <c r="R5" s="534"/>
      <c r="S5" s="536"/>
      <c r="T5" s="532"/>
    </row>
    <row r="6" spans="1:20">
      <c r="A6" s="554"/>
      <c r="B6" s="556"/>
      <c r="C6" s="297"/>
      <c r="D6" s="299"/>
      <c r="E6" s="299"/>
      <c r="F6" s="301"/>
      <c r="G6" s="535"/>
      <c r="H6" s="535"/>
      <c r="I6" s="537"/>
      <c r="J6" s="533"/>
      <c r="L6" s="539"/>
      <c r="M6" s="297"/>
      <c r="N6" s="299"/>
      <c r="O6" s="299"/>
      <c r="P6" s="301"/>
      <c r="Q6" s="535"/>
      <c r="R6" s="535"/>
      <c r="S6" s="537"/>
      <c r="T6" s="533"/>
    </row>
    <row r="7" spans="1:20">
      <c r="A7" s="554"/>
      <c r="B7" s="556">
        <f ca="1">пр.хода!BR15</f>
        <v>3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5"/>
      <c r="H7" s="535"/>
      <c r="I7" s="537"/>
      <c r="J7" s="533"/>
      <c r="L7" s="539">
        <f ca="1">пр.хода!BT15</f>
        <v>5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5"/>
      <c r="R7" s="535"/>
      <c r="S7" s="537"/>
      <c r="T7" s="533"/>
    </row>
    <row r="8" spans="1:20" ht="13" thickBot="1">
      <c r="A8" s="554"/>
      <c r="B8" s="571"/>
      <c r="C8" s="312"/>
      <c r="D8" s="314"/>
      <c r="E8" s="314"/>
      <c r="F8" s="314"/>
      <c r="G8" s="568"/>
      <c r="H8" s="568"/>
      <c r="I8" s="569"/>
      <c r="J8" s="567"/>
      <c r="L8" s="570"/>
      <c r="M8" s="312"/>
      <c r="N8" s="314"/>
      <c r="O8" s="314"/>
      <c r="P8" s="314"/>
      <c r="Q8" s="568"/>
      <c r="R8" s="568"/>
      <c r="S8" s="569"/>
      <c r="T8" s="567"/>
    </row>
    <row r="9" spans="1:20" ht="12.65" customHeight="1">
      <c r="A9" s="554"/>
      <c r="B9" s="555">
        <f ca="1">пр.хода!BQ16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4"/>
      <c r="H9" s="534"/>
      <c r="I9" s="536"/>
      <c r="J9" s="532"/>
      <c r="L9" s="538" t="str">
        <f ca="1">пр.хода!BS16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4"/>
      <c r="R9" s="534"/>
      <c r="S9" s="536"/>
      <c r="T9" s="532"/>
    </row>
    <row r="10" spans="1:20" ht="12.65" customHeight="1">
      <c r="A10" s="554"/>
      <c r="B10" s="556"/>
      <c r="C10" s="320"/>
      <c r="D10" s="301"/>
      <c r="E10" s="301"/>
      <c r="F10" s="301"/>
      <c r="G10" s="535"/>
      <c r="H10" s="535"/>
      <c r="I10" s="537"/>
      <c r="J10" s="533"/>
      <c r="L10" s="539"/>
      <c r="M10" s="320"/>
      <c r="N10" s="301"/>
      <c r="O10" s="301"/>
      <c r="P10" s="301"/>
      <c r="Q10" s="535"/>
      <c r="R10" s="535"/>
      <c r="S10" s="537"/>
      <c r="T10" s="533"/>
    </row>
    <row r="11" spans="1:20" ht="12.65" customHeight="1">
      <c r="A11" s="554"/>
      <c r="B11" s="556">
        <f ca="1">пр.хода!BR16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5"/>
      <c r="H11" s="535"/>
      <c r="I11" s="537"/>
      <c r="J11" s="533"/>
      <c r="L11" s="539" t="str">
        <f ca="1">пр.хода!BT16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5"/>
      <c r="R11" s="535"/>
      <c r="S11" s="537"/>
      <c r="T11" s="533"/>
    </row>
    <row r="12" spans="1:20" ht="13" customHeight="1" thickBot="1">
      <c r="A12" s="554"/>
      <c r="B12" s="571"/>
      <c r="C12" s="312"/>
      <c r="D12" s="314"/>
      <c r="E12" s="314"/>
      <c r="F12" s="314"/>
      <c r="G12" s="568"/>
      <c r="H12" s="568"/>
      <c r="I12" s="569"/>
      <c r="J12" s="567"/>
      <c r="L12" s="570"/>
      <c r="M12" s="312"/>
      <c r="N12" s="314"/>
      <c r="O12" s="314"/>
      <c r="P12" s="314"/>
      <c r="Q12" s="568"/>
      <c r="R12" s="568"/>
      <c r="S12" s="569"/>
      <c r="T12" s="567"/>
    </row>
    <row r="13" spans="1:20" ht="12.65" customHeight="1">
      <c r="A13" s="554"/>
      <c r="B13" s="555">
        <f ca="1">пр.хода!BQ17</f>
        <v>4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4"/>
      <c r="H13" s="534"/>
      <c r="I13" s="536"/>
      <c r="J13" s="532"/>
      <c r="L13" s="538" t="str">
        <f ca="1">пр.хода!BS17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4"/>
      <c r="R13" s="534"/>
      <c r="S13" s="536"/>
      <c r="T13" s="532"/>
    </row>
    <row r="14" spans="1:20" ht="12.65" customHeight="1">
      <c r="A14" s="554"/>
      <c r="B14" s="556"/>
      <c r="C14" s="320"/>
      <c r="D14" s="301"/>
      <c r="E14" s="301"/>
      <c r="F14" s="301"/>
      <c r="G14" s="535"/>
      <c r="H14" s="535"/>
      <c r="I14" s="537"/>
      <c r="J14" s="533"/>
      <c r="L14" s="539"/>
      <c r="M14" s="320"/>
      <c r="N14" s="301"/>
      <c r="O14" s="301"/>
      <c r="P14" s="301"/>
      <c r="Q14" s="535"/>
      <c r="R14" s="535"/>
      <c r="S14" s="537"/>
      <c r="T14" s="533"/>
    </row>
    <row r="15" spans="1:20" ht="12.65" customHeight="1">
      <c r="A15" s="554"/>
      <c r="B15" s="556">
        <f ca="1">пр.хода!BR17</f>
        <v>5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5"/>
      <c r="H15" s="535"/>
      <c r="I15" s="537"/>
      <c r="J15" s="533"/>
      <c r="L15" s="539" t="str">
        <f ca="1">пр.хода!BT17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5"/>
      <c r="R15" s="535"/>
      <c r="S15" s="537"/>
      <c r="T15" s="533"/>
    </row>
    <row r="16" spans="1:20" ht="13" customHeight="1" thickBot="1">
      <c r="A16" s="554"/>
      <c r="B16" s="571"/>
      <c r="C16" s="312"/>
      <c r="D16" s="314"/>
      <c r="E16" s="314"/>
      <c r="F16" s="314"/>
      <c r="G16" s="568"/>
      <c r="H16" s="568"/>
      <c r="I16" s="569"/>
      <c r="J16" s="567"/>
      <c r="L16" s="570"/>
      <c r="M16" s="312"/>
      <c r="N16" s="314"/>
      <c r="O16" s="314"/>
      <c r="P16" s="314"/>
      <c r="Q16" s="568"/>
      <c r="R16" s="568"/>
      <c r="S16" s="569"/>
      <c r="T16" s="567"/>
    </row>
    <row r="17" spans="1:20" ht="12.65" customHeight="1">
      <c r="A17" s="554"/>
      <c r="B17" s="555" t="str">
        <f ca="1">пр.хода!BQ18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4"/>
      <c r="H17" s="534"/>
      <c r="I17" s="536"/>
      <c r="J17" s="532"/>
      <c r="L17" s="538">
        <f>пр.хода!BS18</f>
        <v>0</v>
      </c>
      <c r="M17" s="319">
        <v>0</v>
      </c>
      <c r="N17" s="300">
        <v>0</v>
      </c>
      <c r="O17" s="300">
        <v>0</v>
      </c>
      <c r="P17" s="300">
        <v>0</v>
      </c>
      <c r="Q17" s="534"/>
      <c r="R17" s="534"/>
      <c r="S17" s="536"/>
      <c r="T17" s="532"/>
    </row>
    <row r="18" spans="1:20" ht="12.65" customHeight="1">
      <c r="A18" s="554"/>
      <c r="B18" s="556"/>
      <c r="C18" s="320"/>
      <c r="D18" s="301"/>
      <c r="E18" s="301"/>
      <c r="F18" s="301"/>
      <c r="G18" s="535"/>
      <c r="H18" s="535"/>
      <c r="I18" s="537"/>
      <c r="J18" s="533"/>
      <c r="L18" s="539"/>
      <c r="M18" s="320"/>
      <c r="N18" s="301"/>
      <c r="O18" s="301"/>
      <c r="P18" s="301"/>
      <c r="Q18" s="535"/>
      <c r="R18" s="535"/>
      <c r="S18" s="537"/>
      <c r="T18" s="533"/>
    </row>
    <row r="19" spans="1:20" ht="12.65" customHeight="1">
      <c r="A19" s="554"/>
      <c r="B19" s="556" t="str">
        <f ca="1">пр.хода!BR18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5"/>
      <c r="H19" s="535"/>
      <c r="I19" s="537"/>
      <c r="J19" s="533"/>
      <c r="L19" s="539">
        <f>пр.хода!BT18</f>
        <v>0</v>
      </c>
      <c r="M19" s="311">
        <v>0</v>
      </c>
      <c r="N19" s="313">
        <v>0</v>
      </c>
      <c r="O19" s="313">
        <v>0</v>
      </c>
      <c r="P19" s="313">
        <v>0</v>
      </c>
      <c r="Q19" s="535"/>
      <c r="R19" s="535"/>
      <c r="S19" s="537"/>
      <c r="T19" s="533"/>
    </row>
    <row r="20" spans="1:20" ht="13" customHeight="1" thickBot="1">
      <c r="A20" s="554"/>
      <c r="B20" s="571"/>
      <c r="C20" s="312"/>
      <c r="D20" s="314"/>
      <c r="E20" s="314"/>
      <c r="F20" s="314"/>
      <c r="G20" s="568"/>
      <c r="H20" s="568"/>
      <c r="I20" s="569"/>
      <c r="J20" s="567"/>
      <c r="L20" s="570"/>
      <c r="M20" s="312"/>
      <c r="N20" s="314"/>
      <c r="O20" s="314"/>
      <c r="P20" s="314"/>
      <c r="Q20" s="568"/>
      <c r="R20" s="568"/>
      <c r="S20" s="569"/>
      <c r="T20" s="567"/>
    </row>
    <row r="21" spans="1:20">
      <c r="A21" s="554"/>
      <c r="B21" s="555"/>
      <c r="C21" s="319">
        <v>0</v>
      </c>
      <c r="D21" s="300">
        <v>0</v>
      </c>
      <c r="E21" s="300">
        <v>0</v>
      </c>
      <c r="F21" s="300">
        <v>0</v>
      </c>
      <c r="G21" s="572"/>
      <c r="H21" s="534"/>
      <c r="I21" s="536"/>
      <c r="J21" s="532"/>
      <c r="L21" s="538"/>
      <c r="M21" s="319">
        <v>0</v>
      </c>
      <c r="N21" s="300">
        <v>0</v>
      </c>
      <c r="O21" s="300">
        <v>0</v>
      </c>
      <c r="P21" s="300">
        <v>0</v>
      </c>
      <c r="Q21" s="534"/>
      <c r="R21" s="534"/>
      <c r="S21" s="536"/>
      <c r="T21" s="532"/>
    </row>
    <row r="22" spans="1:20">
      <c r="A22" s="554"/>
      <c r="B22" s="556"/>
      <c r="C22" s="320"/>
      <c r="D22" s="301"/>
      <c r="E22" s="301"/>
      <c r="F22" s="301"/>
      <c r="G22" s="573"/>
      <c r="H22" s="535"/>
      <c r="I22" s="537"/>
      <c r="J22" s="533"/>
      <c r="L22" s="539"/>
      <c r="M22" s="320"/>
      <c r="N22" s="301"/>
      <c r="O22" s="301"/>
      <c r="P22" s="301"/>
      <c r="Q22" s="535"/>
      <c r="R22" s="535"/>
      <c r="S22" s="537"/>
      <c r="T22" s="533"/>
    </row>
    <row r="23" spans="1:20">
      <c r="A23" s="554"/>
      <c r="B23" s="556"/>
      <c r="C23" s="311">
        <v>0</v>
      </c>
      <c r="D23" s="313">
        <v>0</v>
      </c>
      <c r="E23" s="313">
        <v>0</v>
      </c>
      <c r="F23" s="313">
        <v>0</v>
      </c>
      <c r="G23" s="535"/>
      <c r="H23" s="535"/>
      <c r="I23" s="537"/>
      <c r="J23" s="533"/>
      <c r="L23" s="539"/>
      <c r="M23" s="311">
        <v>0</v>
      </c>
      <c r="N23" s="313">
        <v>0</v>
      </c>
      <c r="O23" s="313">
        <v>0</v>
      </c>
      <c r="P23" s="313">
        <v>0</v>
      </c>
      <c r="Q23" s="535"/>
      <c r="R23" s="535"/>
      <c r="S23" s="537"/>
      <c r="T23" s="533"/>
    </row>
    <row r="24" spans="1:20" ht="13" thickBot="1">
      <c r="A24" s="554"/>
      <c r="B24" s="571"/>
      <c r="C24" s="312"/>
      <c r="D24" s="314"/>
      <c r="E24" s="314"/>
      <c r="F24" s="314"/>
      <c r="G24" s="568"/>
      <c r="H24" s="568"/>
      <c r="I24" s="569"/>
      <c r="J24" s="567"/>
      <c r="L24" s="570"/>
      <c r="M24" s="312"/>
      <c r="N24" s="314"/>
      <c r="O24" s="314"/>
      <c r="P24" s="314"/>
      <c r="Q24" s="568"/>
      <c r="R24" s="568"/>
      <c r="S24" s="569"/>
      <c r="T24" s="567"/>
    </row>
    <row r="25" spans="1:20">
      <c r="A25" s="554"/>
      <c r="B25" s="555"/>
      <c r="C25" s="319">
        <v>0</v>
      </c>
      <c r="D25" s="300">
        <v>0</v>
      </c>
      <c r="E25" s="300">
        <v>0</v>
      </c>
      <c r="F25" s="300">
        <v>0</v>
      </c>
      <c r="G25" s="534"/>
      <c r="H25" s="534"/>
      <c r="I25" s="536"/>
      <c r="J25" s="532"/>
      <c r="L25" s="538"/>
      <c r="M25" s="319">
        <v>0</v>
      </c>
      <c r="N25" s="300">
        <v>0</v>
      </c>
      <c r="O25" s="300">
        <v>0</v>
      </c>
      <c r="P25" s="300">
        <v>0</v>
      </c>
      <c r="Q25" s="534"/>
      <c r="R25" s="534"/>
      <c r="S25" s="536"/>
      <c r="T25" s="532"/>
    </row>
    <row r="26" spans="1:20">
      <c r="A26" s="554"/>
      <c r="B26" s="556"/>
      <c r="C26" s="320"/>
      <c r="D26" s="301"/>
      <c r="E26" s="301"/>
      <c r="F26" s="301"/>
      <c r="G26" s="535"/>
      <c r="H26" s="535"/>
      <c r="I26" s="537"/>
      <c r="J26" s="533"/>
      <c r="L26" s="539"/>
      <c r="M26" s="320"/>
      <c r="N26" s="301"/>
      <c r="O26" s="301"/>
      <c r="P26" s="301"/>
      <c r="Q26" s="535"/>
      <c r="R26" s="535"/>
      <c r="S26" s="537"/>
      <c r="T26" s="533"/>
    </row>
    <row r="27" spans="1:20">
      <c r="A27" s="554"/>
      <c r="B27" s="556"/>
      <c r="C27" s="311">
        <v>0</v>
      </c>
      <c r="D27" s="313">
        <v>0</v>
      </c>
      <c r="E27" s="313">
        <v>0</v>
      </c>
      <c r="F27" s="313">
        <v>0</v>
      </c>
      <c r="G27" s="535"/>
      <c r="H27" s="535"/>
      <c r="I27" s="537"/>
      <c r="J27" s="533"/>
      <c r="L27" s="539"/>
      <c r="M27" s="311">
        <v>0</v>
      </c>
      <c r="N27" s="313">
        <v>0</v>
      </c>
      <c r="O27" s="313">
        <v>0</v>
      </c>
      <c r="P27" s="313">
        <v>0</v>
      </c>
      <c r="Q27" s="535"/>
      <c r="R27" s="535"/>
      <c r="S27" s="537"/>
      <c r="T27" s="533"/>
    </row>
    <row r="28" spans="1:20" ht="13" thickBot="1">
      <c r="A28" s="554"/>
      <c r="B28" s="571"/>
      <c r="C28" s="312"/>
      <c r="D28" s="314"/>
      <c r="E28" s="314"/>
      <c r="F28" s="314"/>
      <c r="G28" s="568"/>
      <c r="H28" s="568"/>
      <c r="I28" s="569"/>
      <c r="J28" s="567"/>
      <c r="L28" s="570"/>
      <c r="M28" s="312"/>
      <c r="N28" s="314"/>
      <c r="O28" s="314"/>
      <c r="P28" s="314"/>
      <c r="Q28" s="568"/>
      <c r="R28" s="568"/>
      <c r="S28" s="569"/>
      <c r="T28" s="567"/>
    </row>
    <row r="29" spans="1:20">
      <c r="A29" s="554"/>
      <c r="B29" s="555"/>
      <c r="C29" s="319">
        <v>0</v>
      </c>
      <c r="D29" s="300">
        <v>0</v>
      </c>
      <c r="E29" s="300">
        <v>0</v>
      </c>
      <c r="F29" s="300">
        <v>0</v>
      </c>
      <c r="G29" s="534"/>
      <c r="H29" s="534"/>
      <c r="I29" s="536"/>
      <c r="J29" s="532"/>
      <c r="L29" s="538"/>
      <c r="M29" s="319">
        <v>0</v>
      </c>
      <c r="N29" s="300">
        <v>0</v>
      </c>
      <c r="O29" s="300">
        <v>0</v>
      </c>
      <c r="P29" s="300">
        <v>0</v>
      </c>
      <c r="Q29" s="534"/>
      <c r="R29" s="534"/>
      <c r="S29" s="536"/>
      <c r="T29" s="532"/>
    </row>
    <row r="30" spans="1:20">
      <c r="A30" s="554"/>
      <c r="B30" s="556"/>
      <c r="C30" s="320"/>
      <c r="D30" s="301"/>
      <c r="E30" s="301"/>
      <c r="F30" s="301"/>
      <c r="G30" s="535"/>
      <c r="H30" s="535"/>
      <c r="I30" s="537"/>
      <c r="J30" s="533"/>
      <c r="L30" s="539"/>
      <c r="M30" s="320"/>
      <c r="N30" s="301"/>
      <c r="O30" s="301"/>
      <c r="P30" s="301"/>
      <c r="Q30" s="535"/>
      <c r="R30" s="535"/>
      <c r="S30" s="537"/>
      <c r="T30" s="533"/>
    </row>
    <row r="31" spans="1:20">
      <c r="A31" s="554"/>
      <c r="B31" s="556"/>
      <c r="C31" s="311">
        <v>0</v>
      </c>
      <c r="D31" s="313">
        <v>0</v>
      </c>
      <c r="E31" s="313">
        <v>0</v>
      </c>
      <c r="F31" s="313">
        <v>0</v>
      </c>
      <c r="G31" s="535"/>
      <c r="H31" s="535"/>
      <c r="I31" s="537"/>
      <c r="J31" s="533"/>
      <c r="L31" s="539"/>
      <c r="M31" s="311">
        <v>0</v>
      </c>
      <c r="N31" s="313">
        <v>0</v>
      </c>
      <c r="O31" s="313">
        <v>0</v>
      </c>
      <c r="P31" s="313">
        <v>0</v>
      </c>
      <c r="Q31" s="535"/>
      <c r="R31" s="535"/>
      <c r="S31" s="537"/>
      <c r="T31" s="533"/>
    </row>
    <row r="32" spans="1:20" ht="13" thickBot="1">
      <c r="A32" s="554"/>
      <c r="B32" s="571"/>
      <c r="C32" s="312"/>
      <c r="D32" s="314"/>
      <c r="E32" s="314"/>
      <c r="F32" s="314"/>
      <c r="G32" s="568"/>
      <c r="H32" s="568"/>
      <c r="I32" s="569"/>
      <c r="J32" s="567"/>
      <c r="L32" s="570"/>
      <c r="M32" s="312"/>
      <c r="N32" s="314"/>
      <c r="O32" s="314"/>
      <c r="P32" s="314"/>
      <c r="Q32" s="568"/>
      <c r="R32" s="568"/>
      <c r="S32" s="569"/>
      <c r="T32" s="567"/>
    </row>
    <row r="33" spans="1:20">
      <c r="A33" s="554"/>
      <c r="B33" s="555"/>
      <c r="C33" s="319">
        <v>0</v>
      </c>
      <c r="D33" s="300">
        <v>0</v>
      </c>
      <c r="E33" s="300">
        <v>0</v>
      </c>
      <c r="F33" s="300">
        <v>0</v>
      </c>
      <c r="G33" s="534"/>
      <c r="H33" s="534"/>
      <c r="I33" s="536"/>
      <c r="J33" s="532"/>
      <c r="L33" s="538"/>
      <c r="M33" s="319">
        <v>0</v>
      </c>
      <c r="N33" s="300">
        <v>0</v>
      </c>
      <c r="O33" s="300">
        <v>0</v>
      </c>
      <c r="P33" s="300">
        <v>0</v>
      </c>
      <c r="Q33" s="534"/>
      <c r="R33" s="534"/>
      <c r="S33" s="536"/>
      <c r="T33" s="532"/>
    </row>
    <row r="34" spans="1:20">
      <c r="A34" s="554"/>
      <c r="B34" s="556"/>
      <c r="C34" s="320"/>
      <c r="D34" s="301"/>
      <c r="E34" s="301"/>
      <c r="F34" s="301"/>
      <c r="G34" s="535"/>
      <c r="H34" s="535"/>
      <c r="I34" s="537"/>
      <c r="J34" s="533"/>
      <c r="L34" s="539"/>
      <c r="M34" s="320"/>
      <c r="N34" s="301"/>
      <c r="O34" s="301"/>
      <c r="P34" s="301"/>
      <c r="Q34" s="535"/>
      <c r="R34" s="535"/>
      <c r="S34" s="537"/>
      <c r="T34" s="533"/>
    </row>
    <row r="35" spans="1:20">
      <c r="A35" s="554"/>
      <c r="B35" s="556"/>
      <c r="C35" s="311">
        <v>0</v>
      </c>
      <c r="D35" s="313">
        <v>0</v>
      </c>
      <c r="E35" s="313">
        <v>0</v>
      </c>
      <c r="F35" s="313">
        <v>0</v>
      </c>
      <c r="G35" s="535"/>
      <c r="H35" s="535"/>
      <c r="I35" s="537"/>
      <c r="J35" s="533"/>
      <c r="L35" s="539"/>
      <c r="M35" s="311">
        <v>0</v>
      </c>
      <c r="N35" s="313">
        <v>0</v>
      </c>
      <c r="O35" s="313">
        <v>0</v>
      </c>
      <c r="P35" s="313">
        <v>0</v>
      </c>
      <c r="Q35" s="535"/>
      <c r="R35" s="535"/>
      <c r="S35" s="537"/>
      <c r="T35" s="533"/>
    </row>
    <row r="36" spans="1:20" ht="13" thickBot="1">
      <c r="A36" s="554"/>
      <c r="B36" s="571"/>
      <c r="C36" s="312"/>
      <c r="D36" s="314"/>
      <c r="E36" s="314"/>
      <c r="F36" s="314"/>
      <c r="G36" s="568"/>
      <c r="H36" s="568"/>
      <c r="I36" s="569"/>
      <c r="J36" s="567"/>
      <c r="L36" s="570"/>
      <c r="M36" s="312"/>
      <c r="N36" s="314"/>
      <c r="O36" s="314"/>
      <c r="P36" s="314"/>
      <c r="Q36" s="568"/>
      <c r="R36" s="568"/>
      <c r="S36" s="569"/>
      <c r="T36" s="567"/>
    </row>
    <row r="37" spans="1:20">
      <c r="A37" s="554"/>
      <c r="B37" s="555"/>
      <c r="C37" s="319">
        <v>0</v>
      </c>
      <c r="D37" s="300">
        <v>0</v>
      </c>
      <c r="E37" s="300">
        <v>0</v>
      </c>
      <c r="F37" s="300">
        <v>0</v>
      </c>
      <c r="G37" s="534"/>
      <c r="H37" s="534"/>
      <c r="I37" s="536"/>
      <c r="J37" s="532"/>
      <c r="L37" s="538"/>
      <c r="M37" s="319">
        <v>0</v>
      </c>
      <c r="N37" s="300">
        <v>0</v>
      </c>
      <c r="O37" s="300">
        <v>0</v>
      </c>
      <c r="P37" s="300">
        <v>0</v>
      </c>
      <c r="Q37" s="534"/>
      <c r="R37" s="534"/>
      <c r="S37" s="536"/>
      <c r="T37" s="532"/>
    </row>
    <row r="38" spans="1:20">
      <c r="A38" s="554"/>
      <c r="B38" s="556"/>
      <c r="C38" s="320"/>
      <c r="D38" s="301"/>
      <c r="E38" s="301"/>
      <c r="F38" s="301"/>
      <c r="G38" s="535"/>
      <c r="H38" s="535"/>
      <c r="I38" s="537"/>
      <c r="J38" s="533"/>
      <c r="L38" s="539"/>
      <c r="M38" s="320"/>
      <c r="N38" s="301"/>
      <c r="O38" s="301"/>
      <c r="P38" s="301"/>
      <c r="Q38" s="535"/>
      <c r="R38" s="535"/>
      <c r="S38" s="537"/>
      <c r="T38" s="533"/>
    </row>
    <row r="39" spans="1:20">
      <c r="A39" s="554"/>
      <c r="B39" s="556"/>
      <c r="C39" s="311">
        <v>0</v>
      </c>
      <c r="D39" s="313">
        <v>0</v>
      </c>
      <c r="E39" s="313">
        <v>0</v>
      </c>
      <c r="F39" s="313">
        <v>0</v>
      </c>
      <c r="G39" s="535"/>
      <c r="H39" s="535"/>
      <c r="I39" s="537"/>
      <c r="J39" s="533"/>
      <c r="L39" s="539"/>
      <c r="M39" s="311">
        <v>0</v>
      </c>
      <c r="N39" s="313">
        <v>0</v>
      </c>
      <c r="O39" s="313">
        <v>0</v>
      </c>
      <c r="P39" s="313">
        <v>0</v>
      </c>
      <c r="Q39" s="535"/>
      <c r="R39" s="535"/>
      <c r="S39" s="537"/>
      <c r="T39" s="533"/>
    </row>
    <row r="40" spans="1:20" ht="13" thickBot="1">
      <c r="A40" s="554"/>
      <c r="B40" s="571"/>
      <c r="C40" s="312"/>
      <c r="D40" s="314"/>
      <c r="E40" s="314"/>
      <c r="F40" s="314"/>
      <c r="G40" s="568"/>
      <c r="H40" s="568"/>
      <c r="I40" s="569"/>
      <c r="J40" s="567"/>
      <c r="L40" s="570"/>
      <c r="M40" s="312"/>
      <c r="N40" s="314"/>
      <c r="O40" s="314"/>
      <c r="P40" s="314"/>
      <c r="Q40" s="568"/>
      <c r="R40" s="568"/>
      <c r="S40" s="569"/>
      <c r="T40" s="567"/>
    </row>
    <row r="41" spans="1:20">
      <c r="A41" s="554"/>
      <c r="B41" s="555"/>
      <c r="C41" s="319">
        <v>0</v>
      </c>
      <c r="D41" s="300">
        <v>0</v>
      </c>
      <c r="E41" s="300">
        <v>0</v>
      </c>
      <c r="F41" s="300">
        <v>0</v>
      </c>
      <c r="G41" s="534"/>
      <c r="H41" s="534"/>
      <c r="I41" s="536"/>
      <c r="J41" s="532"/>
      <c r="L41" s="538"/>
      <c r="M41" s="319">
        <v>0</v>
      </c>
      <c r="N41" s="300">
        <v>0</v>
      </c>
      <c r="O41" s="300">
        <v>0</v>
      </c>
      <c r="P41" s="300">
        <v>0</v>
      </c>
      <c r="Q41" s="534"/>
      <c r="R41" s="534"/>
      <c r="S41" s="536"/>
      <c r="T41" s="532"/>
    </row>
    <row r="42" spans="1:20">
      <c r="A42" s="554"/>
      <c r="B42" s="556"/>
      <c r="C42" s="320"/>
      <c r="D42" s="301"/>
      <c r="E42" s="301"/>
      <c r="F42" s="301"/>
      <c r="G42" s="535"/>
      <c r="H42" s="535"/>
      <c r="I42" s="537"/>
      <c r="J42" s="533"/>
      <c r="L42" s="539"/>
      <c r="M42" s="320"/>
      <c r="N42" s="301"/>
      <c r="O42" s="301"/>
      <c r="P42" s="301"/>
      <c r="Q42" s="535"/>
      <c r="R42" s="535"/>
      <c r="S42" s="537"/>
      <c r="T42" s="533"/>
    </row>
    <row r="43" spans="1:20">
      <c r="A43" s="554"/>
      <c r="B43" s="556"/>
      <c r="C43" s="311">
        <v>0</v>
      </c>
      <c r="D43" s="313">
        <v>0</v>
      </c>
      <c r="E43" s="313">
        <v>0</v>
      </c>
      <c r="F43" s="313">
        <v>0</v>
      </c>
      <c r="G43" s="535"/>
      <c r="H43" s="535"/>
      <c r="I43" s="537"/>
      <c r="J43" s="533"/>
      <c r="L43" s="539"/>
      <c r="M43" s="311">
        <v>0</v>
      </c>
      <c r="N43" s="313">
        <v>0</v>
      </c>
      <c r="O43" s="313">
        <v>0</v>
      </c>
      <c r="P43" s="313">
        <v>0</v>
      </c>
      <c r="Q43" s="535"/>
      <c r="R43" s="535"/>
      <c r="S43" s="537"/>
      <c r="T43" s="533"/>
    </row>
    <row r="44" spans="1:20" ht="13" thickBot="1">
      <c r="A44" s="554"/>
      <c r="B44" s="571"/>
      <c r="C44" s="312"/>
      <c r="D44" s="314"/>
      <c r="E44" s="314"/>
      <c r="F44" s="314"/>
      <c r="G44" s="568"/>
      <c r="H44" s="568"/>
      <c r="I44" s="569"/>
      <c r="J44" s="567"/>
      <c r="L44" s="570"/>
      <c r="M44" s="312"/>
      <c r="N44" s="314"/>
      <c r="O44" s="314"/>
      <c r="P44" s="314"/>
      <c r="Q44" s="568"/>
      <c r="R44" s="568"/>
      <c r="S44" s="569"/>
      <c r="T44" s="567"/>
    </row>
    <row r="45" spans="1:20">
      <c r="A45" s="554"/>
      <c r="B45" s="555"/>
      <c r="C45" s="319">
        <v>0</v>
      </c>
      <c r="D45" s="300">
        <v>0</v>
      </c>
      <c r="E45" s="300">
        <v>0</v>
      </c>
      <c r="F45" s="300">
        <v>0</v>
      </c>
      <c r="G45" s="534"/>
      <c r="H45" s="534"/>
      <c r="I45" s="536"/>
      <c r="J45" s="532"/>
      <c r="L45" s="538"/>
      <c r="M45" s="319">
        <v>0</v>
      </c>
      <c r="N45" s="300">
        <v>0</v>
      </c>
      <c r="O45" s="300">
        <v>0</v>
      </c>
      <c r="P45" s="300">
        <v>0</v>
      </c>
      <c r="Q45" s="534"/>
      <c r="R45" s="534"/>
      <c r="S45" s="536"/>
      <c r="T45" s="532"/>
    </row>
    <row r="46" spans="1:20">
      <c r="A46" s="554"/>
      <c r="B46" s="556"/>
      <c r="C46" s="320"/>
      <c r="D46" s="301"/>
      <c r="E46" s="301"/>
      <c r="F46" s="301"/>
      <c r="G46" s="535"/>
      <c r="H46" s="535"/>
      <c r="I46" s="537"/>
      <c r="J46" s="533"/>
      <c r="L46" s="539"/>
      <c r="M46" s="320"/>
      <c r="N46" s="301"/>
      <c r="O46" s="301"/>
      <c r="P46" s="301"/>
      <c r="Q46" s="535"/>
      <c r="R46" s="535"/>
      <c r="S46" s="537"/>
      <c r="T46" s="533"/>
    </row>
    <row r="47" spans="1:20">
      <c r="A47" s="554"/>
      <c r="B47" s="556"/>
      <c r="C47" s="311">
        <v>0</v>
      </c>
      <c r="D47" s="313">
        <v>0</v>
      </c>
      <c r="E47" s="313">
        <v>0</v>
      </c>
      <c r="F47" s="313">
        <v>0</v>
      </c>
      <c r="G47" s="535"/>
      <c r="H47" s="535"/>
      <c r="I47" s="537"/>
      <c r="J47" s="533"/>
      <c r="L47" s="539"/>
      <c r="M47" s="311">
        <v>0</v>
      </c>
      <c r="N47" s="313">
        <v>0</v>
      </c>
      <c r="O47" s="313">
        <v>0</v>
      </c>
      <c r="P47" s="313">
        <v>0</v>
      </c>
      <c r="Q47" s="535"/>
      <c r="R47" s="535"/>
      <c r="S47" s="537"/>
      <c r="T47" s="533"/>
    </row>
    <row r="48" spans="1:20" ht="13" thickBot="1">
      <c r="A48" s="554"/>
      <c r="B48" s="571"/>
      <c r="C48" s="312"/>
      <c r="D48" s="314"/>
      <c r="E48" s="314"/>
      <c r="F48" s="314"/>
      <c r="G48" s="568"/>
      <c r="H48" s="568"/>
      <c r="I48" s="569"/>
      <c r="J48" s="567"/>
      <c r="L48" s="570"/>
      <c r="M48" s="312"/>
      <c r="N48" s="314"/>
      <c r="O48" s="314"/>
      <c r="P48" s="314"/>
      <c r="Q48" s="568"/>
      <c r="R48" s="568"/>
      <c r="S48" s="569"/>
      <c r="T48" s="567"/>
    </row>
    <row r="49" spans="1:20">
      <c r="A49" s="554"/>
      <c r="B49" s="555"/>
      <c r="C49" s="319">
        <v>0</v>
      </c>
      <c r="D49" s="300">
        <v>0</v>
      </c>
      <c r="E49" s="300">
        <v>0</v>
      </c>
      <c r="F49" s="300">
        <v>0</v>
      </c>
      <c r="G49" s="534"/>
      <c r="H49" s="534"/>
      <c r="I49" s="536"/>
      <c r="J49" s="532"/>
      <c r="L49" s="538"/>
      <c r="M49" s="319">
        <v>0</v>
      </c>
      <c r="N49" s="300">
        <v>0</v>
      </c>
      <c r="O49" s="300">
        <v>0</v>
      </c>
      <c r="P49" s="300">
        <v>0</v>
      </c>
      <c r="Q49" s="534"/>
      <c r="R49" s="534"/>
      <c r="S49" s="536"/>
      <c r="T49" s="532"/>
    </row>
    <row r="50" spans="1:20">
      <c r="A50" s="554"/>
      <c r="B50" s="556"/>
      <c r="C50" s="320"/>
      <c r="D50" s="301"/>
      <c r="E50" s="301"/>
      <c r="F50" s="301"/>
      <c r="G50" s="535"/>
      <c r="H50" s="535"/>
      <c r="I50" s="537"/>
      <c r="J50" s="533"/>
      <c r="L50" s="539"/>
      <c r="M50" s="320"/>
      <c r="N50" s="301"/>
      <c r="O50" s="301"/>
      <c r="P50" s="301"/>
      <c r="Q50" s="535"/>
      <c r="R50" s="535"/>
      <c r="S50" s="537"/>
      <c r="T50" s="533"/>
    </row>
    <row r="51" spans="1:20">
      <c r="A51" s="554"/>
      <c r="B51" s="556"/>
      <c r="C51" s="311">
        <v>0</v>
      </c>
      <c r="D51" s="313">
        <v>0</v>
      </c>
      <c r="E51" s="313">
        <v>0</v>
      </c>
      <c r="F51" s="313">
        <v>0</v>
      </c>
      <c r="G51" s="535"/>
      <c r="H51" s="535"/>
      <c r="I51" s="537"/>
      <c r="J51" s="533"/>
      <c r="L51" s="539"/>
      <c r="M51" s="311">
        <v>0</v>
      </c>
      <c r="N51" s="313">
        <v>0</v>
      </c>
      <c r="O51" s="313">
        <v>0</v>
      </c>
      <c r="P51" s="313">
        <v>0</v>
      </c>
      <c r="Q51" s="535"/>
      <c r="R51" s="535"/>
      <c r="S51" s="537"/>
      <c r="T51" s="533"/>
    </row>
    <row r="52" spans="1:20" ht="13" thickBot="1">
      <c r="A52" s="554"/>
      <c r="B52" s="571"/>
      <c r="C52" s="312"/>
      <c r="D52" s="314"/>
      <c r="E52" s="314"/>
      <c r="F52" s="314"/>
      <c r="G52" s="568"/>
      <c r="H52" s="568"/>
      <c r="I52" s="569"/>
      <c r="J52" s="567"/>
      <c r="L52" s="570"/>
      <c r="M52" s="312"/>
      <c r="N52" s="314"/>
      <c r="O52" s="314"/>
      <c r="P52" s="314"/>
      <c r="Q52" s="568"/>
      <c r="R52" s="568"/>
      <c r="S52" s="569"/>
      <c r="T52" s="567"/>
    </row>
    <row r="53" spans="1:20">
      <c r="A53" s="554"/>
      <c r="B53" s="555"/>
      <c r="C53" s="319">
        <v>0</v>
      </c>
      <c r="D53" s="300">
        <v>0</v>
      </c>
      <c r="E53" s="300">
        <v>0</v>
      </c>
      <c r="F53" s="300">
        <v>0</v>
      </c>
      <c r="G53" s="534"/>
      <c r="H53" s="534"/>
      <c r="I53" s="536"/>
      <c r="J53" s="532"/>
      <c r="L53" s="538"/>
      <c r="M53" s="319">
        <v>0</v>
      </c>
      <c r="N53" s="300">
        <v>0</v>
      </c>
      <c r="O53" s="300">
        <v>0</v>
      </c>
      <c r="P53" s="300">
        <v>0</v>
      </c>
      <c r="Q53" s="534"/>
      <c r="R53" s="534"/>
      <c r="S53" s="536"/>
      <c r="T53" s="532"/>
    </row>
    <row r="54" spans="1:20">
      <c r="A54" s="554"/>
      <c r="B54" s="556"/>
      <c r="C54" s="320"/>
      <c r="D54" s="301"/>
      <c r="E54" s="301"/>
      <c r="F54" s="301"/>
      <c r="G54" s="535"/>
      <c r="H54" s="535"/>
      <c r="I54" s="537"/>
      <c r="J54" s="533"/>
      <c r="L54" s="539"/>
      <c r="M54" s="320"/>
      <c r="N54" s="301"/>
      <c r="O54" s="301"/>
      <c r="P54" s="301"/>
      <c r="Q54" s="535"/>
      <c r="R54" s="535"/>
      <c r="S54" s="537"/>
      <c r="T54" s="533"/>
    </row>
    <row r="55" spans="1:20">
      <c r="A55" s="554"/>
      <c r="B55" s="556"/>
      <c r="C55" s="311">
        <v>0</v>
      </c>
      <c r="D55" s="313">
        <v>0</v>
      </c>
      <c r="E55" s="313">
        <v>0</v>
      </c>
      <c r="F55" s="313">
        <v>0</v>
      </c>
      <c r="G55" s="535"/>
      <c r="H55" s="535"/>
      <c r="I55" s="537"/>
      <c r="J55" s="533"/>
      <c r="L55" s="539"/>
      <c r="M55" s="311">
        <v>0</v>
      </c>
      <c r="N55" s="313">
        <v>0</v>
      </c>
      <c r="O55" s="313">
        <v>0</v>
      </c>
      <c r="P55" s="313">
        <v>0</v>
      </c>
      <c r="Q55" s="535"/>
      <c r="R55" s="535"/>
      <c r="S55" s="537"/>
      <c r="T55" s="533"/>
    </row>
    <row r="56" spans="1:20" ht="13" thickBot="1">
      <c r="A56" s="554"/>
      <c r="B56" s="571"/>
      <c r="C56" s="312"/>
      <c r="D56" s="314"/>
      <c r="E56" s="314"/>
      <c r="F56" s="314"/>
      <c r="G56" s="568"/>
      <c r="H56" s="568"/>
      <c r="I56" s="569"/>
      <c r="J56" s="567"/>
      <c r="L56" s="570"/>
      <c r="M56" s="312"/>
      <c r="N56" s="314"/>
      <c r="O56" s="314"/>
      <c r="P56" s="314"/>
      <c r="Q56" s="568"/>
      <c r="R56" s="568"/>
      <c r="S56" s="569"/>
      <c r="T56" s="567"/>
    </row>
    <row r="57" spans="1:20">
      <c r="A57" s="554"/>
      <c r="B57" s="555"/>
      <c r="C57" s="319">
        <v>0</v>
      </c>
      <c r="D57" s="300">
        <v>0</v>
      </c>
      <c r="E57" s="300">
        <v>0</v>
      </c>
      <c r="F57" s="300">
        <v>0</v>
      </c>
      <c r="G57" s="574"/>
      <c r="H57" s="534"/>
      <c r="I57" s="536"/>
      <c r="J57" s="532"/>
      <c r="L57" s="538"/>
      <c r="M57" s="319">
        <v>0</v>
      </c>
      <c r="N57" s="300">
        <v>0</v>
      </c>
      <c r="O57" s="300">
        <v>0</v>
      </c>
      <c r="P57" s="300">
        <v>0</v>
      </c>
      <c r="Q57" s="574"/>
      <c r="R57" s="534"/>
      <c r="S57" s="536"/>
      <c r="T57" s="532"/>
    </row>
    <row r="58" spans="1:20">
      <c r="A58" s="554"/>
      <c r="B58" s="556"/>
      <c r="C58" s="320"/>
      <c r="D58" s="301"/>
      <c r="E58" s="301"/>
      <c r="F58" s="301"/>
      <c r="G58" s="575"/>
      <c r="H58" s="535"/>
      <c r="I58" s="537"/>
      <c r="J58" s="533"/>
      <c r="L58" s="539"/>
      <c r="M58" s="320"/>
      <c r="N58" s="301"/>
      <c r="O58" s="301"/>
      <c r="P58" s="301"/>
      <c r="Q58" s="575"/>
      <c r="R58" s="535"/>
      <c r="S58" s="537"/>
      <c r="T58" s="533"/>
    </row>
    <row r="59" spans="1:20">
      <c r="A59" s="554"/>
      <c r="B59" s="556"/>
      <c r="C59" s="311">
        <v>0</v>
      </c>
      <c r="D59" s="313">
        <v>0</v>
      </c>
      <c r="E59" s="313">
        <v>0</v>
      </c>
      <c r="F59" s="313">
        <v>0</v>
      </c>
      <c r="G59" s="575"/>
      <c r="H59" s="535"/>
      <c r="I59" s="537"/>
      <c r="J59" s="533"/>
      <c r="L59" s="539"/>
      <c r="M59" s="311">
        <v>0</v>
      </c>
      <c r="N59" s="313">
        <v>0</v>
      </c>
      <c r="O59" s="313">
        <v>0</v>
      </c>
      <c r="P59" s="313">
        <v>0</v>
      </c>
      <c r="Q59" s="575"/>
      <c r="R59" s="535"/>
      <c r="S59" s="537"/>
      <c r="T59" s="533"/>
    </row>
    <row r="60" spans="1:20" ht="13" thickBot="1">
      <c r="A60" s="554"/>
      <c r="B60" s="571"/>
      <c r="C60" s="312"/>
      <c r="D60" s="314"/>
      <c r="E60" s="314"/>
      <c r="F60" s="314"/>
      <c r="G60" s="576"/>
      <c r="H60" s="568"/>
      <c r="I60" s="569"/>
      <c r="J60" s="567"/>
      <c r="L60" s="570"/>
      <c r="M60" s="312"/>
      <c r="N60" s="314"/>
      <c r="O60" s="314"/>
      <c r="P60" s="314"/>
      <c r="Q60" s="576"/>
      <c r="R60" s="568"/>
      <c r="S60" s="569"/>
      <c r="T60" s="567"/>
    </row>
    <row r="61" spans="1:20" ht="12.75" customHeight="1">
      <c r="A61" s="216"/>
      <c r="B61" s="555"/>
      <c r="C61" s="319">
        <v>0</v>
      </c>
      <c r="D61" s="300">
        <v>0</v>
      </c>
      <c r="E61" s="300">
        <v>0</v>
      </c>
      <c r="F61" s="300">
        <v>0</v>
      </c>
      <c r="G61" s="534"/>
      <c r="H61" s="534"/>
      <c r="I61" s="536"/>
      <c r="J61" s="532"/>
      <c r="L61" s="555"/>
      <c r="M61" s="319">
        <v>0</v>
      </c>
      <c r="N61" s="300">
        <v>0</v>
      </c>
      <c r="O61" s="300">
        <v>0</v>
      </c>
      <c r="P61" s="300">
        <v>0</v>
      </c>
      <c r="Q61" s="534"/>
      <c r="R61" s="534"/>
      <c r="S61" s="536"/>
      <c r="T61" s="532"/>
    </row>
    <row r="62" spans="1:20">
      <c r="B62" s="556"/>
      <c r="C62" s="320"/>
      <c r="D62" s="301"/>
      <c r="E62" s="301"/>
      <c r="F62" s="301"/>
      <c r="G62" s="535"/>
      <c r="H62" s="535"/>
      <c r="I62" s="537"/>
      <c r="J62" s="533"/>
      <c r="L62" s="556"/>
      <c r="M62" s="320"/>
      <c r="N62" s="301"/>
      <c r="O62" s="301"/>
      <c r="P62" s="301"/>
      <c r="Q62" s="535"/>
      <c r="R62" s="535"/>
      <c r="S62" s="537"/>
      <c r="T62" s="533"/>
    </row>
    <row r="63" spans="1:20">
      <c r="B63" s="556"/>
      <c r="C63" s="311">
        <v>0</v>
      </c>
      <c r="D63" s="313">
        <v>0</v>
      </c>
      <c r="E63" s="313">
        <v>0</v>
      </c>
      <c r="F63" s="313">
        <v>0</v>
      </c>
      <c r="G63" s="535"/>
      <c r="H63" s="535"/>
      <c r="I63" s="537"/>
      <c r="J63" s="533"/>
      <c r="L63" s="556"/>
      <c r="M63" s="311">
        <v>0</v>
      </c>
      <c r="N63" s="313">
        <v>0</v>
      </c>
      <c r="O63" s="313">
        <v>0</v>
      </c>
      <c r="P63" s="313">
        <v>0</v>
      </c>
      <c r="Q63" s="535"/>
      <c r="R63" s="535"/>
      <c r="S63" s="537"/>
      <c r="T63" s="533"/>
    </row>
    <row r="64" spans="1:20" ht="13" thickBot="1">
      <c r="B64" s="571"/>
      <c r="C64" s="312"/>
      <c r="D64" s="314"/>
      <c r="E64" s="314"/>
      <c r="F64" s="314"/>
      <c r="G64" s="568"/>
      <c r="H64" s="568"/>
      <c r="I64" s="569"/>
      <c r="J64" s="567"/>
      <c r="L64" s="571"/>
      <c r="M64" s="312"/>
      <c r="N64" s="314"/>
      <c r="O64" s="314"/>
      <c r="P64" s="314"/>
      <c r="Q64" s="568"/>
      <c r="R64" s="568"/>
      <c r="S64" s="569"/>
      <c r="T64" s="567"/>
    </row>
    <row r="65" spans="2:20">
      <c r="B65" s="555"/>
      <c r="C65" s="319">
        <v>0</v>
      </c>
      <c r="D65" s="300">
        <v>0</v>
      </c>
      <c r="E65" s="300">
        <v>0</v>
      </c>
      <c r="F65" s="300">
        <v>0</v>
      </c>
      <c r="G65" s="574"/>
      <c r="H65" s="534"/>
      <c r="I65" s="536"/>
      <c r="J65" s="532"/>
      <c r="L65" s="555"/>
      <c r="M65" s="319">
        <v>0</v>
      </c>
      <c r="N65" s="300">
        <v>0</v>
      </c>
      <c r="O65" s="300">
        <v>0</v>
      </c>
      <c r="P65" s="300">
        <v>0</v>
      </c>
      <c r="Q65" s="574"/>
      <c r="R65" s="534"/>
      <c r="S65" s="536"/>
      <c r="T65" s="532"/>
    </row>
    <row r="66" spans="2:20">
      <c r="B66" s="556"/>
      <c r="C66" s="320"/>
      <c r="D66" s="301"/>
      <c r="E66" s="301"/>
      <c r="F66" s="301"/>
      <c r="G66" s="575"/>
      <c r="H66" s="535"/>
      <c r="I66" s="537"/>
      <c r="J66" s="533"/>
      <c r="L66" s="556"/>
      <c r="M66" s="320"/>
      <c r="N66" s="301"/>
      <c r="O66" s="301"/>
      <c r="P66" s="301"/>
      <c r="Q66" s="575"/>
      <c r="R66" s="535"/>
      <c r="S66" s="537"/>
      <c r="T66" s="533"/>
    </row>
    <row r="67" spans="2:20">
      <c r="B67" s="556"/>
      <c r="C67" s="311">
        <v>0</v>
      </c>
      <c r="D67" s="313">
        <v>0</v>
      </c>
      <c r="E67" s="313">
        <v>0</v>
      </c>
      <c r="F67" s="313">
        <v>0</v>
      </c>
      <c r="G67" s="575"/>
      <c r="H67" s="535"/>
      <c r="I67" s="537"/>
      <c r="J67" s="533"/>
      <c r="L67" s="556"/>
      <c r="M67" s="311">
        <v>0</v>
      </c>
      <c r="N67" s="313">
        <v>0</v>
      </c>
      <c r="O67" s="313">
        <v>0</v>
      </c>
      <c r="P67" s="313">
        <v>0</v>
      </c>
      <c r="Q67" s="575"/>
      <c r="R67" s="535"/>
      <c r="S67" s="537"/>
      <c r="T67" s="533"/>
    </row>
    <row r="68" spans="2:20" ht="13" thickBot="1">
      <c r="B68" s="571"/>
      <c r="C68" s="312"/>
      <c r="D68" s="314"/>
      <c r="E68" s="314"/>
      <c r="F68" s="314"/>
      <c r="G68" s="576"/>
      <c r="H68" s="568"/>
      <c r="I68" s="569"/>
      <c r="J68" s="567"/>
      <c r="L68" s="571"/>
      <c r="M68" s="312"/>
      <c r="N68" s="314"/>
      <c r="O68" s="314"/>
      <c r="P68" s="314"/>
      <c r="Q68" s="576"/>
      <c r="R68" s="568"/>
      <c r="S68" s="569"/>
      <c r="T68" s="567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  <pageSetUpPr fitToPage="1"/>
  </sheetPr>
  <dimension ref="A1:J38"/>
  <sheetViews>
    <sheetView topLeftCell="A22" workbookViewId="0">
      <selection activeCell="O27" sqref="O2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19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3" t="str">
        <f>пр.взв!$D$4</f>
        <v>В.к. 68 кг.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8" t="s">
        <v>31</v>
      </c>
      <c r="B4" s="578" t="s">
        <v>5</v>
      </c>
      <c r="C4" s="587" t="s">
        <v>2</v>
      </c>
      <c r="D4" s="578" t="s">
        <v>23</v>
      </c>
      <c r="E4" s="588" t="s">
        <v>24</v>
      </c>
      <c r="F4" s="589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84"/>
      <c r="B5" s="584"/>
      <c r="C5" s="584"/>
      <c r="D5" s="584"/>
      <c r="E5" s="590"/>
      <c r="F5" s="591"/>
      <c r="G5" s="584"/>
      <c r="H5" s="584"/>
      <c r="I5" s="584"/>
      <c r="J5" s="584"/>
    </row>
    <row r="6" spans="1:10">
      <c r="A6" s="582"/>
      <c r="B6" s="592">
        <f>пр.хода!AX6</f>
        <v>3</v>
      </c>
      <c r="C6" s="583" t="str">
        <f>IFERROR(VLOOKUP(B6,пр.взв!$B$7:$H$76,2,0),"")</f>
        <v>СУСЛОВА Екатерина Алексеевна</v>
      </c>
      <c r="D6" s="583" t="str">
        <f>IFERROR(VLOOKUP(B6,пр.взв!$B$7:$H$76,3,0),"")</f>
        <v>09.04.98, КМС</v>
      </c>
      <c r="E6" s="583" t="str">
        <f>IFERROR(VLOOKUP(B6,пр.взв!$B$7:$H$76,4,0),"")</f>
        <v>УФО</v>
      </c>
      <c r="F6" s="583" t="str">
        <f>IFERROR(VLOOKUP(B6,пр.взв!$B$7:$H$76,5,0),"")</f>
        <v>Свердловская, Н-Тагил, СШ№3</v>
      </c>
      <c r="G6" s="581"/>
      <c r="H6" s="585"/>
      <c r="I6" s="586"/>
      <c r="J6" s="578"/>
    </row>
    <row r="7" spans="1:10">
      <c r="A7" s="582"/>
      <c r="B7" s="578"/>
      <c r="C7" s="583"/>
      <c r="D7" s="583"/>
      <c r="E7" s="583"/>
      <c r="F7" s="583"/>
      <c r="G7" s="581"/>
      <c r="H7" s="581"/>
      <c r="I7" s="586"/>
      <c r="J7" s="578"/>
    </row>
    <row r="8" spans="1:10" ht="12.75" customHeight="1">
      <c r="A8" s="577"/>
      <c r="B8" s="592">
        <f>пр.хода!AX7</f>
        <v>5</v>
      </c>
      <c r="C8" s="579" t="str">
        <f>IFERROR(VLOOKUP(B8,пр.взв!$B$7:$H$76,2,0),"")</f>
        <v>ГОРДЕЕВА Софья Александровна</v>
      </c>
      <c r="D8" s="579" t="str">
        <f>IFERROR(VLOOKUP(B8,пр.взв!$B$7:$H$76,3,0),"")</f>
        <v>26.04.96, КМС</v>
      </c>
      <c r="E8" s="579" t="str">
        <f>IFERROR(VLOOKUP(B8,пр.взв!$B$7:$H$76,4,0),"")</f>
        <v>ПФО</v>
      </c>
      <c r="F8" s="579" t="str">
        <f>IFERROR(VLOOKUP(B8,пр.взв!$B$7:$H$76,5,0),"")</f>
        <v>Пермский, Пермь, МО</v>
      </c>
      <c r="G8" s="581"/>
      <c r="H8" s="581"/>
      <c r="I8" s="578"/>
      <c r="J8" s="578"/>
    </row>
    <row r="9" spans="1:10">
      <c r="A9" s="577"/>
      <c r="B9" s="578"/>
      <c r="C9" s="580"/>
      <c r="D9" s="580"/>
      <c r="E9" s="580"/>
      <c r="F9" s="580"/>
      <c r="G9" s="581"/>
      <c r="H9" s="581"/>
      <c r="I9" s="578"/>
      <c r="J9" s="578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4" t="str">
        <f>пр.взв!$D$4</f>
        <v>В.к. 68 кг.</v>
      </c>
      <c r="B14" s="594"/>
      <c r="C14" s="594"/>
      <c r="D14" s="594"/>
      <c r="E14" s="594"/>
      <c r="F14" s="594"/>
      <c r="G14" s="594"/>
      <c r="H14" s="594"/>
      <c r="I14" s="594"/>
      <c r="J14" s="594"/>
    </row>
    <row r="15" spans="1:10" ht="15.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7" t="s">
        <v>2</v>
      </c>
      <c r="D16" s="578" t="s">
        <v>23</v>
      </c>
      <c r="E16" s="588" t="s">
        <v>24</v>
      </c>
      <c r="F16" s="589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84"/>
      <c r="B17" s="584"/>
      <c r="C17" s="584"/>
      <c r="D17" s="584"/>
      <c r="E17" s="590"/>
      <c r="F17" s="591"/>
      <c r="G17" s="584"/>
      <c r="H17" s="584"/>
      <c r="I17" s="584"/>
      <c r="J17" s="584"/>
    </row>
    <row r="18" spans="1:10">
      <c r="A18" s="582"/>
      <c r="B18" s="592">
        <f>пр.хода!AY6</f>
        <v>4</v>
      </c>
      <c r="C18" s="583" t="str">
        <f>IFERROR(VLOOKUP(B18,пр.взв!$B$7:$H$76,2,0),"")</f>
        <v>СУТОРМИНА Анастасия Евгеньевна</v>
      </c>
      <c r="D18" s="583" t="str">
        <f>IFERROR(VLOOKUP(B18,пр.взв!$B$7:$H$76,3,0),"")</f>
        <v>15.11.00, КМС</v>
      </c>
      <c r="E18" s="583" t="str">
        <f>IFERROR(VLOOKUP(B18,пр.взв!$B$7:$H$76,4,0),"")</f>
        <v>УФО</v>
      </c>
      <c r="F18" s="583" t="str">
        <f>IFERROR(VLOOKUP(B18,пр.взв!$B$7:$H$76,5,0),"")</f>
        <v>Свердловская, Екатеринбург,ДЮСК Алый Парус</v>
      </c>
      <c r="G18" s="581"/>
      <c r="H18" s="585"/>
      <c r="I18" s="586"/>
      <c r="J18" s="578"/>
    </row>
    <row r="19" spans="1:10">
      <c r="A19" s="582"/>
      <c r="B19" s="578"/>
      <c r="C19" s="583"/>
      <c r="D19" s="583"/>
      <c r="E19" s="583"/>
      <c r="F19" s="583"/>
      <c r="G19" s="581"/>
      <c r="H19" s="581"/>
      <c r="I19" s="586"/>
      <c r="J19" s="578"/>
    </row>
    <row r="20" spans="1:10">
      <c r="A20" s="577"/>
      <c r="B20" s="592">
        <f>пр.хода!AY7</f>
        <v>1</v>
      </c>
      <c r="C20" s="579" t="str">
        <f>IFERROR(VLOOKUP(B20,пр.взв!$B$7:$H$76,2,0),"")</f>
        <v>ШАРКУНОВА Дарья Владимировна</v>
      </c>
      <c r="D20" s="579" t="str">
        <f>IFERROR(VLOOKUP(B20,пр.взв!$B$7:$H$76,3,0),"")</f>
        <v>31.01.99, КМС</v>
      </c>
      <c r="E20" s="579" t="str">
        <f>IFERROR(VLOOKUP(B20,пр.взв!$B$7:$H$76,4,0),"")</f>
        <v>УФО</v>
      </c>
      <c r="F20" s="579" t="str">
        <f>IFERROR(VLOOKUP(B20,пр.взв!$B$7:$H$76,5,0),"")</f>
        <v>Свердловская, Ирбит, ДЮСШ</v>
      </c>
      <c r="G20" s="581"/>
      <c r="H20" s="581"/>
      <c r="I20" s="578"/>
      <c r="J20" s="578"/>
    </row>
    <row r="21" spans="1:10">
      <c r="A21" s="577"/>
      <c r="B21" s="578"/>
      <c r="C21" s="580"/>
      <c r="D21" s="580"/>
      <c r="E21" s="580"/>
      <c r="F21" s="580"/>
      <c r="G21" s="581"/>
      <c r="H21" s="581"/>
      <c r="I21" s="578"/>
      <c r="J21" s="578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9" t="str">
        <f>пр.взв!$D$4</f>
        <v>В.к. 68 кг.</v>
      </c>
      <c r="B27" s="509"/>
      <c r="C27" s="509"/>
      <c r="D27" s="509"/>
      <c r="E27" s="509"/>
      <c r="F27" s="509"/>
      <c r="G27" s="509"/>
      <c r="H27" s="509"/>
      <c r="I27" s="509"/>
      <c r="J27" s="509"/>
    </row>
    <row r="28" spans="1:10" ht="15.65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7" t="s">
        <v>2</v>
      </c>
      <c r="D29" s="578" t="s">
        <v>23</v>
      </c>
      <c r="E29" s="588" t="s">
        <v>24</v>
      </c>
      <c r="F29" s="589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84"/>
      <c r="B30" s="584"/>
      <c r="C30" s="584"/>
      <c r="D30" s="584"/>
      <c r="E30" s="590"/>
      <c r="F30" s="591"/>
      <c r="G30" s="584"/>
      <c r="H30" s="584"/>
      <c r="I30" s="584"/>
      <c r="J30" s="584"/>
    </row>
    <row r="31" spans="1:10" ht="12.75" customHeight="1">
      <c r="A31" s="582"/>
      <c r="B31" s="578">
        <f>пр.хода!AZ6</f>
        <v>3</v>
      </c>
      <c r="C31" s="583" t="str">
        <f>IFERROR(VLOOKUP(B31,пр.взв!$B$7:$H$76,2,0),"")</f>
        <v>СУСЛОВА Екатерина Алексеевна</v>
      </c>
      <c r="D31" s="583" t="str">
        <f>IFERROR(VLOOKUP(B31,пр.взв!$B$7:$H$76,3,0),"")</f>
        <v>09.04.98, КМС</v>
      </c>
      <c r="E31" s="583" t="str">
        <f>IFERROR(VLOOKUP(B31,пр.взв!$B$7:$H$76,4,0),"")</f>
        <v>УФО</v>
      </c>
      <c r="F31" s="583" t="str">
        <f>IFERROR(VLOOKUP(B31,пр.взв!$B$7:$H$76,5,0),"")</f>
        <v>Свердловская, Н-Тагил, СШ№3</v>
      </c>
      <c r="G31" s="581"/>
      <c r="H31" s="585"/>
      <c r="I31" s="586"/>
      <c r="J31" s="578"/>
    </row>
    <row r="32" spans="1:10">
      <c r="A32" s="582"/>
      <c r="B32" s="578"/>
      <c r="C32" s="583"/>
      <c r="D32" s="583"/>
      <c r="E32" s="583"/>
      <c r="F32" s="583"/>
      <c r="G32" s="581"/>
      <c r="H32" s="581"/>
      <c r="I32" s="586"/>
      <c r="J32" s="578"/>
    </row>
    <row r="33" spans="1:10" ht="12.75" customHeight="1">
      <c r="A33" s="577"/>
      <c r="B33" s="578">
        <f>пр.хода!AZ7</f>
        <v>1</v>
      </c>
      <c r="C33" s="579" t="str">
        <f>IFERROR(VLOOKUP(B33,пр.взв!$B$7:$H$76,2,0),"")</f>
        <v>ШАРКУНОВА Дарья Владимировна</v>
      </c>
      <c r="D33" s="579" t="str">
        <f>IFERROR(VLOOKUP(B33,пр.взв!$B$7:$H$76,3,0),"")</f>
        <v>31.01.99, КМС</v>
      </c>
      <c r="E33" s="579" t="str">
        <f>IFERROR(VLOOKUP(B33,пр.взв!$B$7:$H$76,4,0),"")</f>
        <v>УФО</v>
      </c>
      <c r="F33" s="579" t="str">
        <f>IFERROR(VLOOKUP(B33,пр.взв!$B$7:$H$76,5,0),"")</f>
        <v>Свердловская, Ирбит, ДЮСШ</v>
      </c>
      <c r="G33" s="581"/>
      <c r="H33" s="581"/>
      <c r="I33" s="578"/>
      <c r="J33" s="578"/>
    </row>
    <row r="34" spans="1:10">
      <c r="A34" s="577"/>
      <c r="B34" s="578"/>
      <c r="C34" s="580"/>
      <c r="D34" s="580"/>
      <c r="E34" s="580"/>
      <c r="F34" s="580"/>
      <c r="G34" s="581"/>
      <c r="H34" s="581"/>
      <c r="I34" s="578"/>
      <c r="J34" s="578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СУСЛОВА Екатерина Алексеевна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155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ШАРКУНОВА Дарья Владимировна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157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СУТОРМИНА Анастасия Евгеньевна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ГОРДЕЕВА Софья Александровна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2019-03-31T10:59:19Z</cp:lastPrinted>
  <dcterms:created xsi:type="dcterms:W3CDTF">1996-10-08T23:32:33Z</dcterms:created>
  <dcterms:modified xsi:type="dcterms:W3CDTF">2019-04-01T13:20:03Z</dcterms:modified>
</cp:coreProperties>
</file>