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7A2D7E96-6E34-419A-AE5F-296B3A7E7977}"/>
  <workbookPr showInkAnnotation="0" updateLinks="always" codeName="ЭтаКнига" defaultThemeVersion="124226"/>
  <bookViews>
    <workbookView xWindow="120" yWindow="180" windowWidth="9720" windowHeight="7260" firstSheet="5" activeTab="5"/>
  </bookViews>
  <sheets>
    <sheet name="пр.взв" sheetId="14" r:id="rId1"/>
    <sheet name="кр1" sheetId="11" r:id="rId2"/>
    <sheet name="кр2" sheetId="13" r:id="rId3"/>
    <sheet name="НАГР ЛИСТ" sheetId="6" r:id="rId4"/>
    <sheet name="пр.хода" sheetId="1" r:id="rId5"/>
    <sheet name="ит.пр" sheetId="4" r:id="rId6"/>
    <sheet name="кр3" sheetId="8" r:id="rId7"/>
    <sheet name="кр4" sheetId="9" r:id="rId8"/>
    <sheet name="кр5" sheetId="7" r:id="rId9"/>
    <sheet name="кр6" sheetId="10" r:id="rId10"/>
    <sheet name="кр7" sheetId="15" r:id="rId11"/>
    <sheet name="пф" sheetId="3" r:id="rId12"/>
    <sheet name="1м" sheetId="16" r:id="rId13"/>
    <sheet name="2м" sheetId="17" r:id="rId14"/>
    <sheet name="3м" sheetId="18" r:id="rId15"/>
    <sheet name="4м" sheetId="19" r:id="rId16"/>
  </sheets>
  <externalReferences>
    <externalReference r:id="rId17"/>
    <externalReference r:id="rId18"/>
    <externalReference r:id="rId19"/>
    <externalReference r:id="rId20"/>
  </externalReferences>
  <definedNames>
    <definedName name="а55" localSheetId="12">#REF!</definedName>
    <definedName name="а55" localSheetId="13">#REF!</definedName>
    <definedName name="а55" localSheetId="14">#REF!</definedName>
    <definedName name="а55" localSheetId="15">#REF!</definedName>
    <definedName name="а55">#REF!</definedName>
    <definedName name="Е4кр" localSheetId="12">[1]пр.хода!$CC$6:$CC$119</definedName>
    <definedName name="Е4кр" localSheetId="13">[1]пр.хода!$CC$6:$CC$119</definedName>
    <definedName name="Е4кр" localSheetId="14">[1]пр.хода!$CC$6:$CC$119</definedName>
    <definedName name="Е4кр" localSheetId="15">[1]пр.хода!$CC$6:$CC$119</definedName>
    <definedName name="Е4кр" localSheetId="10">[2]пр.хода!$CC$6:$CC$119</definedName>
    <definedName name="Е4кр" localSheetId="0">[3]пр.хода!$BT$6:$BT$119</definedName>
    <definedName name="Е4кр">пр.хода!$CC$6:$CC$119</definedName>
    <definedName name="Е5кр" localSheetId="12">[1]пр.хода!$CI$6:$CI$119</definedName>
    <definedName name="Е5кр" localSheetId="13">[1]пр.хода!$CI$6:$CI$119</definedName>
    <definedName name="Е5кр" localSheetId="14">[1]пр.хода!$CI$6:$CI$119</definedName>
    <definedName name="Е5кр" localSheetId="15">[1]пр.хода!$CI$6:$CI$119</definedName>
    <definedName name="Е5кр" localSheetId="10">[2]пр.хода!$CI$6:$CI$119</definedName>
    <definedName name="Е5кр" localSheetId="0">[3]пр.хода!$BZ$6:$BZ$119</definedName>
    <definedName name="Е5кр">пр.хода!$CI$6:$CI$119</definedName>
    <definedName name="Е6кр" localSheetId="12">[1]пр.хода!$CO$6:$CO$119</definedName>
    <definedName name="Е6кр" localSheetId="13">[1]пр.хода!$CO$6:$CO$119</definedName>
    <definedName name="Е6кр" localSheetId="14">[1]пр.хода!$CO$6:$CO$119</definedName>
    <definedName name="Е6кр" localSheetId="15">[1]пр.хода!$CO$6:$CO$119</definedName>
    <definedName name="Е6кр" localSheetId="10">[2]пр.хода!$CO$6:$CO$119</definedName>
    <definedName name="Е6кр" localSheetId="0">[3]пр.хода!$CF$6:$CF$119</definedName>
    <definedName name="Е6кр">пр.хода!$CO$6:$CO$119</definedName>
    <definedName name="Е7кр" localSheetId="12">[1]пр.хода!$CU$5:$CU$119</definedName>
    <definedName name="Е7кр" localSheetId="13">[1]пр.хода!$CU$5:$CU$119</definedName>
    <definedName name="Е7кр" localSheetId="14">[1]пр.хода!$CU$5:$CU$119</definedName>
    <definedName name="Е7кр" localSheetId="15">[1]пр.хода!$CU$5:$CU$119</definedName>
    <definedName name="Е7кр" localSheetId="10">[2]пр.хода!$CU$5:$CU$119</definedName>
    <definedName name="Е7кр">пр.хода!$CU$5:$CU$119</definedName>
    <definedName name="ЕстьПустые" localSheetId="12">[1]пр.хода!$BZ$6:$BZ$119</definedName>
    <definedName name="ЕстьПустые" localSheetId="13">[1]пр.хода!$BZ$6:$BZ$119</definedName>
    <definedName name="ЕстьПустые" localSheetId="14">[1]пр.хода!$BZ$6:$BZ$119</definedName>
    <definedName name="ЕстьПустые" localSheetId="15">[1]пр.хода!$BZ$6:$BZ$119</definedName>
    <definedName name="ЕстьПустые" localSheetId="10">[2]пр.хода!$BZ$6:$BZ$119</definedName>
    <definedName name="ЕстьПустые" localSheetId="0">[3]пр.хода!$BQ$6:$BQ$119</definedName>
    <definedName name="ЕстьПустые">пр.хода!$BZ$6:$BZ$119</definedName>
    <definedName name="как55" localSheetId="12">#REF!</definedName>
    <definedName name="как55" localSheetId="13">#REF!</definedName>
    <definedName name="как55" localSheetId="14">#REF!</definedName>
    <definedName name="как55" localSheetId="15">#REF!</definedName>
    <definedName name="как55">#REF!</definedName>
    <definedName name="Н4кр" localSheetId="12">[1]пр.хода!$CD$6:$CD$119</definedName>
    <definedName name="Н4кр" localSheetId="13">[1]пр.хода!$CD$6:$CD$119</definedName>
    <definedName name="Н4кр" localSheetId="14">[1]пр.хода!$CD$6:$CD$119</definedName>
    <definedName name="Н4кр" localSheetId="15">[1]пр.хода!$CD$6:$CD$119</definedName>
    <definedName name="Н4кр" localSheetId="10">[2]пр.хода!$CD$6:$CD$119</definedName>
    <definedName name="Н4кр" localSheetId="0">[3]пр.хода!$BU$6:$BU$119</definedName>
    <definedName name="Н4кр">пр.хода!$CD$3:$CD$116</definedName>
    <definedName name="Н5кр" localSheetId="12">[1]пр.хода!$CJ$6:$CJ$119</definedName>
    <definedName name="Н5кр" localSheetId="13">[1]пр.хода!$CJ$6:$CJ$119</definedName>
    <definedName name="Н5кр" localSheetId="14">[1]пр.хода!$CJ$6:$CJ$119</definedName>
    <definedName name="Н5кр" localSheetId="15">[1]пр.хода!$CJ$6:$CJ$119</definedName>
    <definedName name="Н5кр" localSheetId="10">[2]пр.хода!$CJ$6:$CJ$119</definedName>
    <definedName name="Н5кр" localSheetId="0">[3]пр.хода!$CA$6:$CA$119</definedName>
    <definedName name="Н5кр">пр.хода!$CJ$3:$CJ$116</definedName>
    <definedName name="Н6кр" localSheetId="12">[1]пр.хода!$CP$6:$CP$119</definedName>
    <definedName name="Н6кр" localSheetId="13">[1]пр.хода!$CP$6:$CP$119</definedName>
    <definedName name="Н6кр" localSheetId="14">[1]пр.хода!$CP$6:$CP$119</definedName>
    <definedName name="Н6кр" localSheetId="15">[1]пр.хода!$CP$6:$CP$119</definedName>
    <definedName name="Н6кр" localSheetId="10">[2]пр.хода!$CP$6:$CP$119</definedName>
    <definedName name="Н6кр" localSheetId="0">[3]пр.хода!$CG$6:$CG$119</definedName>
    <definedName name="Н6кр">пр.хода!$CP$3:$CP$116</definedName>
    <definedName name="Н7кр" localSheetId="12">[1]пр.хода!$CV$5:$CV$119</definedName>
    <definedName name="Н7кр" localSheetId="13">[1]пр.хода!$CV$5:$CV$119</definedName>
    <definedName name="Н7кр" localSheetId="14">[1]пр.хода!$CV$5:$CV$119</definedName>
    <definedName name="Н7кр" localSheetId="15">[1]пр.хода!$CV$5:$CV$119</definedName>
    <definedName name="Н7кр" localSheetId="10">[2]пр.хода!$CV$5:$CV$119</definedName>
    <definedName name="Н7кр">пр.хода!$CV$2:$CV$116</definedName>
    <definedName name="НетПустых" localSheetId="12">[1]пр.хода!$CB$6:$CB$23</definedName>
    <definedName name="НетПустых" localSheetId="13">[1]пр.хода!$CB$6:$CB$23</definedName>
    <definedName name="НетПустых" localSheetId="14">[1]пр.хода!$CB$6:$CB$23</definedName>
    <definedName name="НетПустых" localSheetId="15">[1]пр.хода!$CB$6:$CB$23</definedName>
    <definedName name="НетПустых" localSheetId="10">[2]пр.хода!$CB$6:$CB$23</definedName>
    <definedName name="НетПустых" localSheetId="0">[3]пр.хода!$BS$6:$BS$23</definedName>
    <definedName name="НетПустых">пр.хода!$CB$3:$CB$25</definedName>
    <definedName name="разряд" localSheetId="12">#REF!</definedName>
    <definedName name="разряд" localSheetId="13">#REF!</definedName>
    <definedName name="разряд" localSheetId="14">#REF!</definedName>
    <definedName name="разряд" localSheetId="15">#REF!</definedName>
    <definedName name="разряд" localSheetId="10">#REF!</definedName>
    <definedName name="разряд" localSheetId="0">пр.взв!$K$7:$K$76</definedName>
    <definedName name="разряд">#REF!</definedName>
    <definedName name="субъект" localSheetId="12">#REF!</definedName>
    <definedName name="субъект" localSheetId="13">#REF!</definedName>
    <definedName name="субъект" localSheetId="14">#REF!</definedName>
    <definedName name="субъект" localSheetId="15">#REF!</definedName>
    <definedName name="субъект" localSheetId="10">#REF!</definedName>
    <definedName name="субъект" localSheetId="0">пр.взв!$L$7:$L$76</definedName>
    <definedName name="субъект">#REF!</definedName>
  </definedNames>
  <calcPr calcId="145621"/>
</workbook>
</file>

<file path=xl/calcChain.xml><?xml version="1.0" encoding="utf-8"?>
<calcChain xmlns="http://schemas.openxmlformats.org/spreadsheetml/2006/main">
  <c r="A119" i="4" l="1"/>
  <c r="A118" i="4"/>
  <c r="B122" i="1"/>
  <c r="B121" i="1"/>
  <c r="G2" i="15" l="1"/>
  <c r="Q2" i="15" s="1"/>
  <c r="G2" i="10"/>
  <c r="Q2" i="10" s="1"/>
  <c r="G2" i="7"/>
  <c r="Q2" i="7" s="1"/>
  <c r="G2" i="9"/>
  <c r="Q2" i="9" s="1"/>
  <c r="G2" i="8"/>
  <c r="Q2" i="8" s="1"/>
  <c r="G2" i="13"/>
  <c r="Q2" i="13" s="1"/>
  <c r="G2" i="11"/>
  <c r="Q2" i="11" s="1"/>
  <c r="I27" i="19" l="1"/>
  <c r="I27" i="18"/>
  <c r="I27" i="17"/>
  <c r="L76" i="14" l="1"/>
  <c r="K76" i="14"/>
  <c r="L75" i="14"/>
  <c r="K75" i="14"/>
  <c r="L74" i="14"/>
  <c r="K74" i="14"/>
  <c r="L73" i="14"/>
  <c r="K73" i="14"/>
  <c r="L72" i="14"/>
  <c r="K72" i="14"/>
  <c r="L71" i="14"/>
  <c r="K71" i="14"/>
  <c r="L70" i="14"/>
  <c r="K70" i="14"/>
  <c r="L69" i="14"/>
  <c r="K69" i="14"/>
  <c r="L68" i="14"/>
  <c r="K68" i="14"/>
  <c r="L67" i="14"/>
  <c r="K67" i="14"/>
  <c r="L66" i="14"/>
  <c r="K66" i="14"/>
  <c r="L65" i="14"/>
  <c r="K65" i="14"/>
  <c r="L64" i="14"/>
  <c r="K64" i="14"/>
  <c r="L63" i="14"/>
  <c r="K63" i="14"/>
  <c r="L62" i="14"/>
  <c r="K62" i="14"/>
  <c r="L61" i="14"/>
  <c r="K61" i="14"/>
  <c r="L60" i="14"/>
  <c r="K60" i="14"/>
  <c r="L59" i="14"/>
  <c r="K59" i="14"/>
  <c r="L58" i="14"/>
  <c r="K58" i="14"/>
  <c r="L57" i="14"/>
  <c r="K57" i="14"/>
  <c r="L56" i="14"/>
  <c r="K56" i="14"/>
  <c r="L55" i="14"/>
  <c r="K55" i="14"/>
  <c r="L54" i="14"/>
  <c r="K54" i="14"/>
  <c r="L53" i="14"/>
  <c r="K53" i="14"/>
  <c r="L52" i="14"/>
  <c r="K52" i="14"/>
  <c r="L51" i="14"/>
  <c r="K51" i="14"/>
  <c r="L50" i="14"/>
  <c r="K50" i="14"/>
  <c r="L49" i="14"/>
  <c r="K49" i="14"/>
  <c r="L48" i="14"/>
  <c r="K48" i="14"/>
  <c r="L47" i="14"/>
  <c r="K47" i="14"/>
  <c r="L46" i="14"/>
  <c r="K46" i="14"/>
  <c r="L45" i="14"/>
  <c r="K45" i="14"/>
  <c r="L44" i="14"/>
  <c r="K44" i="14"/>
  <c r="L43" i="14"/>
  <c r="K43" i="14"/>
  <c r="L42" i="14"/>
  <c r="K42" i="14"/>
  <c r="L41" i="14"/>
  <c r="K41" i="14"/>
  <c r="L40" i="14"/>
  <c r="K40" i="14"/>
  <c r="L39" i="14"/>
  <c r="K39" i="14"/>
  <c r="L38" i="14"/>
  <c r="K38" i="14"/>
  <c r="L37" i="14"/>
  <c r="K37" i="14"/>
  <c r="L36" i="14"/>
  <c r="K36" i="14"/>
  <c r="L35" i="14"/>
  <c r="K35" i="14"/>
  <c r="L34" i="14"/>
  <c r="K34" i="14"/>
  <c r="L33" i="14"/>
  <c r="K33" i="14"/>
  <c r="L32" i="14"/>
  <c r="K32" i="14"/>
  <c r="L31" i="14"/>
  <c r="K31" i="14"/>
  <c r="L30" i="14"/>
  <c r="K30" i="14"/>
  <c r="L29" i="14"/>
  <c r="K29" i="14"/>
  <c r="L28" i="14"/>
  <c r="K28" i="14"/>
  <c r="L27" i="14"/>
  <c r="K27" i="14"/>
  <c r="L26" i="14"/>
  <c r="K26" i="14"/>
  <c r="L25" i="14"/>
  <c r="K25" i="14"/>
  <c r="L24" i="14"/>
  <c r="K24" i="14"/>
  <c r="L23" i="14"/>
  <c r="K23" i="14"/>
  <c r="L22" i="14"/>
  <c r="K22" i="14"/>
  <c r="L21" i="14"/>
  <c r="K21" i="14"/>
  <c r="L20" i="14"/>
  <c r="K20" i="14"/>
  <c r="L19" i="14"/>
  <c r="K19" i="14"/>
  <c r="L18" i="14"/>
  <c r="K18" i="14"/>
  <c r="L17" i="14"/>
  <c r="K17" i="14"/>
  <c r="L16" i="14"/>
  <c r="K16" i="14"/>
  <c r="L15" i="14"/>
  <c r="K15" i="14"/>
  <c r="L14" i="14"/>
  <c r="K14" i="14"/>
  <c r="L13" i="14"/>
  <c r="K13" i="14"/>
  <c r="L12" i="14"/>
  <c r="K12" i="14"/>
  <c r="L11" i="14"/>
  <c r="K11" i="14"/>
  <c r="L10" i="14"/>
  <c r="K10" i="14"/>
  <c r="L9" i="14"/>
  <c r="K9" i="14"/>
  <c r="L8" i="14"/>
  <c r="K8" i="14"/>
  <c r="L7" i="14"/>
  <c r="K7" i="14"/>
  <c r="N7" i="14" l="1" a="1"/>
  <c r="N7" i="14" s="1"/>
  <c r="N8" i="14" s="1" a="1"/>
  <c r="N8" i="14" s="1"/>
  <c r="R6" i="14" s="1"/>
  <c r="AA6" i="14" s="1"/>
  <c r="M7" i="14" a="1"/>
  <c r="M7" i="14" s="1"/>
  <c r="Q6" i="14" l="1"/>
  <c r="Z6" i="14" s="1"/>
  <c r="N9" i="14" a="1"/>
  <c r="N9" i="14" s="1"/>
  <c r="S6" i="14" s="1"/>
  <c r="AB6" i="14" s="1"/>
  <c r="P7" i="14"/>
  <c r="M8" i="14" a="1"/>
  <c r="M8" i="14" s="1"/>
  <c r="M9" i="14" s="1" a="1"/>
  <c r="M9" i="14" s="1"/>
  <c r="P9" i="14" s="1"/>
  <c r="J118" i="1"/>
  <c r="L118" i="1" s="1"/>
  <c r="N118" i="1" s="1"/>
  <c r="P118" i="1" s="1"/>
  <c r="R118" i="1" s="1"/>
  <c r="T118" i="1" s="1"/>
  <c r="J116" i="1"/>
  <c r="L116" i="1" s="1"/>
  <c r="N116" i="1" s="1"/>
  <c r="P116" i="1" s="1"/>
  <c r="R116" i="1" s="1"/>
  <c r="T116" i="1" s="1"/>
  <c r="J114" i="1"/>
  <c r="L114" i="1" s="1"/>
  <c r="N114" i="1" s="1"/>
  <c r="P114" i="1" s="1"/>
  <c r="R114" i="1" s="1"/>
  <c r="T114" i="1" s="1"/>
  <c r="J112" i="1"/>
  <c r="L112" i="1" s="1"/>
  <c r="N112" i="1" s="1"/>
  <c r="P112" i="1" s="1"/>
  <c r="R112" i="1" s="1"/>
  <c r="T112" i="1" s="1"/>
  <c r="J110" i="1"/>
  <c r="L110" i="1" s="1"/>
  <c r="N110" i="1" s="1"/>
  <c r="P110" i="1" s="1"/>
  <c r="R110" i="1" s="1"/>
  <c r="T110" i="1" s="1"/>
  <c r="J108" i="1"/>
  <c r="L108" i="1" s="1"/>
  <c r="N108" i="1" s="1"/>
  <c r="P108" i="1" s="1"/>
  <c r="R108" i="1" s="1"/>
  <c r="T108" i="1" s="1"/>
  <c r="J106" i="1"/>
  <c r="L106" i="1" s="1"/>
  <c r="N106" i="1" s="1"/>
  <c r="P106" i="1" s="1"/>
  <c r="R106" i="1" s="1"/>
  <c r="T106" i="1" s="1"/>
  <c r="J104" i="1"/>
  <c r="L104" i="1" s="1"/>
  <c r="N104" i="1" s="1"/>
  <c r="P104" i="1" s="1"/>
  <c r="R104" i="1" s="1"/>
  <c r="T104" i="1" s="1"/>
  <c r="J102" i="1"/>
  <c r="L102" i="1" s="1"/>
  <c r="N102" i="1" s="1"/>
  <c r="P102" i="1" s="1"/>
  <c r="R102" i="1" s="1"/>
  <c r="T102" i="1" s="1"/>
  <c r="X102" i="1" s="1"/>
  <c r="J100" i="1"/>
  <c r="L100" i="1" s="1"/>
  <c r="N100" i="1" s="1"/>
  <c r="P100" i="1" s="1"/>
  <c r="R100" i="1" s="1"/>
  <c r="T100" i="1" s="1"/>
  <c r="V100" i="1" s="1"/>
  <c r="J98" i="1"/>
  <c r="L98" i="1" s="1"/>
  <c r="N98" i="1" s="1"/>
  <c r="P98" i="1" s="1"/>
  <c r="R98" i="1" s="1"/>
  <c r="T98" i="1" s="1"/>
  <c r="J96" i="1"/>
  <c r="L96" i="1" s="1"/>
  <c r="N96" i="1" s="1"/>
  <c r="P96" i="1" s="1"/>
  <c r="R96" i="1" s="1"/>
  <c r="T96" i="1" s="1"/>
  <c r="J94" i="1"/>
  <c r="L94" i="1" s="1"/>
  <c r="N94" i="1" s="1"/>
  <c r="P94" i="1" s="1"/>
  <c r="R94" i="1" s="1"/>
  <c r="T94" i="1" s="1"/>
  <c r="J92" i="1"/>
  <c r="L92" i="1" s="1"/>
  <c r="N92" i="1" s="1"/>
  <c r="P92" i="1" s="1"/>
  <c r="R92" i="1" s="1"/>
  <c r="T92" i="1" s="1"/>
  <c r="J90" i="1"/>
  <c r="L90" i="1" s="1"/>
  <c r="N90" i="1" s="1"/>
  <c r="P90" i="1" s="1"/>
  <c r="R90" i="1" s="1"/>
  <c r="T90" i="1" s="1"/>
  <c r="J88" i="1"/>
  <c r="L88" i="1" s="1"/>
  <c r="N88" i="1" s="1"/>
  <c r="P88" i="1" s="1"/>
  <c r="R88" i="1" s="1"/>
  <c r="T88" i="1" s="1"/>
  <c r="J86" i="1"/>
  <c r="L86" i="1" s="1"/>
  <c r="N86" i="1" s="1"/>
  <c r="P86" i="1" s="1"/>
  <c r="R86" i="1" s="1"/>
  <c r="T86" i="1" s="1"/>
  <c r="X86" i="1" s="1"/>
  <c r="J84" i="1"/>
  <c r="L84" i="1" s="1"/>
  <c r="N84" i="1" s="1"/>
  <c r="P84" i="1" s="1"/>
  <c r="R84" i="1" s="1"/>
  <c r="T84" i="1" s="1"/>
  <c r="V84" i="1" s="1"/>
  <c r="J82" i="1"/>
  <c r="L82" i="1" s="1"/>
  <c r="N82" i="1" s="1"/>
  <c r="P82" i="1" s="1"/>
  <c r="R82" i="1" s="1"/>
  <c r="T82" i="1" s="1"/>
  <c r="J80" i="1"/>
  <c r="L80" i="1" s="1"/>
  <c r="N80" i="1" s="1"/>
  <c r="P80" i="1" s="1"/>
  <c r="R80" i="1" s="1"/>
  <c r="T80" i="1" s="1"/>
  <c r="J78" i="1"/>
  <c r="L78" i="1" s="1"/>
  <c r="N78" i="1" s="1"/>
  <c r="P78" i="1" s="1"/>
  <c r="R78" i="1" s="1"/>
  <c r="T78" i="1" s="1"/>
  <c r="J76" i="1"/>
  <c r="L76" i="1" s="1"/>
  <c r="N76" i="1" s="1"/>
  <c r="P76" i="1" s="1"/>
  <c r="R76" i="1" s="1"/>
  <c r="T76" i="1" s="1"/>
  <c r="J74" i="1"/>
  <c r="L74" i="1" s="1"/>
  <c r="N74" i="1" s="1"/>
  <c r="P74" i="1" s="1"/>
  <c r="R74" i="1" s="1"/>
  <c r="T74" i="1" s="1"/>
  <c r="J72" i="1"/>
  <c r="L72" i="1" s="1"/>
  <c r="N72" i="1" s="1"/>
  <c r="P72" i="1" s="1"/>
  <c r="R72" i="1" s="1"/>
  <c r="T72" i="1" s="1"/>
  <c r="J70" i="1"/>
  <c r="L70" i="1" s="1"/>
  <c r="N70" i="1" s="1"/>
  <c r="P70" i="1" s="1"/>
  <c r="R70" i="1" s="1"/>
  <c r="T70" i="1" s="1"/>
  <c r="X70" i="1" s="1"/>
  <c r="J68" i="1"/>
  <c r="L68" i="1" s="1"/>
  <c r="N68" i="1" s="1"/>
  <c r="P68" i="1" s="1"/>
  <c r="R68" i="1" s="1"/>
  <c r="T68" i="1" s="1"/>
  <c r="V68" i="1" s="1"/>
  <c r="J66" i="1"/>
  <c r="L66" i="1" s="1"/>
  <c r="N66" i="1" s="1"/>
  <c r="P66" i="1" s="1"/>
  <c r="R66" i="1" s="1"/>
  <c r="T66" i="1" s="1"/>
  <c r="J64" i="1"/>
  <c r="L64" i="1" s="1"/>
  <c r="N64" i="1" s="1"/>
  <c r="P64" i="1" s="1"/>
  <c r="R64" i="1" s="1"/>
  <c r="T64" i="1" s="1"/>
  <c r="J62" i="1"/>
  <c r="L62" i="1" s="1"/>
  <c r="N62" i="1" s="1"/>
  <c r="P62" i="1" s="1"/>
  <c r="R62" i="1" s="1"/>
  <c r="T62" i="1" s="1"/>
  <c r="J60" i="1"/>
  <c r="L60" i="1" s="1"/>
  <c r="N60" i="1" s="1"/>
  <c r="P60" i="1" s="1"/>
  <c r="R60" i="1" s="1"/>
  <c r="T60" i="1" s="1"/>
  <c r="J58" i="1"/>
  <c r="L58" i="1" s="1"/>
  <c r="N58" i="1" s="1"/>
  <c r="P58" i="1" s="1"/>
  <c r="R58" i="1" s="1"/>
  <c r="T58" i="1" s="1"/>
  <c r="J56" i="1"/>
  <c r="L56" i="1" s="1"/>
  <c r="N56" i="1" s="1"/>
  <c r="P56" i="1" s="1"/>
  <c r="R56" i="1" s="1"/>
  <c r="T56" i="1" s="1"/>
  <c r="J54" i="1"/>
  <c r="L54" i="1" s="1"/>
  <c r="N54" i="1" s="1"/>
  <c r="P54" i="1" s="1"/>
  <c r="R54" i="1" s="1"/>
  <c r="T54" i="1" s="1"/>
  <c r="J52" i="1"/>
  <c r="L52" i="1" s="1"/>
  <c r="N52" i="1" s="1"/>
  <c r="P52" i="1" s="1"/>
  <c r="R52" i="1" s="1"/>
  <c r="T52" i="1" s="1"/>
  <c r="J50" i="1"/>
  <c r="L50" i="1" s="1"/>
  <c r="N50" i="1" s="1"/>
  <c r="P50" i="1" s="1"/>
  <c r="R50" i="1" s="1"/>
  <c r="T50" i="1" s="1"/>
  <c r="J48" i="1"/>
  <c r="L48" i="1" s="1"/>
  <c r="N48" i="1" s="1"/>
  <c r="P48" i="1" s="1"/>
  <c r="R48" i="1" s="1"/>
  <c r="T48" i="1" s="1"/>
  <c r="J46" i="1"/>
  <c r="L46" i="1" s="1"/>
  <c r="N46" i="1" s="1"/>
  <c r="P46" i="1" s="1"/>
  <c r="R46" i="1" s="1"/>
  <c r="T46" i="1" s="1"/>
  <c r="J44" i="1"/>
  <c r="L44" i="1" s="1"/>
  <c r="N44" i="1" s="1"/>
  <c r="P44" i="1" s="1"/>
  <c r="R44" i="1" s="1"/>
  <c r="T44" i="1" s="1"/>
  <c r="V44" i="1" s="1"/>
  <c r="J42" i="1"/>
  <c r="L42" i="1" s="1"/>
  <c r="N42" i="1" s="1"/>
  <c r="P42" i="1" s="1"/>
  <c r="R42" i="1" s="1"/>
  <c r="T42" i="1" s="1"/>
  <c r="J40" i="1"/>
  <c r="L40" i="1" s="1"/>
  <c r="N40" i="1" s="1"/>
  <c r="P40" i="1" s="1"/>
  <c r="R40" i="1" s="1"/>
  <c r="T40" i="1" s="1"/>
  <c r="J38" i="1"/>
  <c r="L38" i="1" s="1"/>
  <c r="N38" i="1" s="1"/>
  <c r="P38" i="1" s="1"/>
  <c r="R38" i="1" s="1"/>
  <c r="T38" i="1" s="1"/>
  <c r="J36" i="1"/>
  <c r="L36" i="1" s="1"/>
  <c r="N36" i="1" s="1"/>
  <c r="P36" i="1" s="1"/>
  <c r="R36" i="1" s="1"/>
  <c r="T36" i="1" s="1"/>
  <c r="V36" i="1" s="1"/>
  <c r="J34" i="1"/>
  <c r="L34" i="1" s="1"/>
  <c r="N34" i="1" s="1"/>
  <c r="P34" i="1" s="1"/>
  <c r="R34" i="1" s="1"/>
  <c r="T34" i="1" s="1"/>
  <c r="J32" i="1"/>
  <c r="L32" i="1" s="1"/>
  <c r="N32" i="1" s="1"/>
  <c r="P32" i="1" s="1"/>
  <c r="R32" i="1" s="1"/>
  <c r="T32" i="1" s="1"/>
  <c r="J30" i="1"/>
  <c r="L30" i="1" s="1"/>
  <c r="N30" i="1" s="1"/>
  <c r="P30" i="1" s="1"/>
  <c r="R30" i="1" s="1"/>
  <c r="T30" i="1" s="1"/>
  <c r="J28" i="1"/>
  <c r="L28" i="1" s="1"/>
  <c r="N28" i="1" s="1"/>
  <c r="P28" i="1" s="1"/>
  <c r="R28" i="1" s="1"/>
  <c r="T28" i="1" s="1"/>
  <c r="J26" i="1"/>
  <c r="L26" i="1" s="1"/>
  <c r="N26" i="1" s="1"/>
  <c r="P26" i="1" s="1"/>
  <c r="R26" i="1" s="1"/>
  <c r="T26" i="1" s="1"/>
  <c r="J24" i="1"/>
  <c r="L24" i="1" s="1"/>
  <c r="N24" i="1" s="1"/>
  <c r="P24" i="1" s="1"/>
  <c r="R24" i="1" s="1"/>
  <c r="T24" i="1" s="1"/>
  <c r="J22" i="1"/>
  <c r="L22" i="1" s="1"/>
  <c r="N22" i="1" s="1"/>
  <c r="P22" i="1" s="1"/>
  <c r="R22" i="1" s="1"/>
  <c r="T22" i="1" s="1"/>
  <c r="J20" i="1"/>
  <c r="L20" i="1" s="1"/>
  <c r="N20" i="1" s="1"/>
  <c r="P20" i="1" s="1"/>
  <c r="R20" i="1" s="1"/>
  <c r="T20" i="1" s="1"/>
  <c r="J18" i="1"/>
  <c r="L18" i="1" s="1"/>
  <c r="N18" i="1" s="1"/>
  <c r="P18" i="1" s="1"/>
  <c r="R18" i="1" s="1"/>
  <c r="T18" i="1" s="1"/>
  <c r="J16" i="1"/>
  <c r="L16" i="1" s="1"/>
  <c r="N16" i="1" s="1"/>
  <c r="P16" i="1" s="1"/>
  <c r="R16" i="1" s="1"/>
  <c r="T16" i="1" s="1"/>
  <c r="J14" i="1"/>
  <c r="L14" i="1" s="1"/>
  <c r="N14" i="1" s="1"/>
  <c r="P14" i="1" s="1"/>
  <c r="R14" i="1" s="1"/>
  <c r="J12" i="1"/>
  <c r="L12" i="1" s="1"/>
  <c r="N12" i="1" s="1"/>
  <c r="P12" i="1" s="1"/>
  <c r="R12" i="1" s="1"/>
  <c r="J8" i="1"/>
  <c r="L8" i="1" s="1"/>
  <c r="N8" i="1" s="1"/>
  <c r="P8" i="1" s="1"/>
  <c r="R8" i="1" s="1"/>
  <c r="J6" i="1"/>
  <c r="L6" i="1" s="1"/>
  <c r="N6" i="1" s="1"/>
  <c r="P6" i="1" s="1"/>
  <c r="R6" i="1" s="1"/>
  <c r="V70" i="1" l="1"/>
  <c r="X40" i="1"/>
  <c r="V40" i="1"/>
  <c r="V22" i="1"/>
  <c r="X22" i="1"/>
  <c r="V52" i="1"/>
  <c r="X52" i="1"/>
  <c r="X46" i="1"/>
  <c r="V46" i="1"/>
  <c r="X44" i="1"/>
  <c r="M10" i="14" a="1"/>
  <c r="M10" i="14" s="1"/>
  <c r="M11" i="14" s="1" a="1"/>
  <c r="M11" i="14" s="1"/>
  <c r="P11" i="14" s="1"/>
  <c r="P8" i="14"/>
  <c r="S9" i="14"/>
  <c r="R9" i="14"/>
  <c r="Q9" i="14"/>
  <c r="Y9" i="14"/>
  <c r="N10" i="14" a="1"/>
  <c r="N10" i="14" s="1"/>
  <c r="R7" i="14"/>
  <c r="AA7" i="14" s="1"/>
  <c r="Y7" i="14"/>
  <c r="S7" i="14"/>
  <c r="AB7" i="14" s="1"/>
  <c r="Q7" i="14"/>
  <c r="V38" i="1"/>
  <c r="X38" i="1"/>
  <c r="X76" i="1"/>
  <c r="V76" i="1"/>
  <c r="V88" i="1"/>
  <c r="X88" i="1"/>
  <c r="X106" i="1"/>
  <c r="V106" i="1"/>
  <c r="X58" i="1"/>
  <c r="V58" i="1"/>
  <c r="X34" i="1"/>
  <c r="V34" i="1"/>
  <c r="X60" i="1"/>
  <c r="V60" i="1"/>
  <c r="V32" i="1"/>
  <c r="X32" i="1"/>
  <c r="X24" i="1"/>
  <c r="V24" i="1"/>
  <c r="X54" i="1"/>
  <c r="V54" i="1"/>
  <c r="V72" i="1"/>
  <c r="X72" i="1"/>
  <c r="X108" i="1"/>
  <c r="V108" i="1"/>
  <c r="V20" i="1"/>
  <c r="X20" i="1"/>
  <c r="X48" i="1"/>
  <c r="V48" i="1"/>
  <c r="X26" i="1"/>
  <c r="V26" i="1"/>
  <c r="X30" i="1"/>
  <c r="V30" i="1"/>
  <c r="X50" i="1"/>
  <c r="V50" i="1"/>
  <c r="X18" i="1"/>
  <c r="V18" i="1"/>
  <c r="V16" i="1"/>
  <c r="X16" i="1"/>
  <c r="X74" i="1"/>
  <c r="V74" i="1"/>
  <c r="V104" i="1"/>
  <c r="X104" i="1"/>
  <c r="V28" i="1"/>
  <c r="X28" i="1"/>
  <c r="X12" i="1"/>
  <c r="X42" i="1"/>
  <c r="V42" i="1"/>
  <c r="V56" i="1"/>
  <c r="X56" i="1"/>
  <c r="X66" i="1"/>
  <c r="V66" i="1"/>
  <c r="X96" i="1"/>
  <c r="V96" i="1"/>
  <c r="V102" i="1"/>
  <c r="X82" i="1"/>
  <c r="V82" i="1"/>
  <c r="X98" i="1"/>
  <c r="V98" i="1"/>
  <c r="X62" i="1"/>
  <c r="V62" i="1"/>
  <c r="X68" i="1"/>
  <c r="X114" i="1"/>
  <c r="V114" i="1"/>
  <c r="V78" i="1"/>
  <c r="X78" i="1"/>
  <c r="X84" i="1"/>
  <c r="X112" i="1"/>
  <c r="V112" i="1"/>
  <c r="X94" i="1"/>
  <c r="V94" i="1"/>
  <c r="X100" i="1"/>
  <c r="X116" i="1"/>
  <c r="V116" i="1"/>
  <c r="X92" i="1"/>
  <c r="V92" i="1"/>
  <c r="V64" i="1"/>
  <c r="X64" i="1"/>
  <c r="X90" i="1"/>
  <c r="V90" i="1"/>
  <c r="X110" i="1"/>
  <c r="V110" i="1"/>
  <c r="X36" i="1"/>
  <c r="X80" i="1"/>
  <c r="V80" i="1"/>
  <c r="V86" i="1"/>
  <c r="X118" i="1"/>
  <c r="V118" i="1"/>
  <c r="Z7" i="14" l="1"/>
  <c r="Q11" i="14"/>
  <c r="Y11" i="14"/>
  <c r="S11" i="14"/>
  <c r="R11" i="14"/>
  <c r="M12" i="14" a="1"/>
  <c r="M12" i="14" s="1"/>
  <c r="S8" i="14"/>
  <c r="Q8" i="14"/>
  <c r="Y8" i="14"/>
  <c r="Z9" i="14" s="1"/>
  <c r="R8" i="14"/>
  <c r="P10" i="14"/>
  <c r="T6" i="14"/>
  <c r="T8" i="14" s="1"/>
  <c r="N11" i="14" a="1"/>
  <c r="N11" i="14" s="1"/>
  <c r="AA118" i="1"/>
  <c r="AA116" i="1"/>
  <c r="AA114" i="1"/>
  <c r="AA112" i="1"/>
  <c r="AA110" i="1"/>
  <c r="AA108" i="1"/>
  <c r="AA106" i="1"/>
  <c r="AA104" i="1"/>
  <c r="AA102" i="1"/>
  <c r="AA100" i="1"/>
  <c r="AA98" i="1"/>
  <c r="AA96" i="1"/>
  <c r="AA94" i="1"/>
  <c r="AA92" i="1"/>
  <c r="AA90" i="1"/>
  <c r="AA88" i="1"/>
  <c r="AA86" i="1"/>
  <c r="AA84" i="1"/>
  <c r="AA82" i="1"/>
  <c r="AA80" i="1"/>
  <c r="AA78" i="1"/>
  <c r="AA76" i="1"/>
  <c r="AA74" i="1"/>
  <c r="AA72" i="1"/>
  <c r="AA70" i="1"/>
  <c r="AA68" i="1"/>
  <c r="AA66" i="1"/>
  <c r="AA64" i="1"/>
  <c r="AA62" i="1"/>
  <c r="AA60" i="1"/>
  <c r="AA58" i="1"/>
  <c r="AA56" i="1"/>
  <c r="AA54" i="1"/>
  <c r="AA52" i="1"/>
  <c r="AA50" i="1"/>
  <c r="AA48" i="1"/>
  <c r="AA46" i="1"/>
  <c r="AA44" i="1"/>
  <c r="AA42" i="1"/>
  <c r="AA40" i="1"/>
  <c r="AA38" i="1"/>
  <c r="AA36" i="1"/>
  <c r="AA34" i="1"/>
  <c r="AA32" i="1"/>
  <c r="AA30" i="1"/>
  <c r="AA28" i="1"/>
  <c r="AA26" i="1"/>
  <c r="AA24" i="1"/>
  <c r="AA22" i="1"/>
  <c r="AA20" i="1"/>
  <c r="AA18" i="1"/>
  <c r="AA16" i="1"/>
  <c r="AA14" i="1"/>
  <c r="AA12" i="1"/>
  <c r="AA8" i="1"/>
  <c r="AA6" i="1"/>
  <c r="AA9" i="14" l="1"/>
  <c r="AB9" i="14"/>
  <c r="T11" i="14"/>
  <c r="P12" i="14"/>
  <c r="N12" i="14" a="1"/>
  <c r="N12" i="14" s="1"/>
  <c r="V6" i="14" s="1"/>
  <c r="V10" i="14" s="1"/>
  <c r="AE10" i="14" s="1"/>
  <c r="U6" i="14"/>
  <c r="U10" i="14" s="1"/>
  <c r="AD10" i="14" s="1"/>
  <c r="M13" i="14" a="1"/>
  <c r="M13" i="14" s="1"/>
  <c r="M14" i="14" s="1" a="1"/>
  <c r="M14" i="14" s="1"/>
  <c r="P14" i="14" s="1"/>
  <c r="AC6" i="14"/>
  <c r="T9" i="14"/>
  <c r="AC9" i="14" s="1"/>
  <c r="T7" i="14"/>
  <c r="AB8" i="14"/>
  <c r="Z8" i="14"/>
  <c r="AC8" i="14"/>
  <c r="AA8" i="14"/>
  <c r="T10" i="14"/>
  <c r="S10" i="14"/>
  <c r="R10" i="14"/>
  <c r="Q10" i="14"/>
  <c r="Y10" i="14"/>
  <c r="AA11" i="14" s="1"/>
  <c r="Z110" i="1"/>
  <c r="Z16" i="1"/>
  <c r="Z42" i="1"/>
  <c r="Z34" i="1"/>
  <c r="Z60" i="1"/>
  <c r="Z90" i="1"/>
  <c r="Z54" i="1"/>
  <c r="Z98" i="1"/>
  <c r="Z26" i="1"/>
  <c r="Z52" i="1"/>
  <c r="Z86" i="1"/>
  <c r="Z18" i="1"/>
  <c r="Z44" i="1"/>
  <c r="Z36" i="1"/>
  <c r="Z70" i="1"/>
  <c r="Z78" i="1"/>
  <c r="Z28" i="1"/>
  <c r="Z32" i="1"/>
  <c r="Z66" i="1"/>
  <c r="Z118" i="1"/>
  <c r="Z24" i="1"/>
  <c r="Z94" i="1"/>
  <c r="Z88" i="1"/>
  <c r="Z84" i="1"/>
  <c r="Z38" i="1"/>
  <c r="Z92" i="1"/>
  <c r="Z40" i="1"/>
  <c r="Z62" i="1"/>
  <c r="Z64" i="1"/>
  <c r="Z74" i="1"/>
  <c r="Z96" i="1"/>
  <c r="Z106" i="1"/>
  <c r="Z116" i="1"/>
  <c r="Z58" i="1"/>
  <c r="Z68" i="1"/>
  <c r="Z100" i="1"/>
  <c r="Z30" i="1"/>
  <c r="Z50" i="1"/>
  <c r="Z102" i="1"/>
  <c r="Z72" i="1"/>
  <c r="Z82" i="1"/>
  <c r="Z104" i="1"/>
  <c r="Z114" i="1"/>
  <c r="Z46" i="1"/>
  <c r="Z56" i="1"/>
  <c r="Z48" i="1"/>
  <c r="Z76" i="1"/>
  <c r="Z108" i="1"/>
  <c r="Z80" i="1"/>
  <c r="Z112" i="1"/>
  <c r="N13" i="14" l="1" a="1"/>
  <c r="N13" i="14" s="1"/>
  <c r="W6" i="14" s="1"/>
  <c r="W8" i="14" s="1"/>
  <c r="AF8" i="14" s="1"/>
  <c r="AC11" i="14"/>
  <c r="P13" i="14"/>
  <c r="M15" i="14" a="1"/>
  <c r="M15" i="14" s="1"/>
  <c r="Z11" i="14"/>
  <c r="AC7" i="14"/>
  <c r="AD6" i="14"/>
  <c r="U9" i="14"/>
  <c r="AD9" i="14" s="1"/>
  <c r="U7" i="14"/>
  <c r="AD7" i="14" s="1"/>
  <c r="U11" i="14"/>
  <c r="AD11" i="14" s="1"/>
  <c r="U8" i="14"/>
  <c r="AD8" i="14" s="1"/>
  <c r="S12" i="14"/>
  <c r="R12" i="14"/>
  <c r="Q12" i="14"/>
  <c r="Y12" i="14"/>
  <c r="V12" i="14"/>
  <c r="AE12" i="14" s="1"/>
  <c r="T12" i="14"/>
  <c r="U12" i="14"/>
  <c r="AD12" i="14" s="1"/>
  <c r="AE6" i="14"/>
  <c r="V9" i="14"/>
  <c r="AE9" i="14" s="1"/>
  <c r="V7" i="14"/>
  <c r="AE7" i="14" s="1"/>
  <c r="V11" i="14"/>
  <c r="AE11" i="14" s="1"/>
  <c r="V8" i="14"/>
  <c r="AE8" i="14" s="1"/>
  <c r="AC10" i="14"/>
  <c r="AB10" i="14"/>
  <c r="AA10" i="14"/>
  <c r="Z10" i="14"/>
  <c r="V14" i="14"/>
  <c r="AE14" i="14" s="1"/>
  <c r="U14" i="14"/>
  <c r="AD14" i="14" s="1"/>
  <c r="T14" i="14"/>
  <c r="R14" i="14"/>
  <c r="S14" i="14"/>
  <c r="Y14" i="14"/>
  <c r="Q14" i="14"/>
  <c r="AB11" i="14"/>
  <c r="Z22" i="1"/>
  <c r="Z20" i="1"/>
  <c r="W7" i="14" l="1"/>
  <c r="AF7" i="14" s="1"/>
  <c r="W9" i="14"/>
  <c r="AF9" i="14" s="1"/>
  <c r="W12" i="14"/>
  <c r="AF12" i="14" s="1"/>
  <c r="AF6" i="14"/>
  <c r="N14" i="14" a="1"/>
  <c r="N14" i="14" s="1"/>
  <c r="N15" i="14" s="1" a="1"/>
  <c r="N15" i="14" s="1"/>
  <c r="N16" i="14" s="1" a="1"/>
  <c r="N16" i="14" s="1"/>
  <c r="N17" i="14" s="1" a="1"/>
  <c r="N17" i="14" s="1"/>
  <c r="N18" i="14" s="1" a="1"/>
  <c r="N18" i="14" s="1"/>
  <c r="N19" i="14" s="1" a="1"/>
  <c r="N19" i="14" s="1"/>
  <c r="N20" i="14" s="1" a="1"/>
  <c r="N20" i="14" s="1"/>
  <c r="N21" i="14" s="1" a="1"/>
  <c r="N21" i="14" s="1"/>
  <c r="N22" i="14" s="1" a="1"/>
  <c r="N22" i="14" s="1"/>
  <c r="N23" i="14" s="1" a="1"/>
  <c r="N23" i="14" s="1"/>
  <c r="N24" i="14" s="1" a="1"/>
  <c r="N24" i="14" s="1"/>
  <c r="N25" i="14" s="1" a="1"/>
  <c r="N25" i="14" s="1"/>
  <c r="N26" i="14" s="1" a="1"/>
  <c r="N26" i="14" s="1"/>
  <c r="N27" i="14" s="1" a="1"/>
  <c r="N27" i="14" s="1"/>
  <c r="N28" i="14" s="1" a="1"/>
  <c r="N28" i="14" s="1"/>
  <c r="N29" i="14" s="1" a="1"/>
  <c r="N29" i="14" s="1"/>
  <c r="N30" i="14" s="1" a="1"/>
  <c r="N30" i="14" s="1"/>
  <c r="N31" i="14" s="1" a="1"/>
  <c r="N31" i="14" s="1"/>
  <c r="N32" i="14" s="1" a="1"/>
  <c r="N32" i="14" s="1"/>
  <c r="N33" i="14" s="1" a="1"/>
  <c r="N33" i="14" s="1"/>
  <c r="N34" i="14" s="1" a="1"/>
  <c r="N34" i="14" s="1"/>
  <c r="N35" i="14" s="1" a="1"/>
  <c r="N35" i="14" s="1"/>
  <c r="N36" i="14" s="1" a="1"/>
  <c r="N36" i="14" s="1"/>
  <c r="N37" i="14" s="1" a="1"/>
  <c r="N37" i="14" s="1"/>
  <c r="N38" i="14" s="1" a="1"/>
  <c r="N38" i="14" s="1"/>
  <c r="N39" i="14" s="1" a="1"/>
  <c r="N39" i="14" s="1"/>
  <c r="N40" i="14" s="1" a="1"/>
  <c r="N40" i="14" s="1"/>
  <c r="N41" i="14" s="1" a="1"/>
  <c r="N41" i="14" s="1"/>
  <c r="N42" i="14" s="1" a="1"/>
  <c r="N42" i="14" s="1"/>
  <c r="N43" i="14" s="1" a="1"/>
  <c r="N43" i="14" s="1"/>
  <c r="N44" i="14" s="1" a="1"/>
  <c r="N44" i="14" s="1"/>
  <c r="N45" i="14" s="1" a="1"/>
  <c r="N45" i="14" s="1"/>
  <c r="N46" i="14" s="1" a="1"/>
  <c r="N46" i="14" s="1"/>
  <c r="N47" i="14" s="1" a="1"/>
  <c r="N47" i="14" s="1"/>
  <c r="N48" i="14" s="1" a="1"/>
  <c r="N48" i="14" s="1"/>
  <c r="N49" i="14" s="1" a="1"/>
  <c r="N49" i="14" s="1"/>
  <c r="N50" i="14" s="1" a="1"/>
  <c r="N50" i="14" s="1"/>
  <c r="N51" i="14" s="1" a="1"/>
  <c r="N51" i="14" s="1"/>
  <c r="W11" i="14"/>
  <c r="AF11" i="14" s="1"/>
  <c r="W14" i="14"/>
  <c r="AF14" i="14" s="1"/>
  <c r="W10" i="14"/>
  <c r="AF10" i="14" s="1"/>
  <c r="AB12" i="14"/>
  <c r="AA12" i="14"/>
  <c r="Z12" i="14"/>
  <c r="AC12" i="14"/>
  <c r="P15" i="14"/>
  <c r="M16" i="14" a="1"/>
  <c r="M16" i="14" s="1"/>
  <c r="U13" i="14"/>
  <c r="AD13" i="14" s="1"/>
  <c r="T13" i="14"/>
  <c r="S13" i="14"/>
  <c r="R13" i="14"/>
  <c r="Y13" i="14"/>
  <c r="Q13" i="14"/>
  <c r="V13" i="14"/>
  <c r="AE13" i="14" s="1"/>
  <c r="W13" i="14"/>
  <c r="AF13" i="14" s="1"/>
  <c r="D1" i="13"/>
  <c r="D1" i="8" s="1"/>
  <c r="D1" i="9" s="1"/>
  <c r="D1" i="7" s="1"/>
  <c r="D1" i="10" s="1"/>
  <c r="D1" i="15" s="1"/>
  <c r="N1" i="11"/>
  <c r="N1" i="13" s="1"/>
  <c r="N1" i="8" s="1"/>
  <c r="N1" i="9" s="1"/>
  <c r="N1" i="7" s="1"/>
  <c r="N1" i="10" s="1"/>
  <c r="N1" i="15" s="1"/>
  <c r="AC13" i="14" l="1"/>
  <c r="AB13" i="14"/>
  <c r="AA13" i="14"/>
  <c r="Z13" i="14"/>
  <c r="Z14" i="14"/>
  <c r="P16" i="14"/>
  <c r="M17" i="14" a="1"/>
  <c r="M17" i="14" s="1"/>
  <c r="AB14" i="14"/>
  <c r="U15" i="14"/>
  <c r="AD15" i="14" s="1"/>
  <c r="R15" i="14"/>
  <c r="Q15" i="14"/>
  <c r="Y15" i="14"/>
  <c r="W15" i="14"/>
  <c r="AF15" i="14" s="1"/>
  <c r="S15" i="14"/>
  <c r="V15" i="14"/>
  <c r="AE15" i="14" s="1"/>
  <c r="T15" i="14"/>
  <c r="AA14" i="14"/>
  <c r="AC14" i="14"/>
  <c r="W16" i="14" l="1"/>
  <c r="AF16" i="14" s="1"/>
  <c r="Y16" i="14"/>
  <c r="V16" i="14"/>
  <c r="AE16" i="14" s="1"/>
  <c r="U16" i="14"/>
  <c r="AD16" i="14" s="1"/>
  <c r="T16" i="14"/>
  <c r="S16" i="14"/>
  <c r="R16" i="14"/>
  <c r="Q16" i="14"/>
  <c r="P17" i="14"/>
  <c r="M18" i="14" a="1"/>
  <c r="M18" i="14" s="1"/>
  <c r="AB15" i="14"/>
  <c r="AA15" i="14"/>
  <c r="Z15" i="14"/>
  <c r="AC15" i="14"/>
  <c r="AG8" i="1"/>
  <c r="C8" i="1"/>
  <c r="D8" i="1"/>
  <c r="E8" i="1"/>
  <c r="C12" i="1"/>
  <c r="D12" i="1"/>
  <c r="E12" i="1"/>
  <c r="C14" i="1"/>
  <c r="D14" i="1"/>
  <c r="E14" i="1"/>
  <c r="C16" i="1"/>
  <c r="F16" i="1" s="1"/>
  <c r="D16" i="1"/>
  <c r="E16" i="1"/>
  <c r="C18" i="1"/>
  <c r="F18" i="1" s="1"/>
  <c r="D18" i="1"/>
  <c r="E18" i="1"/>
  <c r="C20" i="1"/>
  <c r="F20" i="1" s="1"/>
  <c r="D20" i="1"/>
  <c r="E20" i="1"/>
  <c r="C22" i="1"/>
  <c r="F22" i="1" s="1"/>
  <c r="D22" i="1"/>
  <c r="E22" i="1"/>
  <c r="C24" i="1"/>
  <c r="F24" i="1" s="1"/>
  <c r="D24" i="1"/>
  <c r="E24" i="1"/>
  <c r="C26" i="1"/>
  <c r="F26" i="1" s="1"/>
  <c r="D26" i="1"/>
  <c r="E26" i="1"/>
  <c r="C28" i="1"/>
  <c r="F28" i="1" s="1"/>
  <c r="D28" i="1"/>
  <c r="E28" i="1"/>
  <c r="C30" i="1"/>
  <c r="F30" i="1" s="1"/>
  <c r="D30" i="1"/>
  <c r="E30" i="1"/>
  <c r="C32" i="1"/>
  <c r="F32" i="1" s="1"/>
  <c r="D32" i="1"/>
  <c r="E32" i="1"/>
  <c r="C34" i="1"/>
  <c r="F34" i="1" s="1"/>
  <c r="D34" i="1"/>
  <c r="E34" i="1"/>
  <c r="C36" i="1"/>
  <c r="F36" i="1" s="1"/>
  <c r="D36" i="1"/>
  <c r="E36" i="1"/>
  <c r="C38" i="1"/>
  <c r="F38" i="1" s="1"/>
  <c r="D38" i="1"/>
  <c r="E38" i="1"/>
  <c r="C40" i="1"/>
  <c r="F40" i="1" s="1"/>
  <c r="D40" i="1"/>
  <c r="E40" i="1"/>
  <c r="C42" i="1"/>
  <c r="F42" i="1" s="1"/>
  <c r="D42" i="1"/>
  <c r="E42" i="1"/>
  <c r="C44" i="1"/>
  <c r="F44" i="1" s="1"/>
  <c r="D44" i="1"/>
  <c r="E44" i="1"/>
  <c r="C46" i="1"/>
  <c r="F46" i="1" s="1"/>
  <c r="D46" i="1"/>
  <c r="E46" i="1"/>
  <c r="C48" i="1"/>
  <c r="F48" i="1" s="1"/>
  <c r="D48" i="1"/>
  <c r="E48" i="1"/>
  <c r="C50" i="1"/>
  <c r="F50" i="1" s="1"/>
  <c r="D50" i="1"/>
  <c r="E50" i="1"/>
  <c r="C52" i="1"/>
  <c r="F52" i="1" s="1"/>
  <c r="D52" i="1"/>
  <c r="E52" i="1"/>
  <c r="C54" i="1"/>
  <c r="F54" i="1" s="1"/>
  <c r="D54" i="1"/>
  <c r="E54" i="1"/>
  <c r="C56" i="1"/>
  <c r="F56" i="1" s="1"/>
  <c r="D56" i="1"/>
  <c r="E56" i="1"/>
  <c r="C58" i="1"/>
  <c r="F58" i="1" s="1"/>
  <c r="D58" i="1"/>
  <c r="E58" i="1"/>
  <c r="C60" i="1"/>
  <c r="F60" i="1" s="1"/>
  <c r="D60" i="1"/>
  <c r="E60" i="1"/>
  <c r="C62" i="1"/>
  <c r="F62" i="1" s="1"/>
  <c r="D62" i="1"/>
  <c r="E62" i="1"/>
  <c r="C64" i="1"/>
  <c r="F64" i="1" s="1"/>
  <c r="D64" i="1"/>
  <c r="E64" i="1"/>
  <c r="C66" i="1"/>
  <c r="F66" i="1" s="1"/>
  <c r="D66" i="1"/>
  <c r="E66" i="1"/>
  <c r="C68" i="1"/>
  <c r="F68" i="1" s="1"/>
  <c r="D68" i="1"/>
  <c r="E68" i="1"/>
  <c r="C70" i="1"/>
  <c r="F70" i="1" s="1"/>
  <c r="D70" i="1"/>
  <c r="E70" i="1"/>
  <c r="C72" i="1"/>
  <c r="F72" i="1" s="1"/>
  <c r="D72" i="1"/>
  <c r="E72" i="1"/>
  <c r="C74" i="1"/>
  <c r="F74" i="1" s="1"/>
  <c r="D74" i="1"/>
  <c r="E74" i="1"/>
  <c r="C76" i="1"/>
  <c r="F76" i="1" s="1"/>
  <c r="D76" i="1"/>
  <c r="E76" i="1"/>
  <c r="C78" i="1"/>
  <c r="F78" i="1" s="1"/>
  <c r="D78" i="1"/>
  <c r="E78" i="1"/>
  <c r="C80" i="1"/>
  <c r="F80" i="1" s="1"/>
  <c r="D80" i="1"/>
  <c r="E80" i="1"/>
  <c r="C82" i="1"/>
  <c r="F82" i="1" s="1"/>
  <c r="D82" i="1"/>
  <c r="E82" i="1"/>
  <c r="C84" i="1"/>
  <c r="F84" i="1" s="1"/>
  <c r="D84" i="1"/>
  <c r="E84" i="1"/>
  <c r="C86" i="1"/>
  <c r="F86" i="1" s="1"/>
  <c r="D86" i="1"/>
  <c r="E86" i="1"/>
  <c r="C88" i="1"/>
  <c r="F88" i="1" s="1"/>
  <c r="D88" i="1"/>
  <c r="E88" i="1"/>
  <c r="C90" i="1"/>
  <c r="F90" i="1" s="1"/>
  <c r="D90" i="1"/>
  <c r="E90" i="1"/>
  <c r="C92" i="1"/>
  <c r="F92" i="1" s="1"/>
  <c r="D92" i="1"/>
  <c r="E92" i="1"/>
  <c r="C94" i="1"/>
  <c r="F94" i="1" s="1"/>
  <c r="D94" i="1"/>
  <c r="E94" i="1"/>
  <c r="C96" i="1"/>
  <c r="F96" i="1" s="1"/>
  <c r="D96" i="1"/>
  <c r="E96" i="1"/>
  <c r="C98" i="1"/>
  <c r="F98" i="1" s="1"/>
  <c r="D98" i="1"/>
  <c r="E98" i="1"/>
  <c r="C100" i="1"/>
  <c r="F100" i="1" s="1"/>
  <c r="D100" i="1"/>
  <c r="E100" i="1"/>
  <c r="C102" i="1"/>
  <c r="F102" i="1" s="1"/>
  <c r="D102" i="1"/>
  <c r="E102" i="1"/>
  <c r="C104" i="1"/>
  <c r="F104" i="1" s="1"/>
  <c r="D104" i="1"/>
  <c r="E104" i="1"/>
  <c r="C106" i="1"/>
  <c r="F106" i="1" s="1"/>
  <c r="D106" i="1"/>
  <c r="E106" i="1"/>
  <c r="C108" i="1"/>
  <c r="F108" i="1" s="1"/>
  <c r="D108" i="1"/>
  <c r="E108" i="1"/>
  <c r="C110" i="1"/>
  <c r="F110" i="1" s="1"/>
  <c r="D110" i="1"/>
  <c r="E110" i="1"/>
  <c r="C112" i="1"/>
  <c r="F112" i="1" s="1"/>
  <c r="D112" i="1"/>
  <c r="E112" i="1"/>
  <c r="C114" i="1"/>
  <c r="F114" i="1" s="1"/>
  <c r="D114" i="1"/>
  <c r="E114" i="1"/>
  <c r="C116" i="1"/>
  <c r="F116" i="1" s="1"/>
  <c r="D116" i="1"/>
  <c r="E116" i="1"/>
  <c r="C118" i="1"/>
  <c r="F118" i="1" s="1"/>
  <c r="D118" i="1"/>
  <c r="E118" i="1"/>
  <c r="E6" i="1"/>
  <c r="D6" i="1"/>
  <c r="C6" i="1"/>
  <c r="AF18" i="1"/>
  <c r="AG118" i="1"/>
  <c r="AG116" i="1"/>
  <c r="AG114" i="1"/>
  <c r="AG112" i="1"/>
  <c r="AG110" i="1"/>
  <c r="AG108" i="1"/>
  <c r="AG106" i="1"/>
  <c r="AG104" i="1"/>
  <c r="AG102" i="1"/>
  <c r="AG100" i="1"/>
  <c r="AG98" i="1"/>
  <c r="AG96" i="1"/>
  <c r="AG94" i="1"/>
  <c r="AG92" i="1"/>
  <c r="AG90" i="1"/>
  <c r="AG88" i="1"/>
  <c r="AG86" i="1"/>
  <c r="AG84" i="1"/>
  <c r="AG82" i="1"/>
  <c r="AG80" i="1"/>
  <c r="AG78" i="1"/>
  <c r="AG76" i="1"/>
  <c r="AG74" i="1"/>
  <c r="AG72" i="1"/>
  <c r="AG70" i="1"/>
  <c r="AG68" i="1"/>
  <c r="AG66" i="1"/>
  <c r="AG64" i="1"/>
  <c r="AG62" i="1"/>
  <c r="AG60" i="1"/>
  <c r="AG58" i="1"/>
  <c r="AG56" i="1"/>
  <c r="AG54" i="1"/>
  <c r="AG52" i="1"/>
  <c r="AG50" i="1"/>
  <c r="AG48" i="1"/>
  <c r="AG46" i="1"/>
  <c r="AG44" i="1"/>
  <c r="AG42" i="1"/>
  <c r="AG40" i="1"/>
  <c r="AG38" i="1"/>
  <c r="AG36" i="1"/>
  <c r="AG34" i="1"/>
  <c r="AG32" i="1"/>
  <c r="AG30" i="1"/>
  <c r="AG28" i="1"/>
  <c r="AG26" i="1"/>
  <c r="AG24" i="1"/>
  <c r="AG22" i="1"/>
  <c r="AG20" i="1"/>
  <c r="AG18" i="1"/>
  <c r="AG16" i="1"/>
  <c r="AG14" i="1"/>
  <c r="AG12" i="1"/>
  <c r="AR8" i="1"/>
  <c r="AG6" i="1"/>
  <c r="M12" i="4"/>
  <c r="H3" i="4"/>
  <c r="P18" i="14" l="1"/>
  <c r="M19" i="14" a="1"/>
  <c r="M19" i="14" s="1"/>
  <c r="AC16" i="14"/>
  <c r="Z16" i="14"/>
  <c r="AB16" i="14"/>
  <c r="AA16" i="14"/>
  <c r="Q17" i="14"/>
  <c r="T17" i="14"/>
  <c r="S17" i="14"/>
  <c r="R17" i="14"/>
  <c r="U17" i="14"/>
  <c r="AD17" i="14" s="1"/>
  <c r="Y17" i="14"/>
  <c r="W17" i="14"/>
  <c r="AF17" i="14" s="1"/>
  <c r="V17" i="14"/>
  <c r="AE17" i="14" s="1"/>
  <c r="AF14" i="1"/>
  <c r="AF104" i="1"/>
  <c r="AP72" i="1"/>
  <c r="AF40" i="1"/>
  <c r="AF98" i="1"/>
  <c r="AF82" i="1"/>
  <c r="AF66" i="1"/>
  <c r="AF50" i="1"/>
  <c r="AF114" i="1"/>
  <c r="AP108" i="1"/>
  <c r="AP92" i="1"/>
  <c r="AP76" i="1"/>
  <c r="AF28" i="1"/>
  <c r="AF12" i="1"/>
  <c r="AF110" i="1"/>
  <c r="AP118" i="1"/>
  <c r="AF112" i="1"/>
  <c r="AF106" i="1"/>
  <c r="AP74" i="1"/>
  <c r="AF8" i="1"/>
  <c r="AP90" i="1"/>
  <c r="AF58" i="1"/>
  <c r="AF42" i="1"/>
  <c r="AF6" i="1"/>
  <c r="AF116" i="1"/>
  <c r="AF100" i="1"/>
  <c r="AF84" i="1"/>
  <c r="AP68" i="1"/>
  <c r="AF52" i="1"/>
  <c r="AF36" i="1"/>
  <c r="AF20" i="1"/>
  <c r="AF96" i="1"/>
  <c r="AP96" i="1"/>
  <c r="AF88" i="1"/>
  <c r="AP88" i="1"/>
  <c r="AF80" i="1"/>
  <c r="AP80" i="1"/>
  <c r="AF64" i="1"/>
  <c r="AP64" i="1"/>
  <c r="AF56" i="1"/>
  <c r="AF48" i="1"/>
  <c r="AF32" i="1"/>
  <c r="AF24" i="1"/>
  <c r="AF16" i="1"/>
  <c r="AF26" i="1"/>
  <c r="AF94" i="1"/>
  <c r="AP94" i="1"/>
  <c r="AF86" i="1"/>
  <c r="AF70" i="1"/>
  <c r="AP70" i="1"/>
  <c r="AF54" i="1"/>
  <c r="AF38" i="1"/>
  <c r="AF22" i="1"/>
  <c r="AF102" i="1"/>
  <c r="AP102" i="1"/>
  <c r="AF78" i="1"/>
  <c r="AP78" i="1"/>
  <c r="AF62" i="1"/>
  <c r="AF46" i="1"/>
  <c r="AF30" i="1"/>
  <c r="AF34" i="1"/>
  <c r="AP66" i="1"/>
  <c r="AP98" i="1"/>
  <c r="AF60" i="1"/>
  <c r="AF108" i="1"/>
  <c r="AF44" i="1"/>
  <c r="P19" i="14" l="1"/>
  <c r="M20" i="14" a="1"/>
  <c r="M20" i="14" s="1"/>
  <c r="S18" i="14"/>
  <c r="Y18" i="14"/>
  <c r="W18" i="14"/>
  <c r="AF18" i="14" s="1"/>
  <c r="V18" i="14"/>
  <c r="AE18" i="14" s="1"/>
  <c r="U18" i="14"/>
  <c r="AD18" i="14" s="1"/>
  <c r="T18" i="14"/>
  <c r="R18" i="14"/>
  <c r="Q18" i="14"/>
  <c r="Z17" i="14"/>
  <c r="AC17" i="14"/>
  <c r="AB17" i="14"/>
  <c r="AA17" i="14"/>
  <c r="AP82" i="1"/>
  <c r="AF118" i="1"/>
  <c r="AP106" i="1"/>
  <c r="AP112" i="1"/>
  <c r="AP114" i="1"/>
  <c r="AP116" i="1"/>
  <c r="AP100" i="1"/>
  <c r="AF92" i="1"/>
  <c r="AP104" i="1"/>
  <c r="AF90" i="1"/>
  <c r="AP84" i="1"/>
  <c r="AP110" i="1"/>
  <c r="AF76" i="1"/>
  <c r="AF68" i="1"/>
  <c r="AF74" i="1"/>
  <c r="AF72" i="1"/>
  <c r="A27" i="3"/>
  <c r="A14" i="3"/>
  <c r="A1" i="3"/>
  <c r="D4" i="6"/>
  <c r="X3" i="1"/>
  <c r="P67" i="10"/>
  <c r="O67" i="10"/>
  <c r="N67" i="10"/>
  <c r="M67" i="10"/>
  <c r="P65" i="10"/>
  <c r="O65" i="10"/>
  <c r="N65" i="10"/>
  <c r="M65" i="10"/>
  <c r="P63" i="10"/>
  <c r="O63" i="10"/>
  <c r="N63" i="10"/>
  <c r="M63" i="10"/>
  <c r="P61" i="10"/>
  <c r="O61" i="10"/>
  <c r="N61" i="10"/>
  <c r="M61" i="10"/>
  <c r="P59" i="10"/>
  <c r="O59" i="10"/>
  <c r="N59" i="10"/>
  <c r="M59" i="10"/>
  <c r="P57" i="10"/>
  <c r="O57" i="10"/>
  <c r="N57" i="10"/>
  <c r="M57" i="10"/>
  <c r="P55" i="10"/>
  <c r="O55" i="10"/>
  <c r="N55" i="10"/>
  <c r="M55" i="10"/>
  <c r="P53" i="10"/>
  <c r="O53" i="10"/>
  <c r="N53" i="10"/>
  <c r="M53" i="10"/>
  <c r="P51" i="10"/>
  <c r="O51" i="10"/>
  <c r="N51" i="10"/>
  <c r="M51" i="10"/>
  <c r="P49" i="10"/>
  <c r="O49" i="10"/>
  <c r="N49" i="10"/>
  <c r="M49" i="10"/>
  <c r="P47" i="10"/>
  <c r="O47" i="10"/>
  <c r="N47" i="10"/>
  <c r="M47" i="10"/>
  <c r="P45" i="10"/>
  <c r="O45" i="10"/>
  <c r="N45" i="10"/>
  <c r="M45" i="10"/>
  <c r="P43" i="10"/>
  <c r="O43" i="10"/>
  <c r="N43" i="10"/>
  <c r="M43" i="10"/>
  <c r="P41" i="10"/>
  <c r="O41" i="10"/>
  <c r="N41" i="10"/>
  <c r="M41" i="10"/>
  <c r="P39" i="10"/>
  <c r="O39" i="10"/>
  <c r="N39" i="10"/>
  <c r="M39" i="10"/>
  <c r="P37" i="10"/>
  <c r="O37" i="10"/>
  <c r="N37" i="10"/>
  <c r="M37" i="10"/>
  <c r="P35" i="10"/>
  <c r="O35" i="10"/>
  <c r="N35" i="10"/>
  <c r="M35" i="10"/>
  <c r="P33" i="10"/>
  <c r="O33" i="10"/>
  <c r="N33" i="10"/>
  <c r="M33" i="10"/>
  <c r="P31" i="10"/>
  <c r="O31" i="10"/>
  <c r="N31" i="10"/>
  <c r="M31" i="10"/>
  <c r="P29" i="10"/>
  <c r="O29" i="10"/>
  <c r="N29" i="10"/>
  <c r="M29" i="10"/>
  <c r="P27" i="10"/>
  <c r="O27" i="10"/>
  <c r="N27" i="10"/>
  <c r="M27" i="10"/>
  <c r="P25" i="10"/>
  <c r="O25" i="10"/>
  <c r="N25" i="10"/>
  <c r="M25" i="10"/>
  <c r="P23" i="10"/>
  <c r="O23" i="10"/>
  <c r="N23" i="10"/>
  <c r="M23" i="10"/>
  <c r="P21" i="10"/>
  <c r="O21" i="10"/>
  <c r="N21" i="10"/>
  <c r="M21" i="10"/>
  <c r="F67" i="10"/>
  <c r="E67" i="10"/>
  <c r="D67" i="10"/>
  <c r="C67" i="10"/>
  <c r="F65" i="10"/>
  <c r="E65" i="10"/>
  <c r="D65" i="10"/>
  <c r="C65" i="10"/>
  <c r="F63" i="10"/>
  <c r="E63" i="10"/>
  <c r="D63" i="10"/>
  <c r="C63" i="10"/>
  <c r="F61" i="10"/>
  <c r="E61" i="10"/>
  <c r="D61" i="10"/>
  <c r="C61" i="10"/>
  <c r="F59" i="10"/>
  <c r="E59" i="10"/>
  <c r="D59" i="10"/>
  <c r="C59" i="10"/>
  <c r="F57" i="10"/>
  <c r="E57" i="10"/>
  <c r="D57" i="10"/>
  <c r="C57" i="10"/>
  <c r="F55" i="10"/>
  <c r="E55" i="10"/>
  <c r="D55" i="10"/>
  <c r="C55" i="10"/>
  <c r="F53" i="10"/>
  <c r="E53" i="10"/>
  <c r="D53" i="10"/>
  <c r="C53" i="10"/>
  <c r="F51" i="10"/>
  <c r="E51" i="10"/>
  <c r="D51" i="10"/>
  <c r="C51" i="10"/>
  <c r="F49" i="10"/>
  <c r="E49" i="10"/>
  <c r="D49" i="10"/>
  <c r="C49" i="10"/>
  <c r="F47" i="10"/>
  <c r="E47" i="10"/>
  <c r="D47" i="10"/>
  <c r="C47" i="10"/>
  <c r="F45" i="10"/>
  <c r="E45" i="10"/>
  <c r="D45" i="10"/>
  <c r="C45" i="10"/>
  <c r="F43" i="10"/>
  <c r="E43" i="10"/>
  <c r="D43" i="10"/>
  <c r="C43" i="10"/>
  <c r="F41" i="10"/>
  <c r="E41" i="10"/>
  <c r="D41" i="10"/>
  <c r="C41" i="10"/>
  <c r="F39" i="10"/>
  <c r="E39" i="10"/>
  <c r="D39" i="10"/>
  <c r="C39" i="10"/>
  <c r="F37" i="10"/>
  <c r="E37" i="10"/>
  <c r="D37" i="10"/>
  <c r="C37" i="10"/>
  <c r="F35" i="10"/>
  <c r="E35" i="10"/>
  <c r="D35" i="10"/>
  <c r="C35" i="10"/>
  <c r="F33" i="10"/>
  <c r="E33" i="10"/>
  <c r="D33" i="10"/>
  <c r="C33" i="10"/>
  <c r="F31" i="10"/>
  <c r="E31" i="10"/>
  <c r="D31" i="10"/>
  <c r="C31" i="10"/>
  <c r="F29" i="10"/>
  <c r="E29" i="10"/>
  <c r="D29" i="10"/>
  <c r="C29" i="10"/>
  <c r="F27" i="10"/>
  <c r="E27" i="10"/>
  <c r="D27" i="10"/>
  <c r="C27" i="10"/>
  <c r="F25" i="10"/>
  <c r="E25" i="10"/>
  <c r="D25" i="10"/>
  <c r="C25" i="10"/>
  <c r="F23" i="10"/>
  <c r="E23" i="10"/>
  <c r="D23" i="10"/>
  <c r="C23" i="10"/>
  <c r="F21" i="10"/>
  <c r="E21" i="10"/>
  <c r="D21" i="10"/>
  <c r="C21" i="10"/>
  <c r="P67" i="7"/>
  <c r="O67" i="7"/>
  <c r="N67" i="7"/>
  <c r="M67" i="7"/>
  <c r="P65" i="7"/>
  <c r="O65" i="7"/>
  <c r="N65" i="7"/>
  <c r="M65" i="7"/>
  <c r="P63" i="7"/>
  <c r="O63" i="7"/>
  <c r="N63" i="7"/>
  <c r="M63" i="7"/>
  <c r="P61" i="7"/>
  <c r="O61" i="7"/>
  <c r="N61" i="7"/>
  <c r="M61" i="7"/>
  <c r="P59" i="7"/>
  <c r="O59" i="7"/>
  <c r="N59" i="7"/>
  <c r="M59" i="7"/>
  <c r="P57" i="7"/>
  <c r="O57" i="7"/>
  <c r="N57" i="7"/>
  <c r="M57" i="7"/>
  <c r="P55" i="7"/>
  <c r="O55" i="7"/>
  <c r="N55" i="7"/>
  <c r="M55" i="7"/>
  <c r="P53" i="7"/>
  <c r="O53" i="7"/>
  <c r="N53" i="7"/>
  <c r="M53" i="7"/>
  <c r="P51" i="7"/>
  <c r="O51" i="7"/>
  <c r="N51" i="7"/>
  <c r="M51" i="7"/>
  <c r="P49" i="7"/>
  <c r="O49" i="7"/>
  <c r="N49" i="7"/>
  <c r="M49" i="7"/>
  <c r="P47" i="7"/>
  <c r="O47" i="7"/>
  <c r="N47" i="7"/>
  <c r="M47" i="7"/>
  <c r="P45" i="7"/>
  <c r="O45" i="7"/>
  <c r="N45" i="7"/>
  <c r="M45" i="7"/>
  <c r="P43" i="7"/>
  <c r="O43" i="7"/>
  <c r="N43" i="7"/>
  <c r="M43" i="7"/>
  <c r="P41" i="7"/>
  <c r="O41" i="7"/>
  <c r="N41" i="7"/>
  <c r="M41" i="7"/>
  <c r="P39" i="7"/>
  <c r="O39" i="7"/>
  <c r="N39" i="7"/>
  <c r="M39" i="7"/>
  <c r="P37" i="7"/>
  <c r="O37" i="7"/>
  <c r="N37" i="7"/>
  <c r="M37" i="7"/>
  <c r="P35" i="7"/>
  <c r="O35" i="7"/>
  <c r="N35" i="7"/>
  <c r="M35" i="7"/>
  <c r="P33" i="7"/>
  <c r="O33" i="7"/>
  <c r="N33" i="7"/>
  <c r="M33" i="7"/>
  <c r="P31" i="7"/>
  <c r="O31" i="7"/>
  <c r="N31" i="7"/>
  <c r="M31" i="7"/>
  <c r="P29" i="7"/>
  <c r="O29" i="7"/>
  <c r="N29" i="7"/>
  <c r="M29" i="7"/>
  <c r="F67" i="7"/>
  <c r="E67" i="7"/>
  <c r="D67" i="7"/>
  <c r="C67" i="7"/>
  <c r="F65" i="7"/>
  <c r="E65" i="7"/>
  <c r="D65" i="7"/>
  <c r="C65" i="7"/>
  <c r="F63" i="7"/>
  <c r="E63" i="7"/>
  <c r="D63" i="7"/>
  <c r="C63" i="7"/>
  <c r="F61" i="7"/>
  <c r="E61" i="7"/>
  <c r="D61" i="7"/>
  <c r="C61" i="7"/>
  <c r="F59" i="7"/>
  <c r="E59" i="7"/>
  <c r="D59" i="7"/>
  <c r="C59" i="7"/>
  <c r="F57" i="7"/>
  <c r="E57" i="7"/>
  <c r="D57" i="7"/>
  <c r="C57" i="7"/>
  <c r="F55" i="7"/>
  <c r="E55" i="7"/>
  <c r="D55" i="7"/>
  <c r="C55" i="7"/>
  <c r="F53" i="7"/>
  <c r="E53" i="7"/>
  <c r="D53" i="7"/>
  <c r="C53" i="7"/>
  <c r="F51" i="7"/>
  <c r="E51" i="7"/>
  <c r="D51" i="7"/>
  <c r="C51" i="7"/>
  <c r="F49" i="7"/>
  <c r="E49" i="7"/>
  <c r="D49" i="7"/>
  <c r="C49" i="7"/>
  <c r="F47" i="7"/>
  <c r="E47" i="7"/>
  <c r="D47" i="7"/>
  <c r="C47" i="7"/>
  <c r="F45" i="7"/>
  <c r="E45" i="7"/>
  <c r="D45" i="7"/>
  <c r="C45" i="7"/>
  <c r="F43" i="7"/>
  <c r="E43" i="7"/>
  <c r="D43" i="7"/>
  <c r="C43" i="7"/>
  <c r="F41" i="7"/>
  <c r="E41" i="7"/>
  <c r="D41" i="7"/>
  <c r="C41" i="7"/>
  <c r="F39" i="7"/>
  <c r="E39" i="7"/>
  <c r="D39" i="7"/>
  <c r="C39" i="7"/>
  <c r="F37" i="7"/>
  <c r="E37" i="7"/>
  <c r="D37" i="7"/>
  <c r="C37" i="7"/>
  <c r="F35" i="7"/>
  <c r="E35" i="7"/>
  <c r="D35" i="7"/>
  <c r="C35" i="7"/>
  <c r="F33" i="7"/>
  <c r="E33" i="7"/>
  <c r="D33" i="7"/>
  <c r="C33" i="7"/>
  <c r="F31" i="7"/>
  <c r="E31" i="7"/>
  <c r="D31" i="7"/>
  <c r="C31" i="7"/>
  <c r="F29" i="7"/>
  <c r="E29" i="7"/>
  <c r="D29" i="7"/>
  <c r="C29" i="7"/>
  <c r="P67" i="9"/>
  <c r="O67" i="9"/>
  <c r="N67" i="9"/>
  <c r="M67" i="9"/>
  <c r="P65" i="9"/>
  <c r="O65" i="9"/>
  <c r="N65" i="9"/>
  <c r="M65" i="9"/>
  <c r="P63" i="9"/>
  <c r="O63" i="9"/>
  <c r="N63" i="9"/>
  <c r="M63" i="9"/>
  <c r="P61" i="9"/>
  <c r="O61" i="9"/>
  <c r="N61" i="9"/>
  <c r="M61" i="9"/>
  <c r="P59" i="9"/>
  <c r="O59" i="9"/>
  <c r="N59" i="9"/>
  <c r="M59" i="9"/>
  <c r="P57" i="9"/>
  <c r="O57" i="9"/>
  <c r="N57" i="9"/>
  <c r="M57" i="9"/>
  <c r="P55" i="9"/>
  <c r="O55" i="9"/>
  <c r="N55" i="9"/>
  <c r="M55" i="9"/>
  <c r="P53" i="9"/>
  <c r="O53" i="9"/>
  <c r="N53" i="9"/>
  <c r="M53" i="9"/>
  <c r="P51" i="9"/>
  <c r="O51" i="9"/>
  <c r="N51" i="9"/>
  <c r="M51" i="9"/>
  <c r="P49" i="9"/>
  <c r="O49" i="9"/>
  <c r="N49" i="9"/>
  <c r="M49" i="9"/>
  <c r="P47" i="9"/>
  <c r="O47" i="9"/>
  <c r="N47" i="9"/>
  <c r="M47" i="9"/>
  <c r="P45" i="9"/>
  <c r="O45" i="9"/>
  <c r="N45" i="9"/>
  <c r="M45" i="9"/>
  <c r="P43" i="9"/>
  <c r="O43" i="9"/>
  <c r="N43" i="9"/>
  <c r="M43" i="9"/>
  <c r="P41" i="9"/>
  <c r="O41" i="9"/>
  <c r="N41" i="9"/>
  <c r="M41" i="9"/>
  <c r="P39" i="9"/>
  <c r="O39" i="9"/>
  <c r="N39" i="9"/>
  <c r="M39" i="9"/>
  <c r="P37" i="9"/>
  <c r="O37" i="9"/>
  <c r="N37" i="9"/>
  <c r="M37" i="9"/>
  <c r="F67" i="9"/>
  <c r="E67" i="9"/>
  <c r="D67" i="9"/>
  <c r="C67" i="9"/>
  <c r="F65" i="9"/>
  <c r="E65" i="9"/>
  <c r="D65" i="9"/>
  <c r="C65" i="9"/>
  <c r="F63" i="9"/>
  <c r="E63" i="9"/>
  <c r="D63" i="9"/>
  <c r="C63" i="9"/>
  <c r="F61" i="9"/>
  <c r="E61" i="9"/>
  <c r="D61" i="9"/>
  <c r="C61" i="9"/>
  <c r="F59" i="9"/>
  <c r="E59" i="9"/>
  <c r="D59" i="9"/>
  <c r="C59" i="9"/>
  <c r="F57" i="9"/>
  <c r="E57" i="9"/>
  <c r="D57" i="9"/>
  <c r="C57" i="9"/>
  <c r="F55" i="9"/>
  <c r="E55" i="9"/>
  <c r="D55" i="9"/>
  <c r="C55" i="9"/>
  <c r="F53" i="9"/>
  <c r="E53" i="9"/>
  <c r="D53" i="9"/>
  <c r="C53" i="9"/>
  <c r="F51" i="9"/>
  <c r="E51" i="9"/>
  <c r="D51" i="9"/>
  <c r="C51" i="9"/>
  <c r="F49" i="9"/>
  <c r="E49" i="9"/>
  <c r="D49" i="9"/>
  <c r="C49" i="9"/>
  <c r="F47" i="9"/>
  <c r="E47" i="9"/>
  <c r="D47" i="9"/>
  <c r="C47" i="9"/>
  <c r="F45" i="9"/>
  <c r="E45" i="9"/>
  <c r="D45" i="9"/>
  <c r="C45" i="9"/>
  <c r="F43" i="9"/>
  <c r="E43" i="9"/>
  <c r="D43" i="9"/>
  <c r="C43" i="9"/>
  <c r="F41" i="9"/>
  <c r="E41" i="9"/>
  <c r="D41" i="9"/>
  <c r="C41" i="9"/>
  <c r="F39" i="9"/>
  <c r="E39" i="9"/>
  <c r="D39" i="9"/>
  <c r="C39" i="9"/>
  <c r="F37" i="9"/>
  <c r="E37" i="9"/>
  <c r="D37" i="9"/>
  <c r="C37" i="9"/>
  <c r="P67" i="8"/>
  <c r="O67" i="8"/>
  <c r="N67" i="8"/>
  <c r="M67" i="8"/>
  <c r="P65" i="8"/>
  <c r="O65" i="8"/>
  <c r="N65" i="8"/>
  <c r="M65" i="8"/>
  <c r="P63" i="8"/>
  <c r="O63" i="8"/>
  <c r="N63" i="8"/>
  <c r="M63" i="8"/>
  <c r="P61" i="8"/>
  <c r="O61" i="8"/>
  <c r="N61" i="8"/>
  <c r="M61" i="8"/>
  <c r="F67" i="8"/>
  <c r="E67" i="8"/>
  <c r="D67" i="8"/>
  <c r="C67" i="8"/>
  <c r="F65" i="8"/>
  <c r="E65" i="8"/>
  <c r="D65" i="8"/>
  <c r="C65" i="8"/>
  <c r="F63" i="8"/>
  <c r="E63" i="8"/>
  <c r="D63" i="8"/>
  <c r="C63" i="8"/>
  <c r="F61" i="8"/>
  <c r="E61" i="8"/>
  <c r="D61" i="8"/>
  <c r="C61" i="8"/>
  <c r="P67" i="13"/>
  <c r="O67" i="13"/>
  <c r="N67" i="13"/>
  <c r="M67" i="13"/>
  <c r="P65" i="13"/>
  <c r="O65" i="13"/>
  <c r="N65" i="13"/>
  <c r="M65" i="13"/>
  <c r="P63" i="13"/>
  <c r="O63" i="13"/>
  <c r="N63" i="13"/>
  <c r="M63" i="13"/>
  <c r="P61" i="13"/>
  <c r="O61" i="13"/>
  <c r="N61" i="13"/>
  <c r="M61" i="13"/>
  <c r="P59" i="13"/>
  <c r="O59" i="13"/>
  <c r="N59" i="13"/>
  <c r="M59" i="13"/>
  <c r="P57" i="13"/>
  <c r="O57" i="13"/>
  <c r="N57" i="13"/>
  <c r="M57" i="13"/>
  <c r="P55" i="13"/>
  <c r="O55" i="13"/>
  <c r="N55" i="13"/>
  <c r="M55" i="13"/>
  <c r="P53" i="13"/>
  <c r="O53" i="13"/>
  <c r="N53" i="13"/>
  <c r="M53" i="13"/>
  <c r="P51" i="13"/>
  <c r="O51" i="13"/>
  <c r="N51" i="13"/>
  <c r="M51" i="13"/>
  <c r="P49" i="13"/>
  <c r="O49" i="13"/>
  <c r="N49" i="13"/>
  <c r="M49" i="13"/>
  <c r="P47" i="13"/>
  <c r="O47" i="13"/>
  <c r="N47" i="13"/>
  <c r="M47" i="13"/>
  <c r="P45" i="13"/>
  <c r="O45" i="13"/>
  <c r="N45" i="13"/>
  <c r="M45" i="13"/>
  <c r="P43" i="13"/>
  <c r="O43" i="13"/>
  <c r="N43" i="13"/>
  <c r="M43" i="13"/>
  <c r="P41" i="13"/>
  <c r="O41" i="13"/>
  <c r="N41" i="13"/>
  <c r="M41" i="13"/>
  <c r="P39" i="13"/>
  <c r="O39" i="13"/>
  <c r="N39" i="13"/>
  <c r="M39" i="13"/>
  <c r="P37" i="13"/>
  <c r="O37" i="13"/>
  <c r="N37" i="13"/>
  <c r="M37" i="13"/>
  <c r="P35" i="13"/>
  <c r="O35" i="13"/>
  <c r="N35" i="13"/>
  <c r="M35" i="13"/>
  <c r="P33" i="13"/>
  <c r="O33" i="13"/>
  <c r="N33" i="13"/>
  <c r="M33" i="13"/>
  <c r="P31" i="13"/>
  <c r="O31" i="13"/>
  <c r="N31" i="13"/>
  <c r="M31" i="13"/>
  <c r="P29" i="13"/>
  <c r="O29" i="13"/>
  <c r="N29" i="13"/>
  <c r="M29" i="13"/>
  <c r="P27" i="13"/>
  <c r="O27" i="13"/>
  <c r="N27" i="13"/>
  <c r="M27" i="13"/>
  <c r="P25" i="13"/>
  <c r="O25" i="13"/>
  <c r="N25" i="13"/>
  <c r="M25" i="13"/>
  <c r="P23" i="13"/>
  <c r="O23" i="13"/>
  <c r="N23" i="13"/>
  <c r="M23" i="13"/>
  <c r="P21" i="13"/>
  <c r="O21" i="13"/>
  <c r="N21" i="13"/>
  <c r="M21" i="13"/>
  <c r="P19" i="13"/>
  <c r="O19" i="13"/>
  <c r="N19" i="13"/>
  <c r="M19" i="13"/>
  <c r="P17" i="13"/>
  <c r="O17" i="13"/>
  <c r="N17" i="13"/>
  <c r="M17" i="13"/>
  <c r="P15" i="13"/>
  <c r="O15" i="13"/>
  <c r="N15" i="13"/>
  <c r="M15" i="13"/>
  <c r="P13" i="13"/>
  <c r="O13" i="13"/>
  <c r="N13" i="13"/>
  <c r="M13" i="13"/>
  <c r="P11" i="13"/>
  <c r="O11" i="13"/>
  <c r="N11" i="13"/>
  <c r="M11" i="13"/>
  <c r="P9" i="13"/>
  <c r="O9" i="13"/>
  <c r="N9" i="13"/>
  <c r="M9" i="13"/>
  <c r="P7" i="13"/>
  <c r="O7" i="13"/>
  <c r="N7" i="13"/>
  <c r="M7" i="13"/>
  <c r="P5" i="13"/>
  <c r="O5" i="13"/>
  <c r="N5" i="13"/>
  <c r="M5" i="13"/>
  <c r="F27" i="13"/>
  <c r="E27" i="13"/>
  <c r="D27" i="13"/>
  <c r="C27" i="13"/>
  <c r="F25" i="13"/>
  <c r="E25" i="13"/>
  <c r="D25" i="13"/>
  <c r="C25" i="13"/>
  <c r="F23" i="13"/>
  <c r="E23" i="13"/>
  <c r="D23" i="13"/>
  <c r="C23" i="13"/>
  <c r="F21" i="13"/>
  <c r="E21" i="13"/>
  <c r="D21" i="13"/>
  <c r="C21" i="13"/>
  <c r="F19" i="13"/>
  <c r="E19" i="13"/>
  <c r="D19" i="13"/>
  <c r="C19" i="13"/>
  <c r="F17" i="13"/>
  <c r="E17" i="13"/>
  <c r="D17" i="13"/>
  <c r="C17" i="13"/>
  <c r="F15" i="13"/>
  <c r="E15" i="13"/>
  <c r="D15" i="13"/>
  <c r="C15" i="13"/>
  <c r="F13" i="13"/>
  <c r="E13" i="13"/>
  <c r="D13" i="13"/>
  <c r="C13" i="13"/>
  <c r="F11" i="13"/>
  <c r="E11" i="13"/>
  <c r="D11" i="13"/>
  <c r="C11" i="13"/>
  <c r="F9" i="13"/>
  <c r="E9" i="13"/>
  <c r="D9" i="13"/>
  <c r="C9" i="13"/>
  <c r="F7" i="13"/>
  <c r="E7" i="13"/>
  <c r="D7" i="13"/>
  <c r="C7" i="13"/>
  <c r="F5" i="13"/>
  <c r="E5" i="13"/>
  <c r="D5" i="13"/>
  <c r="C5" i="13"/>
  <c r="P67" i="11"/>
  <c r="O67" i="11"/>
  <c r="N67" i="11"/>
  <c r="M67" i="11"/>
  <c r="P65" i="11"/>
  <c r="O65" i="11"/>
  <c r="N65" i="11"/>
  <c r="M65" i="11"/>
  <c r="P63" i="11"/>
  <c r="O63" i="11"/>
  <c r="N63" i="11"/>
  <c r="M63" i="11"/>
  <c r="P61" i="11"/>
  <c r="O61" i="11"/>
  <c r="N61" i="11"/>
  <c r="M61" i="11"/>
  <c r="P59" i="11"/>
  <c r="O59" i="11"/>
  <c r="N59" i="11"/>
  <c r="M59" i="11"/>
  <c r="P57" i="11"/>
  <c r="O57" i="11"/>
  <c r="N57" i="11"/>
  <c r="M57" i="11"/>
  <c r="P55" i="11"/>
  <c r="O55" i="11"/>
  <c r="N55" i="11"/>
  <c r="M55" i="11"/>
  <c r="P53" i="11"/>
  <c r="O53" i="11"/>
  <c r="N53" i="11"/>
  <c r="M53" i="11"/>
  <c r="P51" i="11"/>
  <c r="O51" i="11"/>
  <c r="N51" i="11"/>
  <c r="M51" i="11"/>
  <c r="P49" i="11"/>
  <c r="O49" i="11"/>
  <c r="N49" i="11"/>
  <c r="M49" i="11"/>
  <c r="P47" i="11"/>
  <c r="O47" i="11"/>
  <c r="N47" i="11"/>
  <c r="M47" i="11"/>
  <c r="P45" i="11"/>
  <c r="O45" i="11"/>
  <c r="N45" i="11"/>
  <c r="M45" i="11"/>
  <c r="P43" i="11"/>
  <c r="O43" i="11"/>
  <c r="N43" i="11"/>
  <c r="M43" i="11"/>
  <c r="P41" i="11"/>
  <c r="O41" i="11"/>
  <c r="N41" i="11"/>
  <c r="M41" i="11"/>
  <c r="P39" i="11"/>
  <c r="O39" i="11"/>
  <c r="N39" i="11"/>
  <c r="M39" i="11"/>
  <c r="P37" i="11"/>
  <c r="O37" i="11"/>
  <c r="N37" i="11"/>
  <c r="M37" i="11"/>
  <c r="P35" i="11"/>
  <c r="O35" i="11"/>
  <c r="N35" i="11"/>
  <c r="M35" i="11"/>
  <c r="P33" i="11"/>
  <c r="O33" i="11"/>
  <c r="N33" i="11"/>
  <c r="M33" i="11"/>
  <c r="P31" i="11"/>
  <c r="O31" i="11"/>
  <c r="N31" i="11"/>
  <c r="M31" i="11"/>
  <c r="P29" i="11"/>
  <c r="O29" i="11"/>
  <c r="N29" i="11"/>
  <c r="M29" i="11"/>
  <c r="P27" i="11"/>
  <c r="O27" i="11"/>
  <c r="N27" i="11"/>
  <c r="M27" i="11"/>
  <c r="P25" i="11"/>
  <c r="O25" i="11"/>
  <c r="N25" i="11"/>
  <c r="M25" i="11"/>
  <c r="P23" i="11"/>
  <c r="O23" i="11"/>
  <c r="N23" i="11"/>
  <c r="M23" i="11"/>
  <c r="P21" i="11"/>
  <c r="O21" i="11"/>
  <c r="N21" i="11"/>
  <c r="M21" i="11"/>
  <c r="P19" i="11"/>
  <c r="O19" i="11"/>
  <c r="N19" i="11"/>
  <c r="M19" i="11"/>
  <c r="P17" i="11"/>
  <c r="O17" i="11"/>
  <c r="N17" i="11"/>
  <c r="M17" i="11"/>
  <c r="P15" i="11"/>
  <c r="O15" i="11"/>
  <c r="N15" i="11"/>
  <c r="M15" i="11"/>
  <c r="P13" i="11"/>
  <c r="O13" i="11"/>
  <c r="N13" i="11"/>
  <c r="M13" i="11"/>
  <c r="P11" i="11"/>
  <c r="O11" i="11"/>
  <c r="N11" i="11"/>
  <c r="M11" i="11"/>
  <c r="P9" i="11"/>
  <c r="O9" i="11"/>
  <c r="N9" i="11"/>
  <c r="M9" i="11"/>
  <c r="P7" i="11"/>
  <c r="O7" i="11"/>
  <c r="N7" i="11"/>
  <c r="M7" i="11"/>
  <c r="P5" i="11"/>
  <c r="O5" i="11"/>
  <c r="N5" i="11"/>
  <c r="M5" i="11"/>
  <c r="F7" i="11"/>
  <c r="F9" i="11"/>
  <c r="F11" i="11"/>
  <c r="F13" i="11"/>
  <c r="F15" i="11"/>
  <c r="F17" i="11"/>
  <c r="F19" i="11"/>
  <c r="E7" i="11"/>
  <c r="E9" i="11"/>
  <c r="E11" i="11"/>
  <c r="E13" i="11"/>
  <c r="E15" i="11"/>
  <c r="E17" i="11"/>
  <c r="E19" i="11"/>
  <c r="D7" i="11"/>
  <c r="D9" i="11"/>
  <c r="D11" i="11"/>
  <c r="D13" i="11"/>
  <c r="D15" i="11"/>
  <c r="D17" i="11"/>
  <c r="D19" i="11"/>
  <c r="C7" i="11"/>
  <c r="C9" i="11"/>
  <c r="C11" i="11"/>
  <c r="C13" i="11"/>
  <c r="C15" i="11"/>
  <c r="C17" i="11"/>
  <c r="C19" i="11"/>
  <c r="F5" i="11"/>
  <c r="E5" i="11"/>
  <c r="D5" i="11"/>
  <c r="C5" i="11"/>
  <c r="AB18" i="14" l="1"/>
  <c r="Z18" i="14"/>
  <c r="AC18" i="14"/>
  <c r="AA18" i="14"/>
  <c r="P20" i="14"/>
  <c r="M21" i="14" a="1"/>
  <c r="M21" i="14" s="1"/>
  <c r="U19" i="14"/>
  <c r="AD19" i="14" s="1"/>
  <c r="T19" i="14"/>
  <c r="AC19" i="14" s="1"/>
  <c r="S19" i="14"/>
  <c r="AB19" i="14" s="1"/>
  <c r="R19" i="14"/>
  <c r="AA19" i="14" s="1"/>
  <c r="V19" i="14"/>
  <c r="AE19" i="14" s="1"/>
  <c r="Q19" i="14"/>
  <c r="Z19" i="14" s="1"/>
  <c r="Y19" i="14"/>
  <c r="W19" i="14"/>
  <c r="AF19" i="14" s="1"/>
  <c r="B45" i="11"/>
  <c r="B45" i="13"/>
  <c r="P21" i="14" l="1"/>
  <c r="M22" i="14" a="1"/>
  <c r="M22" i="14" s="1"/>
  <c r="W20" i="14"/>
  <c r="AF20" i="14" s="1"/>
  <c r="Q20" i="14"/>
  <c r="Z20" i="14" s="1"/>
  <c r="Y20" i="14"/>
  <c r="R20" i="14"/>
  <c r="AA20" i="14" s="1"/>
  <c r="V20" i="14"/>
  <c r="AE20" i="14" s="1"/>
  <c r="U20" i="14"/>
  <c r="AD20" i="14" s="1"/>
  <c r="T20" i="14"/>
  <c r="AC20" i="14" s="1"/>
  <c r="S20" i="14"/>
  <c r="AB20" i="14" s="1"/>
  <c r="D45" i="13"/>
  <c r="C45" i="13"/>
  <c r="F45" i="13"/>
  <c r="E45" i="13"/>
  <c r="E45" i="11"/>
  <c r="F45" i="11"/>
  <c r="D45" i="11"/>
  <c r="C45" i="11"/>
  <c r="B49" i="11"/>
  <c r="B47" i="13"/>
  <c r="B49" i="13"/>
  <c r="P22" i="14" l="1"/>
  <c r="M23" i="14" a="1"/>
  <c r="M23" i="14" s="1"/>
  <c r="Q21" i="14"/>
  <c r="Z21" i="14" s="1"/>
  <c r="V21" i="14"/>
  <c r="AE21" i="14" s="1"/>
  <c r="U21" i="14"/>
  <c r="AD21" i="14" s="1"/>
  <c r="T21" i="14"/>
  <c r="AC21" i="14" s="1"/>
  <c r="W21" i="14"/>
  <c r="AF21" i="14" s="1"/>
  <c r="S21" i="14"/>
  <c r="AB21" i="14" s="1"/>
  <c r="R21" i="14"/>
  <c r="AA21" i="14" s="1"/>
  <c r="Y21" i="14"/>
  <c r="L17" i="15"/>
  <c r="L19" i="15"/>
  <c r="D49" i="13"/>
  <c r="E49" i="13"/>
  <c r="C49" i="13"/>
  <c r="F49" i="13"/>
  <c r="D47" i="13"/>
  <c r="C47" i="13"/>
  <c r="E47" i="13"/>
  <c r="F47" i="13"/>
  <c r="C49" i="11"/>
  <c r="E49" i="11"/>
  <c r="D49" i="11"/>
  <c r="F49" i="11"/>
  <c r="B51" i="11"/>
  <c r="B51" i="13"/>
  <c r="P23" i="14" l="1"/>
  <c r="M24" i="14" a="1"/>
  <c r="M24" i="14" s="1"/>
  <c r="S22" i="14"/>
  <c r="AB22" i="14" s="1"/>
  <c r="Q22" i="14"/>
  <c r="Z22" i="14" s="1"/>
  <c r="Y22" i="14"/>
  <c r="W22" i="14"/>
  <c r="AF22" i="14" s="1"/>
  <c r="R22" i="14"/>
  <c r="AA22" i="14" s="1"/>
  <c r="V22" i="14"/>
  <c r="AE22" i="14" s="1"/>
  <c r="U22" i="14"/>
  <c r="AD22" i="14" s="1"/>
  <c r="T22" i="14"/>
  <c r="AC22" i="14" s="1"/>
  <c r="D51" i="13"/>
  <c r="C51" i="13"/>
  <c r="F51" i="13"/>
  <c r="E51" i="13"/>
  <c r="F51" i="11"/>
  <c r="D51" i="11"/>
  <c r="C51" i="11"/>
  <c r="E51" i="11"/>
  <c r="B47" i="11"/>
  <c r="U23" i="14" l="1"/>
  <c r="AD23" i="14" s="1"/>
  <c r="W23" i="14"/>
  <c r="AF23" i="14" s="1"/>
  <c r="V23" i="14"/>
  <c r="AE23" i="14" s="1"/>
  <c r="T23" i="14"/>
  <c r="AC23" i="14" s="1"/>
  <c r="S23" i="14"/>
  <c r="AB23" i="14" s="1"/>
  <c r="Y23" i="14"/>
  <c r="R23" i="14"/>
  <c r="AA23" i="14" s="1"/>
  <c r="Q23" i="14"/>
  <c r="Z23" i="14" s="1"/>
  <c r="P24" i="14"/>
  <c r="M25" i="14" a="1"/>
  <c r="M25" i="14" s="1"/>
  <c r="D47" i="11"/>
  <c r="F47" i="11"/>
  <c r="C47" i="11"/>
  <c r="E47" i="11"/>
  <c r="B53" i="11"/>
  <c r="B53" i="13"/>
  <c r="P25" i="14" l="1"/>
  <c r="M26" i="14" a="1"/>
  <c r="M26" i="14" s="1"/>
  <c r="W24" i="14"/>
  <c r="AF24" i="14" s="1"/>
  <c r="S24" i="14"/>
  <c r="AB24" i="14" s="1"/>
  <c r="R24" i="14"/>
  <c r="AA24" i="14" s="1"/>
  <c r="Q24" i="14"/>
  <c r="Z24" i="14" s="1"/>
  <c r="T24" i="14"/>
  <c r="AC24" i="14" s="1"/>
  <c r="Y24" i="14"/>
  <c r="V24" i="14"/>
  <c r="AE24" i="14" s="1"/>
  <c r="U24" i="14"/>
  <c r="AD24" i="14" s="1"/>
  <c r="D53" i="13"/>
  <c r="C53" i="13"/>
  <c r="E53" i="13"/>
  <c r="F53" i="13"/>
  <c r="E53" i="11"/>
  <c r="F53" i="11"/>
  <c r="C53" i="11"/>
  <c r="D53" i="11"/>
  <c r="B57" i="11"/>
  <c r="B55" i="13"/>
  <c r="B57" i="13"/>
  <c r="P26" i="14" l="1"/>
  <c r="M27" i="14" a="1"/>
  <c r="M27" i="14" s="1"/>
  <c r="Q25" i="14"/>
  <c r="Z25" i="14" s="1"/>
  <c r="V25" i="14"/>
  <c r="AE25" i="14" s="1"/>
  <c r="Y25" i="14"/>
  <c r="W25" i="14"/>
  <c r="AF25" i="14" s="1"/>
  <c r="R25" i="14"/>
  <c r="AA25" i="14" s="1"/>
  <c r="U25" i="14"/>
  <c r="AD25" i="14" s="1"/>
  <c r="T25" i="14"/>
  <c r="AC25" i="14" s="1"/>
  <c r="S25" i="14"/>
  <c r="AB25" i="14" s="1"/>
  <c r="D57" i="13"/>
  <c r="C57" i="13"/>
  <c r="E57" i="13"/>
  <c r="F57" i="13"/>
  <c r="D55" i="13"/>
  <c r="E55" i="13"/>
  <c r="C55" i="13"/>
  <c r="F55" i="13"/>
  <c r="C57" i="11"/>
  <c r="D57" i="11"/>
  <c r="F57" i="11"/>
  <c r="E57" i="11"/>
  <c r="B59" i="11"/>
  <c r="B59" i="13"/>
  <c r="T26" i="14" l="1"/>
  <c r="AC26" i="14" s="1"/>
  <c r="S26" i="14"/>
  <c r="AB26" i="14" s="1"/>
  <c r="Y26" i="14"/>
  <c r="W26" i="14"/>
  <c r="AF26" i="14" s="1"/>
  <c r="V26" i="14"/>
  <c r="AE26" i="14" s="1"/>
  <c r="U26" i="14"/>
  <c r="AD26" i="14" s="1"/>
  <c r="R26" i="14"/>
  <c r="AA26" i="14" s="1"/>
  <c r="Q26" i="14"/>
  <c r="Z26" i="14" s="1"/>
  <c r="P27" i="14"/>
  <c r="M28" i="14" a="1"/>
  <c r="M28" i="14" s="1"/>
  <c r="D59" i="13"/>
  <c r="C59" i="13"/>
  <c r="F59" i="13"/>
  <c r="E59" i="13"/>
  <c r="F59" i="11"/>
  <c r="E59" i="11"/>
  <c r="C59" i="11"/>
  <c r="D59" i="11"/>
  <c r="B55" i="11"/>
  <c r="V27" i="14" l="1"/>
  <c r="AE27" i="14" s="1"/>
  <c r="U27" i="14"/>
  <c r="AD27" i="14" s="1"/>
  <c r="R27" i="14"/>
  <c r="AA27" i="14" s="1"/>
  <c r="Y27" i="14"/>
  <c r="Q27" i="14"/>
  <c r="Z27" i="14" s="1"/>
  <c r="W27" i="14"/>
  <c r="AF27" i="14" s="1"/>
  <c r="T27" i="14"/>
  <c r="AC27" i="14" s="1"/>
  <c r="S27" i="14"/>
  <c r="AB27" i="14" s="1"/>
  <c r="P28" i="14"/>
  <c r="M29" i="14" a="1"/>
  <c r="M29" i="14" s="1"/>
  <c r="D55" i="11"/>
  <c r="F55" i="11"/>
  <c r="E55" i="11"/>
  <c r="C55" i="11"/>
  <c r="B43" i="11"/>
  <c r="B43" i="13"/>
  <c r="P29" i="14" l="1"/>
  <c r="M30" i="14" a="1"/>
  <c r="M30" i="14" s="1"/>
  <c r="Y28" i="14"/>
  <c r="W28" i="14"/>
  <c r="AF28" i="14" s="1"/>
  <c r="T28" i="14"/>
  <c r="AC28" i="14" s="1"/>
  <c r="S28" i="14"/>
  <c r="AB28" i="14" s="1"/>
  <c r="R28" i="14"/>
  <c r="AA28" i="14" s="1"/>
  <c r="Q28" i="14"/>
  <c r="Z28" i="14" s="1"/>
  <c r="U28" i="14"/>
  <c r="AD28" i="14" s="1"/>
  <c r="V28" i="14"/>
  <c r="AE28" i="14" s="1"/>
  <c r="D43" i="13"/>
  <c r="E43" i="13"/>
  <c r="C43" i="13"/>
  <c r="F43" i="13"/>
  <c r="F43" i="11"/>
  <c r="E43" i="11"/>
  <c r="C43" i="11"/>
  <c r="D43" i="11"/>
  <c r="B21" i="11"/>
  <c r="P30" i="14" l="1"/>
  <c r="M31" i="14" a="1"/>
  <c r="M31" i="14" s="1"/>
  <c r="R29" i="14"/>
  <c r="AA29" i="14" s="1"/>
  <c r="Q29" i="14"/>
  <c r="Z29" i="14" s="1"/>
  <c r="V29" i="14"/>
  <c r="AE29" i="14" s="1"/>
  <c r="U29" i="14"/>
  <c r="AD29" i="14" s="1"/>
  <c r="T29" i="14"/>
  <c r="AC29" i="14" s="1"/>
  <c r="S29" i="14"/>
  <c r="AB29" i="14" s="1"/>
  <c r="W29" i="14"/>
  <c r="AF29" i="14" s="1"/>
  <c r="Y29" i="14"/>
  <c r="E21" i="11"/>
  <c r="F21" i="11"/>
  <c r="D21" i="11"/>
  <c r="C21" i="11"/>
  <c r="B23" i="11"/>
  <c r="T30" i="14" l="1"/>
  <c r="AC30" i="14" s="1"/>
  <c r="S30" i="14"/>
  <c r="AB30" i="14" s="1"/>
  <c r="Y30" i="14"/>
  <c r="W30" i="14"/>
  <c r="AF30" i="14" s="1"/>
  <c r="V30" i="14"/>
  <c r="AE30" i="14" s="1"/>
  <c r="U30" i="14"/>
  <c r="AD30" i="14" s="1"/>
  <c r="R30" i="14"/>
  <c r="AA30" i="14" s="1"/>
  <c r="Q30" i="14"/>
  <c r="Z30" i="14" s="1"/>
  <c r="P31" i="14"/>
  <c r="M32" i="14" a="1"/>
  <c r="M32" i="14" s="1"/>
  <c r="D23" i="11"/>
  <c r="E23" i="11"/>
  <c r="C23" i="11"/>
  <c r="F23" i="11"/>
  <c r="B25" i="11"/>
  <c r="V31" i="14" l="1"/>
  <c r="AE31" i="14" s="1"/>
  <c r="U31" i="14"/>
  <c r="AD31" i="14" s="1"/>
  <c r="R31" i="14"/>
  <c r="AA31" i="14" s="1"/>
  <c r="Y31" i="14"/>
  <c r="W31" i="14"/>
  <c r="AF31" i="14" s="1"/>
  <c r="T31" i="14"/>
  <c r="AC31" i="14" s="1"/>
  <c r="S31" i="14"/>
  <c r="AB31" i="14" s="1"/>
  <c r="Q31" i="14"/>
  <c r="Z31" i="14" s="1"/>
  <c r="P32" i="14"/>
  <c r="M33" i="14" a="1"/>
  <c r="M33" i="14" s="1"/>
  <c r="C25" i="11"/>
  <c r="D25" i="11"/>
  <c r="F25" i="11"/>
  <c r="E25" i="11"/>
  <c r="B41" i="11"/>
  <c r="B37" i="13"/>
  <c r="B39" i="13"/>
  <c r="B41" i="13"/>
  <c r="P33" i="14" l="1"/>
  <c r="M34" i="14" a="1"/>
  <c r="M34" i="14" s="1"/>
  <c r="Y32" i="14"/>
  <c r="W32" i="14"/>
  <c r="AF32" i="14" s="1"/>
  <c r="T32" i="14"/>
  <c r="AC32" i="14" s="1"/>
  <c r="Q32" i="14"/>
  <c r="Z32" i="14" s="1"/>
  <c r="R32" i="14"/>
  <c r="AA32" i="14" s="1"/>
  <c r="V32" i="14"/>
  <c r="AE32" i="14" s="1"/>
  <c r="U32" i="14"/>
  <c r="AD32" i="14" s="1"/>
  <c r="S32" i="14"/>
  <c r="AB32" i="14" s="1"/>
  <c r="D39" i="13"/>
  <c r="C39" i="13"/>
  <c r="F39" i="13"/>
  <c r="E39" i="13"/>
  <c r="D37" i="13"/>
  <c r="E37" i="13"/>
  <c r="C37" i="13"/>
  <c r="F37" i="13"/>
  <c r="D41" i="13"/>
  <c r="C41" i="13"/>
  <c r="E41" i="13"/>
  <c r="F41" i="13"/>
  <c r="C41" i="11"/>
  <c r="D41" i="11"/>
  <c r="F41" i="11"/>
  <c r="E41" i="11"/>
  <c r="B61" i="11"/>
  <c r="B61" i="13"/>
  <c r="V33" i="14" l="1"/>
  <c r="AE33" i="14" s="1"/>
  <c r="S33" i="14"/>
  <c r="AB33" i="14" s="1"/>
  <c r="R33" i="14"/>
  <c r="AA33" i="14" s="1"/>
  <c r="Y33" i="14"/>
  <c r="T33" i="14"/>
  <c r="AC33" i="14" s="1"/>
  <c r="Q33" i="14"/>
  <c r="Z33" i="14" s="1"/>
  <c r="U33" i="14"/>
  <c r="AD33" i="14" s="1"/>
  <c r="W33" i="14"/>
  <c r="AF33" i="14" s="1"/>
  <c r="P34" i="14"/>
  <c r="M35" i="14" a="1"/>
  <c r="M35" i="14" s="1"/>
  <c r="D61" i="13"/>
  <c r="C61" i="13"/>
  <c r="E61" i="13"/>
  <c r="F61" i="13"/>
  <c r="E61" i="11"/>
  <c r="F61" i="11"/>
  <c r="C61" i="11"/>
  <c r="D61" i="11"/>
  <c r="B27" i="11"/>
  <c r="P35" i="14" l="1"/>
  <c r="M36" i="14" a="1"/>
  <c r="M36" i="14" s="1"/>
  <c r="Y34" i="14"/>
  <c r="W34" i="14"/>
  <c r="AF34" i="14" s="1"/>
  <c r="T34" i="14"/>
  <c r="AC34" i="14" s="1"/>
  <c r="V34" i="14"/>
  <c r="AE34" i="14" s="1"/>
  <c r="U34" i="14"/>
  <c r="AD34" i="14" s="1"/>
  <c r="S34" i="14"/>
  <c r="AB34" i="14" s="1"/>
  <c r="R34" i="14"/>
  <c r="AA34" i="14" s="1"/>
  <c r="Q34" i="14"/>
  <c r="Z34" i="14" s="1"/>
  <c r="F27" i="11"/>
  <c r="C27" i="11"/>
  <c r="E27" i="11"/>
  <c r="D27" i="11"/>
  <c r="B39" i="11"/>
  <c r="P36" i="14" l="1"/>
  <c r="M37" i="14" a="1"/>
  <c r="M37" i="14" s="1"/>
  <c r="R35" i="14"/>
  <c r="AA35" i="14" s="1"/>
  <c r="T35" i="14"/>
  <c r="AC35" i="14" s="1"/>
  <c r="S35" i="14"/>
  <c r="AB35" i="14" s="1"/>
  <c r="Y35" i="14"/>
  <c r="W35" i="14"/>
  <c r="AF35" i="14" s="1"/>
  <c r="V35" i="14"/>
  <c r="AE35" i="14" s="1"/>
  <c r="U35" i="14"/>
  <c r="AD35" i="14" s="1"/>
  <c r="Q35" i="14"/>
  <c r="Z35" i="14" s="1"/>
  <c r="D39" i="11"/>
  <c r="F39" i="11"/>
  <c r="E39" i="11"/>
  <c r="C39" i="11"/>
  <c r="B37" i="11"/>
  <c r="P37" i="14" l="1"/>
  <c r="M38" i="14" a="1"/>
  <c r="M38" i="14" s="1"/>
  <c r="T36" i="14"/>
  <c r="AC36" i="14" s="1"/>
  <c r="Y36" i="14"/>
  <c r="U36" i="14"/>
  <c r="AD36" i="14" s="1"/>
  <c r="R36" i="14"/>
  <c r="AA36" i="14" s="1"/>
  <c r="Q36" i="14"/>
  <c r="Z36" i="14" s="1"/>
  <c r="W36" i="14"/>
  <c r="AF36" i="14" s="1"/>
  <c r="V36" i="14"/>
  <c r="AE36" i="14" s="1"/>
  <c r="S36" i="14"/>
  <c r="AB36" i="14" s="1"/>
  <c r="E37" i="11"/>
  <c r="F37" i="11"/>
  <c r="C37" i="11"/>
  <c r="D37" i="11"/>
  <c r="B35" i="11"/>
  <c r="B35" i="13"/>
  <c r="B33" i="11"/>
  <c r="B29" i="13"/>
  <c r="B31" i="13"/>
  <c r="B33" i="13"/>
  <c r="P38" i="14" l="1"/>
  <c r="M39" i="14" a="1"/>
  <c r="M39" i="14" s="1"/>
  <c r="V37" i="14"/>
  <c r="AE37" i="14" s="1"/>
  <c r="U37" i="14"/>
  <c r="AD37" i="14" s="1"/>
  <c r="T37" i="14"/>
  <c r="AC37" i="14" s="1"/>
  <c r="Q37" i="14"/>
  <c r="Z37" i="14" s="1"/>
  <c r="Y37" i="14"/>
  <c r="W37" i="14"/>
  <c r="AF37" i="14" s="1"/>
  <c r="S37" i="14"/>
  <c r="AB37" i="14" s="1"/>
  <c r="R37" i="14"/>
  <c r="AA37" i="14" s="1"/>
  <c r="D29" i="13"/>
  <c r="C29" i="13"/>
  <c r="E29" i="13"/>
  <c r="F29" i="13"/>
  <c r="D33" i="13"/>
  <c r="C33" i="13"/>
  <c r="F33" i="13"/>
  <c r="E33" i="13"/>
  <c r="D35" i="13"/>
  <c r="C35" i="13"/>
  <c r="E35" i="13"/>
  <c r="F35" i="13"/>
  <c r="D31" i="13"/>
  <c r="E31" i="13"/>
  <c r="C31" i="13"/>
  <c r="F31" i="13"/>
  <c r="C33" i="11"/>
  <c r="D33" i="11"/>
  <c r="F33" i="11"/>
  <c r="E33" i="11"/>
  <c r="F35" i="11"/>
  <c r="C35" i="11"/>
  <c r="E35" i="11"/>
  <c r="D35" i="11"/>
  <c r="B31" i="11"/>
  <c r="P39" i="14" l="1"/>
  <c r="M40" i="14" a="1"/>
  <c r="M40" i="14" s="1"/>
  <c r="Y38" i="14"/>
  <c r="V38" i="14"/>
  <c r="AE38" i="14" s="1"/>
  <c r="R38" i="14"/>
  <c r="AA38" i="14" s="1"/>
  <c r="Q38" i="14"/>
  <c r="Z38" i="14" s="1"/>
  <c r="W38" i="14"/>
  <c r="AF38" i="14" s="1"/>
  <c r="U38" i="14"/>
  <c r="AD38" i="14" s="1"/>
  <c r="T38" i="14"/>
  <c r="S38" i="14"/>
  <c r="AB38" i="14" s="1"/>
  <c r="D31" i="11"/>
  <c r="F31" i="11"/>
  <c r="E31" i="11"/>
  <c r="C31" i="11"/>
  <c r="B29" i="11"/>
  <c r="P40" i="14" l="1"/>
  <c r="M41" i="14" a="1"/>
  <c r="M41" i="14" s="1"/>
  <c r="AC38" i="14"/>
  <c r="X39" i="14"/>
  <c r="R39" i="14"/>
  <c r="AA39" i="14" s="1"/>
  <c r="Y39" i="14"/>
  <c r="U39" i="14"/>
  <c r="AD39" i="14" s="1"/>
  <c r="W39" i="14"/>
  <c r="AF39" i="14" s="1"/>
  <c r="V39" i="14"/>
  <c r="AE39" i="14" s="1"/>
  <c r="T39" i="14"/>
  <c r="AC39" i="14" s="1"/>
  <c r="S39" i="14"/>
  <c r="AB39" i="14" s="1"/>
  <c r="Q39" i="14"/>
  <c r="Z39" i="14" s="1"/>
  <c r="E29" i="11"/>
  <c r="F29" i="11"/>
  <c r="C29" i="11"/>
  <c r="D29" i="11"/>
  <c r="P41" i="14" l="1"/>
  <c r="M42" i="14" a="1"/>
  <c r="M42" i="14" s="1"/>
  <c r="S40" i="14"/>
  <c r="AB40" i="14" s="1"/>
  <c r="Q40" i="14"/>
  <c r="Z40" i="14" s="1"/>
  <c r="W40" i="14"/>
  <c r="AF40" i="14" s="1"/>
  <c r="V40" i="14"/>
  <c r="AE40" i="14" s="1"/>
  <c r="R40" i="14"/>
  <c r="AA40" i="14" s="1"/>
  <c r="Y40" i="14"/>
  <c r="U40" i="14"/>
  <c r="AD40" i="14" s="1"/>
  <c r="T40" i="14"/>
  <c r="AC40" i="14" s="1"/>
  <c r="L35" i="9"/>
  <c r="L33" i="9"/>
  <c r="L59" i="8"/>
  <c r="L57" i="8"/>
  <c r="L55" i="8"/>
  <c r="L53" i="8"/>
  <c r="L51" i="8"/>
  <c r="L49" i="8"/>
  <c r="L47" i="8"/>
  <c r="L45" i="8"/>
  <c r="AH118" i="1"/>
  <c r="AH92" i="1"/>
  <c r="B63" i="13"/>
  <c r="B65" i="13"/>
  <c r="B67" i="13"/>
  <c r="B63" i="11"/>
  <c r="B65" i="11"/>
  <c r="B67" i="11"/>
  <c r="AH26" i="1"/>
  <c r="AH32" i="1"/>
  <c r="AH36" i="1"/>
  <c r="AH46" i="1"/>
  <c r="AH52" i="1"/>
  <c r="AH68" i="1"/>
  <c r="P42" i="14" l="1"/>
  <c r="M43" i="14" a="1"/>
  <c r="M43" i="14" s="1"/>
  <c r="U41" i="14"/>
  <c r="AD41" i="14" s="1"/>
  <c r="S41" i="14"/>
  <c r="AB41" i="14" s="1"/>
  <c r="W41" i="14"/>
  <c r="AF41" i="14" s="1"/>
  <c r="V41" i="14"/>
  <c r="AE41" i="14" s="1"/>
  <c r="T41" i="14"/>
  <c r="AC41" i="14" s="1"/>
  <c r="Y41" i="14"/>
  <c r="R41" i="14"/>
  <c r="AA41" i="14" s="1"/>
  <c r="Q41" i="14"/>
  <c r="Z41" i="14" s="1"/>
  <c r="AH20" i="1"/>
  <c r="AH16" i="1"/>
  <c r="AI62" i="1"/>
  <c r="AH62" i="1"/>
  <c r="AH28" i="1"/>
  <c r="AH44" i="1"/>
  <c r="BU12" i="1"/>
  <c r="BX12" i="1" s="1"/>
  <c r="BY12" i="1" s="1"/>
  <c r="AH12" i="1"/>
  <c r="BU72" i="1"/>
  <c r="BX72" i="1" s="1"/>
  <c r="BY72" i="1" s="1"/>
  <c r="BY73" i="1" s="1"/>
  <c r="BZ73" i="1" s="1"/>
  <c r="AH72" i="1"/>
  <c r="BU78" i="1"/>
  <c r="BX78" i="1" s="1"/>
  <c r="AH78" i="1"/>
  <c r="BV74" i="1"/>
  <c r="BW74" i="1" s="1"/>
  <c r="CB74" i="1" s="1"/>
  <c r="CB75" i="1" s="1"/>
  <c r="CC75" i="1" s="1"/>
  <c r="AH74" i="1"/>
  <c r="BU90" i="1"/>
  <c r="BX90" i="1" s="1"/>
  <c r="AH90" i="1"/>
  <c r="BU86" i="1"/>
  <c r="BX86" i="1" s="1"/>
  <c r="BY86" i="1" s="1"/>
  <c r="BZ86" i="1" s="1"/>
  <c r="AH86" i="1"/>
  <c r="BU82" i="1"/>
  <c r="BX82" i="1" s="1"/>
  <c r="BY82" i="1" s="1"/>
  <c r="AH82" i="1"/>
  <c r="AI114" i="1"/>
  <c r="AH114" i="1"/>
  <c r="BU110" i="1"/>
  <c r="BX110" i="1" s="1"/>
  <c r="BY110" i="1" s="1"/>
  <c r="BY111" i="1" s="1"/>
  <c r="BZ111" i="1" s="1"/>
  <c r="AH110" i="1"/>
  <c r="AH106" i="1"/>
  <c r="AI102" i="1"/>
  <c r="AH102" i="1"/>
  <c r="AI98" i="1"/>
  <c r="AH98" i="1"/>
  <c r="BU94" i="1"/>
  <c r="BX94" i="1" s="1"/>
  <c r="BY94" i="1" s="1"/>
  <c r="BZ94" i="1" s="1"/>
  <c r="AH94" i="1"/>
  <c r="BU70" i="1"/>
  <c r="BX70" i="1" s="1"/>
  <c r="BY70" i="1" s="1"/>
  <c r="BZ70" i="1" s="1"/>
  <c r="AH70" i="1"/>
  <c r="BU54" i="1"/>
  <c r="BX54" i="1" s="1"/>
  <c r="BY54" i="1" s="1"/>
  <c r="AH54" i="1"/>
  <c r="AH38" i="1"/>
  <c r="AH6" i="1"/>
  <c r="AH60" i="1"/>
  <c r="AH66" i="1"/>
  <c r="BU58" i="1"/>
  <c r="BX58" i="1" s="1"/>
  <c r="BY58" i="1" s="1"/>
  <c r="AH58" i="1"/>
  <c r="AH50" i="1"/>
  <c r="BU42" i="1"/>
  <c r="BX42" i="1" s="1"/>
  <c r="AH42" i="1"/>
  <c r="BU34" i="1"/>
  <c r="BX34" i="1" s="1"/>
  <c r="BY34" i="1" s="1"/>
  <c r="BY35" i="1" s="1"/>
  <c r="BZ35" i="1" s="1"/>
  <c r="AH34" i="1"/>
  <c r="AH24" i="1"/>
  <c r="AH100" i="1"/>
  <c r="BU18" i="1"/>
  <c r="BX18" i="1" s="1"/>
  <c r="BY18" i="1" s="1"/>
  <c r="BY19" i="1" s="1"/>
  <c r="BZ19" i="1" s="1"/>
  <c r="AH18" i="1"/>
  <c r="BU30" i="1"/>
  <c r="BX30" i="1" s="1"/>
  <c r="BY30" i="1" s="1"/>
  <c r="BY31" i="1" s="1"/>
  <c r="BZ31" i="1" s="1"/>
  <c r="AH30" i="1"/>
  <c r="BU8" i="1"/>
  <c r="BX8" i="1" s="1"/>
  <c r="BY8" i="1" s="1"/>
  <c r="BY9" i="1" s="1"/>
  <c r="BZ9" i="1" s="1"/>
  <c r="AH8" i="1"/>
  <c r="BU64" i="1"/>
  <c r="BX64" i="1" s="1"/>
  <c r="AH64" i="1"/>
  <c r="AH56" i="1"/>
  <c r="AH48" i="1"/>
  <c r="AH40" i="1"/>
  <c r="AI22" i="1"/>
  <c r="AH22" i="1"/>
  <c r="AH14" i="1"/>
  <c r="BU80" i="1"/>
  <c r="BX80" i="1" s="1"/>
  <c r="BY80" i="1" s="1"/>
  <c r="BZ80" i="1" s="1"/>
  <c r="AH80" i="1"/>
  <c r="BU76" i="1"/>
  <c r="BX76" i="1" s="1"/>
  <c r="AH76" i="1"/>
  <c r="AI88" i="1"/>
  <c r="AH88" i="1"/>
  <c r="AJ84" i="1"/>
  <c r="AH84" i="1"/>
  <c r="AH116" i="1"/>
  <c r="AI112" i="1"/>
  <c r="AH112" i="1"/>
  <c r="BU108" i="1"/>
  <c r="BX108" i="1" s="1"/>
  <c r="AH108" i="1"/>
  <c r="BU104" i="1"/>
  <c r="BX104" i="1" s="1"/>
  <c r="AH104" i="1"/>
  <c r="AH96" i="1"/>
  <c r="N55" i="8"/>
  <c r="M55" i="8"/>
  <c r="O55" i="8"/>
  <c r="P55" i="8"/>
  <c r="N49" i="8"/>
  <c r="M49" i="8"/>
  <c r="P49" i="8"/>
  <c r="O49" i="8"/>
  <c r="N51" i="8"/>
  <c r="M51" i="8"/>
  <c r="P51" i="8"/>
  <c r="O51" i="8"/>
  <c r="N59" i="8"/>
  <c r="O59" i="8"/>
  <c r="M59" i="8"/>
  <c r="P59" i="8"/>
  <c r="N35" i="9"/>
  <c r="O35" i="9"/>
  <c r="M35" i="9"/>
  <c r="P35" i="9"/>
  <c r="N47" i="8"/>
  <c r="M47" i="8"/>
  <c r="P47" i="8"/>
  <c r="O47" i="8"/>
  <c r="N57" i="8"/>
  <c r="M57" i="8"/>
  <c r="P57" i="8"/>
  <c r="O57" i="8"/>
  <c r="N33" i="9"/>
  <c r="M33" i="9"/>
  <c r="P33" i="9"/>
  <c r="O33" i="9"/>
  <c r="N45" i="8"/>
  <c r="M45" i="8"/>
  <c r="P45" i="8"/>
  <c r="O45" i="8"/>
  <c r="N53" i="8"/>
  <c r="O53" i="8"/>
  <c r="M53" i="8"/>
  <c r="P53" i="8"/>
  <c r="D63" i="13"/>
  <c r="C63" i="13"/>
  <c r="E63" i="13"/>
  <c r="F63" i="13"/>
  <c r="D67" i="13"/>
  <c r="C67" i="13"/>
  <c r="E67" i="13"/>
  <c r="F67" i="13"/>
  <c r="D65" i="13"/>
  <c r="C65" i="13"/>
  <c r="E65" i="13"/>
  <c r="F65" i="13"/>
  <c r="C65" i="11"/>
  <c r="D65" i="11"/>
  <c r="E65" i="11"/>
  <c r="F65" i="11"/>
  <c r="D63" i="11"/>
  <c r="F63" i="11"/>
  <c r="C63" i="11"/>
  <c r="E63" i="11"/>
  <c r="F67" i="11"/>
  <c r="C67" i="11"/>
  <c r="D67" i="11"/>
  <c r="E67" i="11"/>
  <c r="BU100" i="1"/>
  <c r="BX100" i="1" s="1"/>
  <c r="BY100" i="1" s="1"/>
  <c r="BU102" i="1"/>
  <c r="BX102" i="1" s="1"/>
  <c r="BU74" i="1"/>
  <c r="BX74" i="1" s="1"/>
  <c r="BY74" i="1" s="1"/>
  <c r="BY75" i="1" s="1"/>
  <c r="BZ75" i="1" s="1"/>
  <c r="BU60" i="1"/>
  <c r="BX60" i="1" s="1"/>
  <c r="BY60" i="1" s="1"/>
  <c r="BV96" i="1"/>
  <c r="BW96" i="1" s="1"/>
  <c r="CB96" i="1" s="1"/>
  <c r="CB97" i="1" s="1"/>
  <c r="CC97" i="1" s="1"/>
  <c r="BU84" i="1"/>
  <c r="BX84" i="1" s="1"/>
  <c r="BU116" i="1"/>
  <c r="BX116" i="1" s="1"/>
  <c r="BY116" i="1" s="1"/>
  <c r="BZ116" i="1" s="1"/>
  <c r="BU38" i="1"/>
  <c r="BX38" i="1" s="1"/>
  <c r="BY38" i="1" s="1"/>
  <c r="BU28" i="1"/>
  <c r="BX28" i="1" s="1"/>
  <c r="BY28" i="1" s="1"/>
  <c r="BU14" i="1"/>
  <c r="BX14" i="1" s="1"/>
  <c r="BU88" i="1"/>
  <c r="BX88" i="1" s="1"/>
  <c r="BY88" i="1" s="1"/>
  <c r="BU66" i="1"/>
  <c r="BX66" i="1" s="1"/>
  <c r="BU48" i="1"/>
  <c r="BX48" i="1" s="1"/>
  <c r="BY48" i="1" s="1"/>
  <c r="BY49" i="1" s="1"/>
  <c r="BZ49" i="1" s="1"/>
  <c r="BU44" i="1"/>
  <c r="BX44" i="1" s="1"/>
  <c r="BY44" i="1" s="1"/>
  <c r="BY45" i="1" s="1"/>
  <c r="BZ45" i="1" s="1"/>
  <c r="BV24" i="1"/>
  <c r="BW24" i="1" s="1"/>
  <c r="CB24" i="1" s="1"/>
  <c r="CC24" i="1" s="1"/>
  <c r="BU22" i="1"/>
  <c r="BX22" i="1" s="1"/>
  <c r="BU6" i="1"/>
  <c r="BX6" i="1" s="1"/>
  <c r="BV102" i="1"/>
  <c r="BW102" i="1" s="1"/>
  <c r="CB102" i="1" s="1"/>
  <c r="BY83" i="1"/>
  <c r="BZ83" i="1" s="1"/>
  <c r="BZ82" i="1"/>
  <c r="BU106" i="1"/>
  <c r="BX106" i="1" s="1"/>
  <c r="BY106" i="1" s="1"/>
  <c r="BU114" i="1"/>
  <c r="BX114" i="1" s="1"/>
  <c r="BY114" i="1" s="1"/>
  <c r="BY115" i="1" s="1"/>
  <c r="BZ115" i="1" s="1"/>
  <c r="BU98" i="1"/>
  <c r="BX98" i="1" s="1"/>
  <c r="BY98" i="1" s="1"/>
  <c r="AI82" i="1"/>
  <c r="BU50" i="1"/>
  <c r="AI72" i="1"/>
  <c r="BU96" i="1"/>
  <c r="BX96" i="1" s="1"/>
  <c r="BY96" i="1" s="1"/>
  <c r="BV106" i="1"/>
  <c r="BU62" i="1"/>
  <c r="BX62" i="1" s="1"/>
  <c r="AI8" i="1"/>
  <c r="AI64" i="1"/>
  <c r="AI80" i="1"/>
  <c r="BU56" i="1"/>
  <c r="BX56" i="1" s="1"/>
  <c r="BY56" i="1" s="1"/>
  <c r="BZ56" i="1" s="1"/>
  <c r="BU112" i="1"/>
  <c r="BX112" i="1" s="1"/>
  <c r="BU40" i="1"/>
  <c r="AI104" i="1"/>
  <c r="AI70" i="1"/>
  <c r="BU52" i="1"/>
  <c r="BX52" i="1" s="1"/>
  <c r="BY52" i="1" s="1"/>
  <c r="BU36" i="1"/>
  <c r="BX36" i="1" s="1"/>
  <c r="BY36" i="1" s="1"/>
  <c r="BZ36" i="1" s="1"/>
  <c r="BU26" i="1"/>
  <c r="BX26" i="1" s="1"/>
  <c r="BY26" i="1" s="1"/>
  <c r="AI20" i="1"/>
  <c r="BU20" i="1"/>
  <c r="BX20" i="1" s="1"/>
  <c r="BY20" i="1" s="1"/>
  <c r="AI118" i="1"/>
  <c r="BU118" i="1"/>
  <c r="BX118" i="1" s="1"/>
  <c r="BY118" i="1" s="1"/>
  <c r="BV62" i="1"/>
  <c r="BU46" i="1"/>
  <c r="BX46" i="1" s="1"/>
  <c r="BY46" i="1" s="1"/>
  <c r="BV40" i="1"/>
  <c r="BW40" i="1" s="1"/>
  <c r="CB40" i="1" s="1"/>
  <c r="AI92" i="1"/>
  <c r="BU92" i="1"/>
  <c r="BX92" i="1" s="1"/>
  <c r="BY92" i="1" s="1"/>
  <c r="BV28" i="1"/>
  <c r="BW28" i="1" s="1"/>
  <c r="CB28" i="1" s="1"/>
  <c r="AJ28" i="1"/>
  <c r="BU68" i="1"/>
  <c r="BX68" i="1" s="1"/>
  <c r="BY68" i="1" s="1"/>
  <c r="AI68" i="1"/>
  <c r="BV56" i="1"/>
  <c r="AJ56" i="1"/>
  <c r="BU16" i="1"/>
  <c r="AI16" i="1"/>
  <c r="BV22" i="1"/>
  <c r="BY78" i="1"/>
  <c r="BU32" i="1"/>
  <c r="BU24" i="1"/>
  <c r="P43" i="14" l="1"/>
  <c r="M44" i="14" a="1"/>
  <c r="M44" i="14" s="1"/>
  <c r="W42" i="14"/>
  <c r="AF42" i="14" s="1"/>
  <c r="U42" i="14"/>
  <c r="AD42" i="14" s="1"/>
  <c r="Y42" i="14"/>
  <c r="V42" i="14"/>
  <c r="AE42" i="14" s="1"/>
  <c r="T42" i="14"/>
  <c r="AC42" i="14" s="1"/>
  <c r="S42" i="14"/>
  <c r="AB42" i="14" s="1"/>
  <c r="R42" i="14"/>
  <c r="AA42" i="14" s="1"/>
  <c r="Q42" i="14"/>
  <c r="Z42" i="14" s="1"/>
  <c r="BY64" i="1"/>
  <c r="BV114" i="1"/>
  <c r="BW114" i="1" s="1"/>
  <c r="CB114" i="1" s="1"/>
  <c r="AJ98" i="1"/>
  <c r="BY87" i="1"/>
  <c r="BZ87" i="1" s="1"/>
  <c r="BY71" i="1"/>
  <c r="BZ71" i="1" s="1"/>
  <c r="BZ72" i="1"/>
  <c r="BY95" i="1"/>
  <c r="BZ95" i="1" s="1"/>
  <c r="BY90" i="1"/>
  <c r="BZ90" i="1" s="1"/>
  <c r="BV98" i="1"/>
  <c r="BW98" i="1" s="1"/>
  <c r="CB98" i="1" s="1"/>
  <c r="BZ110" i="1"/>
  <c r="AJ114" i="1"/>
  <c r="BV112" i="1"/>
  <c r="BW112" i="1" s="1"/>
  <c r="CB112" i="1" s="1"/>
  <c r="BY76" i="1"/>
  <c r="BZ76" i="1" s="1"/>
  <c r="BY104" i="1"/>
  <c r="BY105" i="1" s="1"/>
  <c r="BZ105" i="1" s="1"/>
  <c r="BY81" i="1"/>
  <c r="BZ81" i="1" s="1"/>
  <c r="BZ8" i="1"/>
  <c r="BY108" i="1"/>
  <c r="BY109" i="1" s="1"/>
  <c r="BZ109" i="1" s="1"/>
  <c r="BV88" i="1"/>
  <c r="BW88" i="1" s="1"/>
  <c r="BZ34" i="1"/>
  <c r="AJ88" i="1"/>
  <c r="AJ62" i="1"/>
  <c r="AI34" i="1"/>
  <c r="BV38" i="1"/>
  <c r="BW38" i="1" s="1"/>
  <c r="CB38" i="1" s="1"/>
  <c r="CC38" i="1" s="1"/>
  <c r="AI32" i="1"/>
  <c r="AI42" i="1"/>
  <c r="AI40" i="1"/>
  <c r="AI36" i="1"/>
  <c r="AI44" i="1"/>
  <c r="AI30" i="1"/>
  <c r="AI28" i="1"/>
  <c r="AI26" i="1"/>
  <c r="AI60" i="1"/>
  <c r="BV60" i="1"/>
  <c r="BW60" i="1" s="1"/>
  <c r="CB60" i="1" s="1"/>
  <c r="CC60" i="1" s="1"/>
  <c r="AJ60" i="1"/>
  <c r="AI56" i="1"/>
  <c r="AI54" i="1"/>
  <c r="AI52" i="1"/>
  <c r="AJ48" i="1"/>
  <c r="AI46" i="1"/>
  <c r="BV44" i="1"/>
  <c r="BW44" i="1" s="1"/>
  <c r="CB44" i="1" s="1"/>
  <c r="CB45" i="1" s="1"/>
  <c r="CC45" i="1" s="1"/>
  <c r="AJ44" i="1"/>
  <c r="BY42" i="1"/>
  <c r="BY43" i="1" s="1"/>
  <c r="BZ43" i="1" s="1"/>
  <c r="BZ30" i="1"/>
  <c r="BZ18" i="1"/>
  <c r="AJ22" i="1"/>
  <c r="AJ12" i="1"/>
  <c r="AI12" i="1"/>
  <c r="CF108" i="1"/>
  <c r="AI108" i="1"/>
  <c r="BV76" i="1"/>
  <c r="BW76" i="1" s="1"/>
  <c r="AI76" i="1"/>
  <c r="CF14" i="1"/>
  <c r="CG14" i="1" s="1"/>
  <c r="CH14" i="1" s="1"/>
  <c r="AJ14" i="1"/>
  <c r="AI58" i="1"/>
  <c r="BV84" i="1"/>
  <c r="BW84" i="1" s="1"/>
  <c r="CB84" i="1" s="1"/>
  <c r="CC84" i="1" s="1"/>
  <c r="AI84" i="1"/>
  <c r="BV50" i="1"/>
  <c r="AI50" i="1"/>
  <c r="BV66" i="1"/>
  <c r="BW66" i="1" s="1"/>
  <c r="CB66" i="1" s="1"/>
  <c r="CC66" i="1" s="1"/>
  <c r="AI66" i="1"/>
  <c r="AK50" i="1"/>
  <c r="AJ50" i="1"/>
  <c r="CF102" i="1"/>
  <c r="CG102" i="1" s="1"/>
  <c r="CH102" i="1" s="1"/>
  <c r="CH103" i="1" s="1"/>
  <c r="CI103" i="1" s="1"/>
  <c r="AJ102" i="1"/>
  <c r="BV18" i="1"/>
  <c r="BW18" i="1" s="1"/>
  <c r="CB18" i="1" s="1"/>
  <c r="AI18" i="1"/>
  <c r="BV48" i="1"/>
  <c r="BW48" i="1" s="1"/>
  <c r="CB48" i="1" s="1"/>
  <c r="CC48" i="1" s="1"/>
  <c r="AI48" i="1"/>
  <c r="AI38" i="1"/>
  <c r="AI106" i="1"/>
  <c r="AI74" i="1"/>
  <c r="CF40" i="1"/>
  <c r="CG40" i="1" s="1"/>
  <c r="CH40" i="1" s="1"/>
  <c r="CH41" i="1" s="1"/>
  <c r="CI41" i="1" s="1"/>
  <c r="AJ40" i="1"/>
  <c r="CF100" i="1"/>
  <c r="CG100" i="1" s="1"/>
  <c r="CH100" i="1" s="1"/>
  <c r="AJ100" i="1"/>
  <c r="BV90" i="1"/>
  <c r="BW90" i="1" s="1"/>
  <c r="CB90" i="1" s="1"/>
  <c r="CB91" i="1" s="1"/>
  <c r="CC91" i="1" s="1"/>
  <c r="AI90" i="1"/>
  <c r="CL6" i="1"/>
  <c r="CM6" i="1" s="1"/>
  <c r="CN6" i="1" s="1"/>
  <c r="AJ6" i="1"/>
  <c r="AK66" i="1"/>
  <c r="AJ66" i="1"/>
  <c r="CF116" i="1"/>
  <c r="CG116" i="1" s="1"/>
  <c r="CH116" i="1" s="1"/>
  <c r="CH117" i="1" s="1"/>
  <c r="CI117" i="1" s="1"/>
  <c r="AJ116" i="1"/>
  <c r="AI110" i="1"/>
  <c r="AI96" i="1"/>
  <c r="BV116" i="1"/>
  <c r="BW116" i="1" s="1"/>
  <c r="CB116" i="1" s="1"/>
  <c r="AI116" i="1"/>
  <c r="BV14" i="1"/>
  <c r="BW14" i="1" s="1"/>
  <c r="CB14" i="1" s="1"/>
  <c r="AI14" i="1"/>
  <c r="AI24" i="1"/>
  <c r="AJ112" i="1"/>
  <c r="BV86" i="1"/>
  <c r="BW86" i="1" s="1"/>
  <c r="CB86" i="1" s="1"/>
  <c r="CB87" i="1" s="1"/>
  <c r="CC87" i="1" s="1"/>
  <c r="AI86" i="1"/>
  <c r="BV78" i="1"/>
  <c r="BW78" i="1" s="1"/>
  <c r="AI78" i="1"/>
  <c r="BV94" i="1"/>
  <c r="BW94" i="1" s="1"/>
  <c r="CB94" i="1" s="1"/>
  <c r="CB95" i="1" s="1"/>
  <c r="CC95" i="1" s="1"/>
  <c r="AI94" i="1"/>
  <c r="BV100" i="1"/>
  <c r="BW100" i="1" s="1"/>
  <c r="CB100" i="1" s="1"/>
  <c r="CC100" i="1" s="1"/>
  <c r="AI100" i="1"/>
  <c r="BV6" i="1"/>
  <c r="BW6" i="1" s="1"/>
  <c r="CB6" i="1" s="1"/>
  <c r="CC6" i="1" s="1"/>
  <c r="AI6" i="1"/>
  <c r="BY102" i="1"/>
  <c r="BY103" i="1" s="1"/>
  <c r="BZ103" i="1" s="1"/>
  <c r="CC96" i="1"/>
  <c r="CF50" i="1"/>
  <c r="CG50" i="1" s="1"/>
  <c r="CH50" i="1" s="1"/>
  <c r="BZ48" i="1"/>
  <c r="BZ74" i="1"/>
  <c r="BV110" i="1"/>
  <c r="BW110" i="1" s="1"/>
  <c r="CB110" i="1" s="1"/>
  <c r="BV12" i="1"/>
  <c r="BW12" i="1" s="1"/>
  <c r="CB12" i="1" s="1"/>
  <c r="BV58" i="1"/>
  <c r="BW58" i="1" s="1"/>
  <c r="CF66" i="1"/>
  <c r="CG66" i="1" s="1"/>
  <c r="CH66" i="1" s="1"/>
  <c r="BY62" i="1"/>
  <c r="BZ62" i="1" s="1"/>
  <c r="BY112" i="1"/>
  <c r="BZ112" i="1" s="1"/>
  <c r="BV108" i="1"/>
  <c r="BW108" i="1" s="1"/>
  <c r="CB108" i="1" s="1"/>
  <c r="CC108" i="1" s="1"/>
  <c r="BY84" i="1"/>
  <c r="BY85" i="1" s="1"/>
  <c r="BZ85" i="1" s="1"/>
  <c r="BY22" i="1"/>
  <c r="BZ22" i="1" s="1"/>
  <c r="BY117" i="1"/>
  <c r="BZ117" i="1" s="1"/>
  <c r="BY66" i="1"/>
  <c r="BZ66" i="1" s="1"/>
  <c r="CC74" i="1"/>
  <c r="BY57" i="1"/>
  <c r="BZ57" i="1" s="1"/>
  <c r="BY6" i="1"/>
  <c r="BZ6" i="1" s="1"/>
  <c r="BZ44" i="1"/>
  <c r="BY14" i="1"/>
  <c r="BZ14" i="1" s="1"/>
  <c r="BV54" i="1"/>
  <c r="BW54" i="1" s="1"/>
  <c r="CB54" i="1" s="1"/>
  <c r="AJ54" i="1"/>
  <c r="CF6" i="1"/>
  <c r="CG6" i="1" s="1"/>
  <c r="CH6" i="1" s="1"/>
  <c r="CI6" i="1" s="1"/>
  <c r="CB25" i="1"/>
  <c r="CC25" i="1" s="1"/>
  <c r="AJ42" i="1"/>
  <c r="BV42" i="1"/>
  <c r="AJ34" i="1"/>
  <c r="BV34" i="1"/>
  <c r="BW34" i="1" s="1"/>
  <c r="CB34" i="1" s="1"/>
  <c r="CC34" i="1" s="1"/>
  <c r="AJ82" i="1"/>
  <c r="BV82" i="1"/>
  <c r="BX50" i="1"/>
  <c r="BY50" i="1" s="1"/>
  <c r="BZ114" i="1"/>
  <c r="BZ106" i="1"/>
  <c r="BY107" i="1"/>
  <c r="BZ107" i="1" s="1"/>
  <c r="AK98" i="1"/>
  <c r="CF98" i="1"/>
  <c r="BX40" i="1"/>
  <c r="BY40" i="1" s="1"/>
  <c r="BY37" i="1"/>
  <c r="BZ37" i="1" s="1"/>
  <c r="BV70" i="1"/>
  <c r="AJ70" i="1"/>
  <c r="BV80" i="1"/>
  <c r="BW80" i="1" s="1"/>
  <c r="CB80" i="1" s="1"/>
  <c r="AJ80" i="1"/>
  <c r="BV8" i="1"/>
  <c r="AJ8" i="1"/>
  <c r="BW106" i="1"/>
  <c r="CB106" i="1" s="1"/>
  <c r="BV64" i="1"/>
  <c r="BW64" i="1" s="1"/>
  <c r="CB64" i="1" s="1"/>
  <c r="AJ64" i="1"/>
  <c r="AK84" i="1"/>
  <c r="CF84" i="1"/>
  <c r="BV72" i="1"/>
  <c r="BW72" i="1" s="1"/>
  <c r="CB72" i="1" s="1"/>
  <c r="AJ72" i="1"/>
  <c r="BY13" i="1"/>
  <c r="BZ13" i="1" s="1"/>
  <c r="BZ12" i="1"/>
  <c r="AJ104" i="1"/>
  <c r="BV104" i="1"/>
  <c r="BW104" i="1" s="1"/>
  <c r="CB104" i="1" s="1"/>
  <c r="CB105" i="1" s="1"/>
  <c r="CC105" i="1" s="1"/>
  <c r="AJ30" i="1"/>
  <c r="BV30" i="1"/>
  <c r="BZ58" i="1"/>
  <c r="BY59" i="1"/>
  <c r="BZ59" i="1" s="1"/>
  <c r="BV68" i="1"/>
  <c r="AJ68" i="1"/>
  <c r="BV46" i="1"/>
  <c r="AJ46" i="1"/>
  <c r="AK62" i="1"/>
  <c r="CF62" i="1"/>
  <c r="BV20" i="1"/>
  <c r="BW20" i="1" s="1"/>
  <c r="CB20" i="1" s="1"/>
  <c r="AJ20" i="1"/>
  <c r="BY69" i="1"/>
  <c r="BZ69" i="1" s="1"/>
  <c r="BZ68" i="1"/>
  <c r="BZ64" i="1"/>
  <c r="BY65" i="1"/>
  <c r="BZ65" i="1" s="1"/>
  <c r="BW62" i="1"/>
  <c r="CB62" i="1" s="1"/>
  <c r="AJ118" i="1"/>
  <c r="BV118" i="1"/>
  <c r="BV26" i="1"/>
  <c r="BW26" i="1" s="1"/>
  <c r="CB26" i="1" s="1"/>
  <c r="CC26" i="1" s="1"/>
  <c r="AJ26" i="1"/>
  <c r="BV52" i="1"/>
  <c r="AJ52" i="1"/>
  <c r="AK28" i="1"/>
  <c r="CF28" i="1"/>
  <c r="AJ92" i="1"/>
  <c r="BV92" i="1"/>
  <c r="CC40" i="1"/>
  <c r="CB41" i="1"/>
  <c r="CC41" i="1" s="1"/>
  <c r="BY27" i="1"/>
  <c r="BZ27" i="1" s="1"/>
  <c r="BZ26" i="1"/>
  <c r="AJ36" i="1"/>
  <c r="BV36" i="1"/>
  <c r="BW36" i="1" s="1"/>
  <c r="CB36" i="1" s="1"/>
  <c r="CB37" i="1" s="1"/>
  <c r="CC37" i="1" s="1"/>
  <c r="BY61" i="1"/>
  <c r="BZ61" i="1" s="1"/>
  <c r="BZ60" i="1"/>
  <c r="BY29" i="1"/>
  <c r="BZ29" i="1" s="1"/>
  <c r="BZ28" i="1"/>
  <c r="BY39" i="1"/>
  <c r="BZ39" i="1" s="1"/>
  <c r="BZ38" i="1"/>
  <c r="BZ100" i="1"/>
  <c r="BY101" i="1"/>
  <c r="BZ101" i="1" s="1"/>
  <c r="CC98" i="1"/>
  <c r="CB99" i="1"/>
  <c r="CC99" i="1" s="1"/>
  <c r="BZ92" i="1"/>
  <c r="BY93" i="1"/>
  <c r="BZ93" i="1" s="1"/>
  <c r="BY21" i="1"/>
  <c r="BZ21" i="1" s="1"/>
  <c r="BZ20" i="1"/>
  <c r="BY97" i="1"/>
  <c r="BZ97" i="1" s="1"/>
  <c r="BZ96" i="1"/>
  <c r="BZ88" i="1"/>
  <c r="BY89" i="1"/>
  <c r="BZ89" i="1" s="1"/>
  <c r="BY55" i="1"/>
  <c r="BZ55" i="1" s="1"/>
  <c r="BZ54" i="1"/>
  <c r="BZ118" i="1"/>
  <c r="BY119" i="1"/>
  <c r="BZ119" i="1" s="1"/>
  <c r="BZ52" i="1"/>
  <c r="BY53" i="1"/>
  <c r="BZ53" i="1" s="1"/>
  <c r="AJ32" i="1"/>
  <c r="BV32" i="1"/>
  <c r="CB29" i="1"/>
  <c r="CC29" i="1" s="1"/>
  <c r="CC28" i="1"/>
  <c r="CB103" i="1"/>
  <c r="CC103" i="1" s="1"/>
  <c r="CC102" i="1"/>
  <c r="BX16" i="1"/>
  <c r="BY16" i="1" s="1"/>
  <c r="BZ46" i="1"/>
  <c r="BY47" i="1"/>
  <c r="BZ47" i="1" s="1"/>
  <c r="BX24" i="1"/>
  <c r="BY24" i="1" s="1"/>
  <c r="BZ98" i="1"/>
  <c r="BY99" i="1"/>
  <c r="BZ99" i="1" s="1"/>
  <c r="BX32" i="1"/>
  <c r="BY32" i="1" s="1"/>
  <c r="BW22" i="1"/>
  <c r="CB22" i="1" s="1"/>
  <c r="AJ16" i="1"/>
  <c r="BV16" i="1"/>
  <c r="BW56" i="1"/>
  <c r="CB56" i="1" s="1"/>
  <c r="BZ78" i="1"/>
  <c r="BY79" i="1"/>
  <c r="BZ79" i="1" s="1"/>
  <c r="CF56" i="1"/>
  <c r="AK56" i="1"/>
  <c r="BZ104" i="1" l="1"/>
  <c r="P44" i="14"/>
  <c r="M45" i="14" a="1"/>
  <c r="M45" i="14" s="1"/>
  <c r="Q43" i="14"/>
  <c r="Z43" i="14" s="1"/>
  <c r="W43" i="14"/>
  <c r="AF43" i="14" s="1"/>
  <c r="V43" i="14"/>
  <c r="AE43" i="14" s="1"/>
  <c r="U43" i="14"/>
  <c r="AD43" i="14" s="1"/>
  <c r="T43" i="14"/>
  <c r="AC43" i="14" s="1"/>
  <c r="S43" i="14"/>
  <c r="AB43" i="14" s="1"/>
  <c r="R43" i="14"/>
  <c r="AA43" i="14" s="1"/>
  <c r="Y43" i="14"/>
  <c r="BY91" i="1"/>
  <c r="BZ91" i="1" s="1"/>
  <c r="BY77" i="1"/>
  <c r="BZ77" i="1" s="1"/>
  <c r="CF112" i="1"/>
  <c r="CG112" i="1" s="1"/>
  <c r="CH112" i="1" s="1"/>
  <c r="CB78" i="1"/>
  <c r="CC78" i="1" s="1"/>
  <c r="CB85" i="1"/>
  <c r="CC85" i="1" s="1"/>
  <c r="CI102" i="1"/>
  <c r="CF114" i="1"/>
  <c r="CB101" i="1"/>
  <c r="CC101" i="1" s="1"/>
  <c r="AK114" i="1"/>
  <c r="CB88" i="1"/>
  <c r="CC88" i="1" s="1"/>
  <c r="CF44" i="1"/>
  <c r="CG44" i="1" s="1"/>
  <c r="CH44" i="1" s="1"/>
  <c r="CI44" i="1" s="1"/>
  <c r="CB61" i="1"/>
  <c r="CC61" i="1" s="1"/>
  <c r="BZ108" i="1"/>
  <c r="CL44" i="1"/>
  <c r="CM44" i="1" s="1"/>
  <c r="CN44" i="1" s="1"/>
  <c r="CO44" i="1" s="1"/>
  <c r="CB67" i="1"/>
  <c r="CC67" i="1" s="1"/>
  <c r="AK22" i="1"/>
  <c r="CC90" i="1"/>
  <c r="CL66" i="1"/>
  <c r="CM66" i="1" s="1"/>
  <c r="CN66" i="1" s="1"/>
  <c r="AL66" i="1"/>
  <c r="CL50" i="1"/>
  <c r="CM50" i="1" s="1"/>
  <c r="CN50" i="1" s="1"/>
  <c r="BZ42" i="1"/>
  <c r="CC94" i="1"/>
  <c r="CB76" i="1"/>
  <c r="CB77" i="1" s="1"/>
  <c r="CC77" i="1" s="1"/>
  <c r="CI116" i="1"/>
  <c r="AK88" i="1"/>
  <c r="CF88" i="1"/>
  <c r="CG88" i="1" s="1"/>
  <c r="CH88" i="1" s="1"/>
  <c r="CB7" i="1"/>
  <c r="CC7" i="1" s="1"/>
  <c r="CF22" i="1"/>
  <c r="CG22" i="1" s="1"/>
  <c r="CH22" i="1" s="1"/>
  <c r="CI40" i="1"/>
  <c r="CF48" i="1"/>
  <c r="CG48" i="1" s="1"/>
  <c r="CH48" i="1" s="1"/>
  <c r="CH49" i="1" s="1"/>
  <c r="CI49" i="1" s="1"/>
  <c r="CB39" i="1"/>
  <c r="CC39" i="1" s="1"/>
  <c r="CL48" i="1"/>
  <c r="CM48" i="1" s="1"/>
  <c r="CN48" i="1" s="1"/>
  <c r="CN49" i="1" s="1"/>
  <c r="CO49" i="1" s="1"/>
  <c r="CC44" i="1"/>
  <c r="CC86" i="1"/>
  <c r="CF60" i="1"/>
  <c r="CG60" i="1" s="1"/>
  <c r="CH60" i="1" s="1"/>
  <c r="AK60" i="1"/>
  <c r="CB49" i="1"/>
  <c r="CC49" i="1" s="1"/>
  <c r="CF12" i="1"/>
  <c r="CG12" i="1" s="1"/>
  <c r="CH12" i="1" s="1"/>
  <c r="AK12" i="1"/>
  <c r="AK86" i="1"/>
  <c r="AJ86" i="1"/>
  <c r="CF18" i="1"/>
  <c r="CG18" i="1" s="1"/>
  <c r="CH18" i="1" s="1"/>
  <c r="AJ18" i="1"/>
  <c r="AK76" i="1"/>
  <c r="AJ76" i="1"/>
  <c r="AJ78" i="1"/>
  <c r="CF94" i="1"/>
  <c r="CG94" i="1" s="1"/>
  <c r="CH94" i="1" s="1"/>
  <c r="AJ94" i="1"/>
  <c r="AJ96" i="1"/>
  <c r="CF96" i="1"/>
  <c r="CG96" i="1" s="1"/>
  <c r="CH96" i="1" s="1"/>
  <c r="AK6" i="1"/>
  <c r="CF74" i="1"/>
  <c r="CG74" i="1" s="1"/>
  <c r="CH74" i="1" s="1"/>
  <c r="AJ74" i="1"/>
  <c r="AJ38" i="1"/>
  <c r="CF38" i="1"/>
  <c r="CG38" i="1" s="1"/>
  <c r="CH38" i="1" s="1"/>
  <c r="CL100" i="1"/>
  <c r="CM100" i="1" s="1"/>
  <c r="CN100" i="1" s="1"/>
  <c r="AK100" i="1"/>
  <c r="CL110" i="1"/>
  <c r="CM110" i="1" s="1"/>
  <c r="CN110" i="1" s="1"/>
  <c r="CO110" i="1" s="1"/>
  <c r="AK110" i="1"/>
  <c r="AJ24" i="1"/>
  <c r="CF24" i="1"/>
  <c r="BW50" i="1"/>
  <c r="CB50" i="1" s="1"/>
  <c r="CF58" i="1"/>
  <c r="AJ58" i="1"/>
  <c r="CL40" i="1"/>
  <c r="CM40" i="1" s="1"/>
  <c r="CN40" i="1" s="1"/>
  <c r="AK40" i="1"/>
  <c r="CL112" i="1"/>
  <c r="CM112" i="1" s="1"/>
  <c r="CN112" i="1" s="1"/>
  <c r="AK112" i="1"/>
  <c r="CL116" i="1"/>
  <c r="CM116" i="1" s="1"/>
  <c r="CN116" i="1" s="1"/>
  <c r="CO116" i="1" s="1"/>
  <c r="AK116" i="1"/>
  <c r="AK14" i="1"/>
  <c r="CL102" i="1"/>
  <c r="CM102" i="1" s="1"/>
  <c r="CN102" i="1" s="1"/>
  <c r="CO102" i="1" s="1"/>
  <c r="AK102" i="1"/>
  <c r="CB117" i="1"/>
  <c r="CC117" i="1" s="1"/>
  <c r="CC116" i="1"/>
  <c r="CF110" i="1"/>
  <c r="AJ110" i="1"/>
  <c r="AJ106" i="1"/>
  <c r="CF106" i="1"/>
  <c r="CG106" i="1" s="1"/>
  <c r="CH106" i="1" s="1"/>
  <c r="CL58" i="1"/>
  <c r="CM58" i="1" s="1"/>
  <c r="CN58" i="1" s="1"/>
  <c r="CN59" i="1" s="1"/>
  <c r="CO59" i="1" s="1"/>
  <c r="AK58" i="1"/>
  <c r="AK90" i="1"/>
  <c r="AJ90" i="1"/>
  <c r="CB15" i="1"/>
  <c r="CC15" i="1" s="1"/>
  <c r="CC14" i="1"/>
  <c r="AJ108" i="1"/>
  <c r="BY113" i="1"/>
  <c r="BZ113" i="1" s="1"/>
  <c r="AK94" i="1"/>
  <c r="CF90" i="1"/>
  <c r="CG90" i="1" s="1"/>
  <c r="CH90" i="1" s="1"/>
  <c r="BZ102" i="1"/>
  <c r="CR100" i="1"/>
  <c r="CR58" i="1"/>
  <c r="CR110" i="1"/>
  <c r="CR102" i="1"/>
  <c r="CR112" i="1"/>
  <c r="CS112" i="1" s="1"/>
  <c r="CT112" i="1" s="1"/>
  <c r="CR116" i="1"/>
  <c r="CF78" i="1"/>
  <c r="CG78" i="1" s="1"/>
  <c r="CH78" i="1" s="1"/>
  <c r="CI78" i="1" s="1"/>
  <c r="CB58" i="1"/>
  <c r="CB59" i="1" s="1"/>
  <c r="CC59" i="1" s="1"/>
  <c r="CH7" i="1"/>
  <c r="CI7" i="1" s="1"/>
  <c r="CL14" i="1"/>
  <c r="CM14" i="1" s="1"/>
  <c r="CN14" i="1" s="1"/>
  <c r="BY23" i="1"/>
  <c r="BZ23" i="1" s="1"/>
  <c r="CB35" i="1"/>
  <c r="CC35" i="1" s="1"/>
  <c r="BY63" i="1"/>
  <c r="BZ63" i="1" s="1"/>
  <c r="BY7" i="1"/>
  <c r="BZ7" i="1" s="1"/>
  <c r="BY15" i="1"/>
  <c r="BZ15" i="1" s="1"/>
  <c r="BY67" i="1"/>
  <c r="BZ67" i="1" s="1"/>
  <c r="CF76" i="1"/>
  <c r="CG76" i="1" s="1"/>
  <c r="CH76" i="1" s="1"/>
  <c r="CB109" i="1"/>
  <c r="CC109" i="1" s="1"/>
  <c r="CG108" i="1"/>
  <c r="CH108" i="1" s="1"/>
  <c r="BZ84" i="1"/>
  <c r="CR40" i="1"/>
  <c r="CS40" i="1" s="1"/>
  <c r="CT40" i="1" s="1"/>
  <c r="CB27" i="1"/>
  <c r="CC27" i="1" s="1"/>
  <c r="CF86" i="1"/>
  <c r="CG86" i="1" s="1"/>
  <c r="CH86" i="1" s="1"/>
  <c r="CC36" i="1"/>
  <c r="AK54" i="1"/>
  <c r="CF54" i="1"/>
  <c r="CG54" i="1" s="1"/>
  <c r="CH54" i="1" s="1"/>
  <c r="CB55" i="1"/>
  <c r="CC55" i="1" s="1"/>
  <c r="CC54" i="1"/>
  <c r="BW42" i="1"/>
  <c r="CB42" i="1" s="1"/>
  <c r="CF42" i="1"/>
  <c r="CF34" i="1"/>
  <c r="CG34" i="1" s="1"/>
  <c r="CH34" i="1" s="1"/>
  <c r="AK34" i="1"/>
  <c r="BY51" i="1"/>
  <c r="BZ51" i="1" s="1"/>
  <c r="BZ50" i="1"/>
  <c r="CG98" i="1"/>
  <c r="CH98" i="1" s="1"/>
  <c r="CL98" i="1"/>
  <c r="BW82" i="1"/>
  <c r="CB82" i="1" s="1"/>
  <c r="AK82" i="1"/>
  <c r="CF82" i="1"/>
  <c r="CG82" i="1" s="1"/>
  <c r="CH82" i="1" s="1"/>
  <c r="AK72" i="1"/>
  <c r="CF72" i="1"/>
  <c r="AK64" i="1"/>
  <c r="CF64" i="1"/>
  <c r="CG64" i="1" s="1"/>
  <c r="CH64" i="1" s="1"/>
  <c r="CC106" i="1"/>
  <c r="CB107" i="1"/>
  <c r="CC107" i="1" s="1"/>
  <c r="CF80" i="1"/>
  <c r="AK80" i="1"/>
  <c r="CC104" i="1"/>
  <c r="AK104" i="1"/>
  <c r="CF104" i="1"/>
  <c r="CG104" i="1" s="1"/>
  <c r="CH104" i="1" s="1"/>
  <c r="CB73" i="1"/>
  <c r="CC73" i="1" s="1"/>
  <c r="CC72" i="1"/>
  <c r="CB65" i="1"/>
  <c r="CC65" i="1" s="1"/>
  <c r="CC64" i="1"/>
  <c r="CC80" i="1"/>
  <c r="CB81" i="1"/>
  <c r="CC81" i="1" s="1"/>
  <c r="BY41" i="1"/>
  <c r="BZ41" i="1" s="1"/>
  <c r="BZ40" i="1"/>
  <c r="BW30" i="1"/>
  <c r="CB30" i="1" s="1"/>
  <c r="CG84" i="1"/>
  <c r="CH84" i="1" s="1"/>
  <c r="AK8" i="1"/>
  <c r="CF8" i="1"/>
  <c r="CG8" i="1" s="1"/>
  <c r="CH8" i="1" s="1"/>
  <c r="CI8" i="1" s="1"/>
  <c r="CF70" i="1"/>
  <c r="CG70" i="1" s="1"/>
  <c r="CH70" i="1" s="1"/>
  <c r="CH71" i="1" s="1"/>
  <c r="CI71" i="1" s="1"/>
  <c r="AK70" i="1"/>
  <c r="CF30" i="1"/>
  <c r="CL84" i="1"/>
  <c r="CM84" i="1" s="1"/>
  <c r="CN84" i="1" s="1"/>
  <c r="BW8" i="1"/>
  <c r="CB8" i="1" s="1"/>
  <c r="BW70" i="1"/>
  <c r="CB70" i="1" s="1"/>
  <c r="CH67" i="1"/>
  <c r="CI67" i="1" s="1"/>
  <c r="CI66" i="1"/>
  <c r="CB113" i="1"/>
  <c r="CC113" i="1" s="1"/>
  <c r="CC112" i="1"/>
  <c r="AK68" i="1"/>
  <c r="CF68" i="1"/>
  <c r="CF36" i="1"/>
  <c r="BW92" i="1"/>
  <c r="CB92" i="1" s="1"/>
  <c r="CL28" i="1"/>
  <c r="CF52" i="1"/>
  <c r="AK52" i="1"/>
  <c r="BW118" i="1"/>
  <c r="CB118" i="1" s="1"/>
  <c r="CG62" i="1"/>
  <c r="CH62" i="1" s="1"/>
  <c r="CF46" i="1"/>
  <c r="AK46" i="1"/>
  <c r="BW68" i="1"/>
  <c r="CB68" i="1" s="1"/>
  <c r="CO6" i="1"/>
  <c r="CN7" i="1"/>
  <c r="CO7" i="1" s="1"/>
  <c r="CF92" i="1"/>
  <c r="AK92" i="1"/>
  <c r="BW52" i="1"/>
  <c r="CB52" i="1" s="1"/>
  <c r="AK118" i="1"/>
  <c r="CF118" i="1"/>
  <c r="CG118" i="1" s="1"/>
  <c r="CH118" i="1" s="1"/>
  <c r="CC62" i="1"/>
  <c r="CB63" i="1"/>
  <c r="CC63" i="1" s="1"/>
  <c r="AK20" i="1"/>
  <c r="CF20" i="1"/>
  <c r="CL62" i="1"/>
  <c r="BW46" i="1"/>
  <c r="CB46" i="1" s="1"/>
  <c r="CG28" i="1"/>
  <c r="CH28" i="1" s="1"/>
  <c r="AK26" i="1"/>
  <c r="CF26" i="1"/>
  <c r="CB21" i="1"/>
  <c r="CC21" i="1" s="1"/>
  <c r="CC20" i="1"/>
  <c r="CH101" i="1"/>
  <c r="CI101" i="1" s="1"/>
  <c r="CI100" i="1"/>
  <c r="CC12" i="1"/>
  <c r="CB13" i="1"/>
  <c r="CC13" i="1" s="1"/>
  <c r="CC18" i="1"/>
  <c r="CB19" i="1"/>
  <c r="CC19" i="1" s="1"/>
  <c r="CC114" i="1"/>
  <c r="CB115" i="1"/>
  <c r="CC115" i="1" s="1"/>
  <c r="CH15" i="1"/>
  <c r="CI15" i="1" s="1"/>
  <c r="CI14" i="1"/>
  <c r="CI50" i="1"/>
  <c r="CH51" i="1"/>
  <c r="CI51" i="1" s="1"/>
  <c r="CB23" i="1"/>
  <c r="CC23" i="1" s="1"/>
  <c r="CC22" i="1"/>
  <c r="BY25" i="1"/>
  <c r="BZ25" i="1" s="1"/>
  <c r="BZ24" i="1"/>
  <c r="BZ16" i="1"/>
  <c r="BY17" i="1"/>
  <c r="BZ17" i="1" s="1"/>
  <c r="CH113" i="1"/>
  <c r="CI113" i="1" s="1"/>
  <c r="CI112" i="1"/>
  <c r="AK16" i="1"/>
  <c r="CF16" i="1"/>
  <c r="CF32" i="1"/>
  <c r="AK32" i="1"/>
  <c r="CG114" i="1"/>
  <c r="CH114" i="1" s="1"/>
  <c r="CG56" i="1"/>
  <c r="CH56" i="1" s="1"/>
  <c r="BW16" i="1"/>
  <c r="CB16" i="1" s="1"/>
  <c r="BZ32" i="1"/>
  <c r="BY33" i="1"/>
  <c r="BZ33" i="1" s="1"/>
  <c r="BW32" i="1"/>
  <c r="CB32" i="1" s="1"/>
  <c r="CL56" i="1"/>
  <c r="CR56" i="1"/>
  <c r="CC56" i="1"/>
  <c r="CB57" i="1"/>
  <c r="CC57" i="1" s="1"/>
  <c r="CB111" i="1"/>
  <c r="CC111" i="1" s="1"/>
  <c r="CC110" i="1"/>
  <c r="CA50" i="1" a="1"/>
  <c r="CB89" i="1" l="1"/>
  <c r="CC89" i="1" s="1"/>
  <c r="P45" i="14"/>
  <c r="M46" i="14" a="1"/>
  <c r="M46" i="14" s="1"/>
  <c r="S44" i="14"/>
  <c r="AB44" i="14" s="1"/>
  <c r="Q44" i="14"/>
  <c r="Z44" i="14" s="1"/>
  <c r="U44" i="14"/>
  <c r="AD44" i="14" s="1"/>
  <c r="T44" i="14"/>
  <c r="AC44" i="14" s="1"/>
  <c r="R44" i="14"/>
  <c r="AA44" i="14" s="1"/>
  <c r="Y44" i="14"/>
  <c r="W44" i="14"/>
  <c r="AF44" i="14" s="1"/>
  <c r="V44" i="14"/>
  <c r="AE44" i="14" s="1"/>
  <c r="CL22" i="1"/>
  <c r="CM22" i="1" s="1"/>
  <c r="CN22" i="1" s="1"/>
  <c r="CB79" i="1"/>
  <c r="CC79" i="1" s="1"/>
  <c r="CR114" i="1"/>
  <c r="CS114" i="1" s="1"/>
  <c r="CT114" i="1" s="1"/>
  <c r="CL114" i="1"/>
  <c r="CM114" i="1" s="1"/>
  <c r="CN114" i="1" s="1"/>
  <c r="CH45" i="1"/>
  <c r="CI45" i="1" s="1"/>
  <c r="AM66" i="1"/>
  <c r="AN66" i="1" s="1"/>
  <c r="AE66" i="1" s="1"/>
  <c r="AO66" i="1" s="1"/>
  <c r="CR88" i="1"/>
  <c r="CL88" i="1"/>
  <c r="CM88" i="1" s="1"/>
  <c r="CN88" i="1" s="1"/>
  <c r="CO88" i="1" s="1"/>
  <c r="CN103" i="1"/>
  <c r="CO103" i="1" s="1"/>
  <c r="AK44" i="1"/>
  <c r="AL76" i="1"/>
  <c r="CL76" i="1"/>
  <c r="CM76" i="1" s="1"/>
  <c r="CN76" i="1" s="1"/>
  <c r="CN77" i="1" s="1"/>
  <c r="CO77" i="1" s="1"/>
  <c r="CN45" i="1"/>
  <c r="CO45" i="1" s="1"/>
  <c r="AL22" i="1"/>
  <c r="CL60" i="1"/>
  <c r="CM60" i="1" s="1"/>
  <c r="CN60" i="1" s="1"/>
  <c r="CO60" i="1" s="1"/>
  <c r="CO58" i="1"/>
  <c r="CI48" i="1"/>
  <c r="CL90" i="1"/>
  <c r="AL90" i="1"/>
  <c r="AL94" i="1"/>
  <c r="CR48" i="1"/>
  <c r="CS48" i="1" s="1"/>
  <c r="CT48" i="1" s="1"/>
  <c r="CU48" i="1" s="1"/>
  <c r="CN117" i="1"/>
  <c r="CO117" i="1" s="1"/>
  <c r="CO48" i="1"/>
  <c r="CR66" i="1"/>
  <c r="CS66" i="1" s="1"/>
  <c r="CT66" i="1" s="1"/>
  <c r="CT67" i="1" s="1"/>
  <c r="CU67" i="1" s="1"/>
  <c r="CC76" i="1"/>
  <c r="AL84" i="1"/>
  <c r="CR84" i="1"/>
  <c r="CS84" i="1" s="1"/>
  <c r="CT84" i="1" s="1"/>
  <c r="CU112" i="1"/>
  <c r="CT113" i="1"/>
  <c r="CU113" i="1" s="1"/>
  <c r="CS56" i="1"/>
  <c r="CT56" i="1" s="1"/>
  <c r="CN111" i="1"/>
  <c r="CO111" i="1" s="1"/>
  <c r="CU40" i="1"/>
  <c r="CT41" i="1"/>
  <c r="CU41" i="1" s="1"/>
  <c r="CS116" i="1"/>
  <c r="CT116" i="1" s="1"/>
  <c r="CS110" i="1"/>
  <c r="CT110" i="1" s="1"/>
  <c r="AL28" i="1"/>
  <c r="CR28" i="1"/>
  <c r="CS28" i="1" s="1"/>
  <c r="CT28" i="1" s="1"/>
  <c r="AL62" i="1"/>
  <c r="CR62" i="1"/>
  <c r="AL98" i="1"/>
  <c r="CR98" i="1"/>
  <c r="CS98" i="1" s="1"/>
  <c r="CT98" i="1" s="1"/>
  <c r="CS58" i="1"/>
  <c r="CT58" i="1" s="1"/>
  <c r="CS100" i="1"/>
  <c r="CT100" i="1" s="1"/>
  <c r="CS102" i="1"/>
  <c r="CT102" i="1" s="1"/>
  <c r="AL50" i="1"/>
  <c r="CR50" i="1"/>
  <c r="CR6" i="1"/>
  <c r="CR14" i="1"/>
  <c r="CS14" i="1" s="1"/>
  <c r="CT14" i="1" s="1"/>
  <c r="AL60" i="1"/>
  <c r="AK48" i="1"/>
  <c r="AK30" i="1"/>
  <c r="AK36" i="1"/>
  <c r="AK42" i="1"/>
  <c r="AP44" i="1"/>
  <c r="CL86" i="1"/>
  <c r="CM86" i="1" s="1"/>
  <c r="CN86" i="1" s="1"/>
  <c r="CI60" i="1"/>
  <c r="CH61" i="1"/>
  <c r="CI61" i="1" s="1"/>
  <c r="AM50" i="1"/>
  <c r="AP50" i="1"/>
  <c r="CR12" i="1"/>
  <c r="CS12" i="1" s="1"/>
  <c r="CT12" i="1" s="1"/>
  <c r="CL12" i="1"/>
  <c r="CM12" i="1" s="1"/>
  <c r="CN12" i="1" s="1"/>
  <c r="CB51" i="1"/>
  <c r="CC51" i="1" s="1"/>
  <c r="CC50" i="1"/>
  <c r="AL112" i="1"/>
  <c r="AL100" i="1"/>
  <c r="CR108" i="1"/>
  <c r="AK108" i="1"/>
  <c r="CL108" i="1"/>
  <c r="CM108" i="1" s="1"/>
  <c r="CN108" i="1" s="1"/>
  <c r="CG24" i="1"/>
  <c r="CH24" i="1" s="1"/>
  <c r="AK78" i="1"/>
  <c r="CL78" i="1"/>
  <c r="CM78" i="1" s="1"/>
  <c r="CN78" i="1" s="1"/>
  <c r="CN79" i="1" s="1"/>
  <c r="CO79" i="1" s="1"/>
  <c r="CR78" i="1"/>
  <c r="AL102" i="1"/>
  <c r="CH107" i="1"/>
  <c r="CI107" i="1" s="1"/>
  <c r="CI106" i="1"/>
  <c r="CG110" i="1"/>
  <c r="CH110" i="1" s="1"/>
  <c r="AL14" i="1"/>
  <c r="CG58" i="1"/>
  <c r="CH58" i="1" s="1"/>
  <c r="AK74" i="1"/>
  <c r="CR74" i="1"/>
  <c r="CL74" i="1"/>
  <c r="CM74" i="1" s="1"/>
  <c r="CN74" i="1" s="1"/>
  <c r="CO74" i="1" s="1"/>
  <c r="AL6" i="1"/>
  <c r="AL114" i="1"/>
  <c r="AL56" i="1"/>
  <c r="AL40" i="1"/>
  <c r="CL18" i="1"/>
  <c r="CM18" i="1" s="1"/>
  <c r="CN18" i="1" s="1"/>
  <c r="AK18" i="1"/>
  <c r="AL116" i="1"/>
  <c r="AL110" i="1"/>
  <c r="CL106" i="1"/>
  <c r="CM106" i="1" s="1"/>
  <c r="CN106" i="1" s="1"/>
  <c r="AK106" i="1"/>
  <c r="CR106" i="1"/>
  <c r="AK38" i="1"/>
  <c r="CL38" i="1"/>
  <c r="CM38" i="1" s="1"/>
  <c r="CN38" i="1" s="1"/>
  <c r="CO38" i="1" s="1"/>
  <c r="CR38" i="1"/>
  <c r="AK96" i="1"/>
  <c r="CR96" i="1"/>
  <c r="CL96" i="1"/>
  <c r="CM96" i="1" s="1"/>
  <c r="CN96" i="1" s="1"/>
  <c r="CL94" i="1"/>
  <c r="CM94" i="1" s="1"/>
  <c r="CN94" i="1" s="1"/>
  <c r="CN95" i="1" s="1"/>
  <c r="CO95" i="1" s="1"/>
  <c r="AL58" i="1"/>
  <c r="AK24" i="1"/>
  <c r="CL24" i="1"/>
  <c r="CI38" i="1"/>
  <c r="CH39" i="1"/>
  <c r="CI39" i="1" s="1"/>
  <c r="CI74" i="1"/>
  <c r="CH75" i="1"/>
  <c r="CI75" i="1" s="1"/>
  <c r="CI96" i="1"/>
  <c r="CH97" i="1"/>
  <c r="CI97" i="1" s="1"/>
  <c r="CH79" i="1"/>
  <c r="CI79" i="1" s="1"/>
  <c r="CC58" i="1"/>
  <c r="CH9" i="1"/>
  <c r="CI9" i="1" s="1"/>
  <c r="CI70" i="1"/>
  <c r="CI108" i="1"/>
  <c r="CH109" i="1"/>
  <c r="CI109" i="1" s="1"/>
  <c r="CH89" i="1"/>
  <c r="CI89" i="1" s="1"/>
  <c r="CI88" i="1"/>
  <c r="CI54" i="1"/>
  <c r="CH55" i="1"/>
  <c r="CI55" i="1" s="1"/>
  <c r="CL54" i="1"/>
  <c r="CM54" i="1" s="1"/>
  <c r="CN54" i="1" s="1"/>
  <c r="CR54" i="1"/>
  <c r="CS54" i="1" s="1"/>
  <c r="CT54" i="1" s="1"/>
  <c r="CC42" i="1"/>
  <c r="CB43" i="1"/>
  <c r="CC43" i="1" s="1"/>
  <c r="CG42" i="1"/>
  <c r="CH42" i="1" s="1"/>
  <c r="CR42" i="1"/>
  <c r="CL42" i="1"/>
  <c r="CL34" i="1"/>
  <c r="CM34" i="1" s="1"/>
  <c r="CN34" i="1" s="1"/>
  <c r="CN35" i="1" s="1"/>
  <c r="CO35" i="1" s="1"/>
  <c r="CH35" i="1"/>
  <c r="CI35" i="1" s="1"/>
  <c r="CI34" i="1"/>
  <c r="CC82" i="1"/>
  <c r="CB83" i="1"/>
  <c r="CC83" i="1" s="1"/>
  <c r="CL82" i="1"/>
  <c r="CM82" i="1" s="1"/>
  <c r="CN82" i="1" s="1"/>
  <c r="CH99" i="1"/>
  <c r="CI99" i="1" s="1"/>
  <c r="CI98" i="1"/>
  <c r="CM98" i="1"/>
  <c r="CN98" i="1" s="1"/>
  <c r="CI82" i="1"/>
  <c r="CH83" i="1"/>
  <c r="CI83" i="1" s="1"/>
  <c r="CB31" i="1"/>
  <c r="CC31" i="1" s="1"/>
  <c r="CC30" i="1"/>
  <c r="CB71" i="1"/>
  <c r="CC71" i="1" s="1"/>
  <c r="CC70" i="1"/>
  <c r="CH77" i="1"/>
  <c r="CI77" i="1" s="1"/>
  <c r="CI76" i="1"/>
  <c r="CL104" i="1"/>
  <c r="CM104" i="1" s="1"/>
  <c r="CN104" i="1" s="1"/>
  <c r="CG72" i="1"/>
  <c r="CH72" i="1" s="1"/>
  <c r="CN51" i="1"/>
  <c r="CO51" i="1" s="1"/>
  <c r="CO50" i="1"/>
  <c r="CL30" i="1"/>
  <c r="CM30" i="1" s="1"/>
  <c r="CN30" i="1" s="1"/>
  <c r="CH85" i="1"/>
  <c r="CI85" i="1" s="1"/>
  <c r="CI84" i="1"/>
  <c r="CL80" i="1"/>
  <c r="CH65" i="1"/>
  <c r="CI65" i="1" s="1"/>
  <c r="CI64" i="1"/>
  <c r="CC8" i="1"/>
  <c r="CB9" i="1"/>
  <c r="CC9" i="1" s="1"/>
  <c r="CO84" i="1"/>
  <c r="CN85" i="1"/>
  <c r="CO85" i="1" s="1"/>
  <c r="CL70" i="1"/>
  <c r="CM70" i="1" s="1"/>
  <c r="CN70" i="1" s="1"/>
  <c r="CO70" i="1" s="1"/>
  <c r="CR70" i="1"/>
  <c r="CL8" i="1"/>
  <c r="CM8" i="1" s="1"/>
  <c r="CN8" i="1" s="1"/>
  <c r="CI104" i="1"/>
  <c r="CH105" i="1"/>
  <c r="CI105" i="1" s="1"/>
  <c r="CG80" i="1"/>
  <c r="CH80" i="1" s="1"/>
  <c r="CL64" i="1"/>
  <c r="CM64" i="1" s="1"/>
  <c r="CN64" i="1" s="1"/>
  <c r="CG30" i="1"/>
  <c r="CH30" i="1" s="1"/>
  <c r="CL72" i="1"/>
  <c r="CH29" i="1"/>
  <c r="CI29" i="1" s="1"/>
  <c r="CI28" i="1"/>
  <c r="CC68" i="1"/>
  <c r="CB69" i="1"/>
  <c r="CC69" i="1" s="1"/>
  <c r="CB93" i="1"/>
  <c r="CC93" i="1" s="1"/>
  <c r="CC92" i="1"/>
  <c r="CL26" i="1"/>
  <c r="CM26" i="1" s="1"/>
  <c r="CN26" i="1" s="1"/>
  <c r="CM62" i="1"/>
  <c r="CN62" i="1" s="1"/>
  <c r="CI118" i="1"/>
  <c r="CH119" i="1"/>
  <c r="CI119" i="1" s="1"/>
  <c r="CG26" i="1"/>
  <c r="CH26" i="1" s="1"/>
  <c r="CG20" i="1"/>
  <c r="CH20" i="1" s="1"/>
  <c r="CG92" i="1"/>
  <c r="CH92" i="1" s="1"/>
  <c r="CM28" i="1"/>
  <c r="CN28" i="1" s="1"/>
  <c r="CG36" i="1"/>
  <c r="CH36" i="1" s="1"/>
  <c r="CL46" i="1"/>
  <c r="CM46" i="1" s="1"/>
  <c r="CN46" i="1" s="1"/>
  <c r="CR46" i="1"/>
  <c r="CI94" i="1"/>
  <c r="CH95" i="1"/>
  <c r="CI95" i="1" s="1"/>
  <c r="CL52" i="1"/>
  <c r="CL36" i="1"/>
  <c r="CG68" i="1"/>
  <c r="CH68" i="1" s="1"/>
  <c r="CO66" i="1"/>
  <c r="CN67" i="1"/>
  <c r="CO67" i="1" s="1"/>
  <c r="CL118" i="1"/>
  <c r="CR118" i="1"/>
  <c r="CG46" i="1"/>
  <c r="CH46" i="1" s="1"/>
  <c r="CG52" i="1"/>
  <c r="CH52" i="1" s="1"/>
  <c r="CL68" i="1"/>
  <c r="CM68" i="1" s="1"/>
  <c r="CN68" i="1" s="1"/>
  <c r="CL20" i="1"/>
  <c r="CB47" i="1"/>
  <c r="CC47" i="1" s="1"/>
  <c r="CC46" i="1"/>
  <c r="CB53" i="1"/>
  <c r="CC53" i="1" s="1"/>
  <c r="CC52" i="1"/>
  <c r="CR92" i="1"/>
  <c r="CL92" i="1"/>
  <c r="CM92" i="1" s="1"/>
  <c r="CN92" i="1" s="1"/>
  <c r="CH63" i="1"/>
  <c r="CI63" i="1" s="1"/>
  <c r="CI62" i="1"/>
  <c r="CB119" i="1"/>
  <c r="CC119" i="1" s="1"/>
  <c r="CC118" i="1"/>
  <c r="CA50" i="1"/>
  <c r="CC32" i="1"/>
  <c r="CB33" i="1"/>
  <c r="CC33" i="1" s="1"/>
  <c r="CN61" i="1"/>
  <c r="CO61" i="1" s="1"/>
  <c r="CN41" i="1"/>
  <c r="CO41" i="1" s="1"/>
  <c r="CO40" i="1"/>
  <c r="CH19" i="1"/>
  <c r="CI19" i="1" s="1"/>
  <c r="CI18" i="1"/>
  <c r="CI86" i="1"/>
  <c r="CH87" i="1"/>
  <c r="CI87" i="1" s="1"/>
  <c r="CN101" i="1"/>
  <c r="CO101" i="1" s="1"/>
  <c r="CO100" i="1"/>
  <c r="CI114" i="1"/>
  <c r="CH115" i="1"/>
  <c r="CI115" i="1" s="1"/>
  <c r="CI12" i="1"/>
  <c r="CH13" i="1"/>
  <c r="CI13" i="1" s="1"/>
  <c r="CN15" i="1"/>
  <c r="CO15" i="1" s="1"/>
  <c r="CO14" i="1"/>
  <c r="CL16" i="1"/>
  <c r="CC16" i="1"/>
  <c r="CB17" i="1"/>
  <c r="CC17" i="1" s="1"/>
  <c r="CI56" i="1"/>
  <c r="CH57" i="1"/>
  <c r="CI57" i="1" s="1"/>
  <c r="CM90" i="1"/>
  <c r="CN90" i="1" s="1"/>
  <c r="CI90" i="1"/>
  <c r="CH91" i="1"/>
  <c r="CI91" i="1" s="1"/>
  <c r="CO112" i="1"/>
  <c r="CN113" i="1"/>
  <c r="CO113" i="1" s="1"/>
  <c r="CL32" i="1"/>
  <c r="CI22" i="1"/>
  <c r="CH23" i="1"/>
  <c r="CI23" i="1" s="1"/>
  <c r="CM56" i="1"/>
  <c r="CN56" i="1" s="1"/>
  <c r="CG32" i="1"/>
  <c r="CH32" i="1" s="1"/>
  <c r="CG16" i="1"/>
  <c r="CH16" i="1" s="1"/>
  <c r="CA41" i="1" a="1"/>
  <c r="CA13" i="1" a="1"/>
  <c r="CA51" i="1" a="1"/>
  <c r="CA46" i="1" a="1"/>
  <c r="CA97" i="1" a="1"/>
  <c r="CA60" i="1" a="1"/>
  <c r="CA4" i="1" a="1"/>
  <c r="CA61" i="1" a="1"/>
  <c r="CA17" i="1" a="1"/>
  <c r="CA42" i="1" a="1"/>
  <c r="CA36" i="1" a="1"/>
  <c r="CA37" i="1" a="1"/>
  <c r="CA68" i="1" a="1"/>
  <c r="CA27" i="1" a="1"/>
  <c r="CA49" i="1" a="1"/>
  <c r="CA33" i="1" a="1"/>
  <c r="CA18" i="1" a="1"/>
  <c r="CA101" i="1" a="1"/>
  <c r="CA71" i="1" a="1"/>
  <c r="CA116" i="1" a="1"/>
  <c r="CA93" i="1" a="1"/>
  <c r="CA82" i="1" a="1"/>
  <c r="CA74" i="1" a="1"/>
  <c r="CA107" i="1" a="1"/>
  <c r="CA26" i="1" a="1"/>
  <c r="CA100" i="1" a="1"/>
  <c r="CA102" i="1" a="1"/>
  <c r="CA47" i="1" a="1"/>
  <c r="CA113" i="1" a="1"/>
  <c r="CA114" i="1" a="1"/>
  <c r="CA70" i="1" a="1"/>
  <c r="CA94" i="1" a="1"/>
  <c r="CA103" i="1" a="1"/>
  <c r="CA28" i="1" a="1"/>
  <c r="CA115" i="1" a="1"/>
  <c r="CA15" i="1" a="1"/>
  <c r="CA45" i="1" a="1"/>
  <c r="CA54" i="1" a="1"/>
  <c r="CA34" i="1" a="1"/>
  <c r="CA109" i="1" a="1"/>
  <c r="CA81" i="1" a="1"/>
  <c r="CA21" i="1" a="1"/>
  <c r="CA75" i="1" a="1"/>
  <c r="CA66" i="1" a="1"/>
  <c r="CA95" i="1" a="1"/>
  <c r="CA38" i="1" a="1"/>
  <c r="CA48" i="1" a="1"/>
  <c r="CA53" i="1" a="1"/>
  <c r="CA79" i="1" a="1"/>
  <c r="CA8" i="1" a="1"/>
  <c r="CA32" i="1" a="1"/>
  <c r="CA63" i="1" a="1"/>
  <c r="CA7" i="1" a="1"/>
  <c r="CA110" i="1" a="1"/>
  <c r="CA16" i="1" a="1"/>
  <c r="CA87" i="1" a="1"/>
  <c r="CA108" i="1" a="1"/>
  <c r="CA14" i="1" a="1"/>
  <c r="CA88" i="1" a="1"/>
  <c r="CA25" i="1" a="1"/>
  <c r="CA83" i="1" a="1"/>
  <c r="CA3" i="1" a="1"/>
  <c r="CA12" i="1" a="1"/>
  <c r="CA89" i="1" a="1"/>
  <c r="CA99" i="1" a="1"/>
  <c r="CA35" i="1" a="1"/>
  <c r="CA64" i="1" a="1"/>
  <c r="CA30" i="1" a="1"/>
  <c r="CA86" i="1" a="1"/>
  <c r="CA20" i="1" a="1"/>
  <c r="CA98" i="1" a="1"/>
  <c r="CA52" i="1" a="1"/>
  <c r="CA43" i="1" a="1"/>
  <c r="CA56" i="1" a="1"/>
  <c r="CA9" i="1" a="1"/>
  <c r="CA23" i="1" a="1"/>
  <c r="CA73" i="1" a="1"/>
  <c r="CA78" i="1" a="1"/>
  <c r="CA22" i="1" a="1"/>
  <c r="CA58" i="1" a="1"/>
  <c r="CA39" i="1" a="1"/>
  <c r="CA72" i="1" a="1"/>
  <c r="CA91" i="1" a="1"/>
  <c r="CA106" i="1" a="1"/>
  <c r="CA77" i="1" a="1"/>
  <c r="CA84" i="1" a="1"/>
  <c r="CA19" i="1" a="1"/>
  <c r="CA96" i="1" a="1"/>
  <c r="CA44" i="1" a="1"/>
  <c r="CA5" i="1" a="1"/>
  <c r="CA90" i="1" a="1"/>
  <c r="CA40" i="1" a="1"/>
  <c r="CA65" i="1" a="1"/>
  <c r="CA57" i="1" a="1"/>
  <c r="CA31" i="1" a="1"/>
  <c r="CA55" i="1" a="1"/>
  <c r="CA80" i="1" a="1"/>
  <c r="CA59" i="1" a="1"/>
  <c r="CA92" i="1" a="1"/>
  <c r="CA111" i="1" a="1"/>
  <c r="CA29" i="1" a="1"/>
  <c r="CA112" i="1" a="1"/>
  <c r="CA24" i="1" a="1"/>
  <c r="CA85" i="1" a="1"/>
  <c r="CA104" i="1" a="1"/>
  <c r="CA76" i="1" a="1"/>
  <c r="CA6" i="1" a="1"/>
  <c r="CA67" i="1" a="1"/>
  <c r="CA69" i="1" a="1"/>
  <c r="CA62" i="1" a="1"/>
  <c r="CA105" i="1" a="1"/>
  <c r="CO76" i="1" l="1"/>
  <c r="P46" i="14"/>
  <c r="M47" i="14" a="1"/>
  <c r="M47" i="14" s="1"/>
  <c r="U45" i="14"/>
  <c r="AD45" i="14" s="1"/>
  <c r="S45" i="14"/>
  <c r="AB45" i="14" s="1"/>
  <c r="R45" i="14"/>
  <c r="AA45" i="14" s="1"/>
  <c r="Q45" i="14"/>
  <c r="Z45" i="14" s="1"/>
  <c r="Y45" i="14"/>
  <c r="W45" i="14"/>
  <c r="AF45" i="14" s="1"/>
  <c r="V45" i="14"/>
  <c r="AE45" i="14" s="1"/>
  <c r="T45" i="14"/>
  <c r="AC45" i="14" s="1"/>
  <c r="CN89" i="1"/>
  <c r="CO89" i="1" s="1"/>
  <c r="AL88" i="1"/>
  <c r="AM88" i="1"/>
  <c r="AM76" i="1"/>
  <c r="AN76" i="1" s="1"/>
  <c r="AE76" i="1" s="1"/>
  <c r="AO76" i="1" s="1"/>
  <c r="CR90" i="1"/>
  <c r="CS90" i="1" s="1"/>
  <c r="CT90" i="1" s="1"/>
  <c r="CR76" i="1"/>
  <c r="CS76" i="1" s="1"/>
  <c r="CT76" i="1" s="1"/>
  <c r="CO78" i="1"/>
  <c r="AP6" i="1"/>
  <c r="CR22" i="1"/>
  <c r="CS22" i="1" s="1"/>
  <c r="CT22" i="1" s="1"/>
  <c r="CR94" i="1"/>
  <c r="CS94" i="1" s="1"/>
  <c r="CT94" i="1" s="1"/>
  <c r="AL44" i="1"/>
  <c r="CR44" i="1"/>
  <c r="CS44" i="1" s="1"/>
  <c r="CT44" i="1" s="1"/>
  <c r="CT45" i="1" s="1"/>
  <c r="CU45" i="1" s="1"/>
  <c r="CN75" i="1"/>
  <c r="CO75" i="1" s="1"/>
  <c r="AP14" i="1"/>
  <c r="AL48" i="1"/>
  <c r="AN50" i="1"/>
  <c r="AE50" i="1" s="1"/>
  <c r="AO50" i="1" s="1"/>
  <c r="CU66" i="1"/>
  <c r="CT49" i="1"/>
  <c r="CU49" i="1" s="1"/>
  <c r="CO94" i="1"/>
  <c r="CT59" i="1"/>
  <c r="CU59" i="1" s="1"/>
  <c r="CU58" i="1"/>
  <c r="CT115" i="1"/>
  <c r="CU115" i="1" s="1"/>
  <c r="CU114" i="1"/>
  <c r="CT117" i="1"/>
  <c r="CU117" i="1" s="1"/>
  <c r="CU116" i="1"/>
  <c r="CT103" i="1"/>
  <c r="CU103" i="1" s="1"/>
  <c r="CU102" i="1"/>
  <c r="CT111" i="1"/>
  <c r="CU111" i="1" s="1"/>
  <c r="CU110" i="1"/>
  <c r="AL32" i="1"/>
  <c r="CR32" i="1"/>
  <c r="CS32" i="1" s="1"/>
  <c r="CT32" i="1" s="1"/>
  <c r="CR20" i="1"/>
  <c r="AL36" i="1"/>
  <c r="CR36" i="1"/>
  <c r="AL26" i="1"/>
  <c r="CR26" i="1"/>
  <c r="AL80" i="1"/>
  <c r="CR80" i="1"/>
  <c r="AL104" i="1"/>
  <c r="CR104" i="1"/>
  <c r="AL34" i="1"/>
  <c r="CR34" i="1"/>
  <c r="CR18" i="1"/>
  <c r="CS18" i="1" s="1"/>
  <c r="CT18" i="1" s="1"/>
  <c r="CR24" i="1"/>
  <c r="CS108" i="1"/>
  <c r="CT108" i="1" s="1"/>
  <c r="AL68" i="1"/>
  <c r="CR68" i="1"/>
  <c r="CS118" i="1"/>
  <c r="CT118" i="1" s="1"/>
  <c r="CS46" i="1"/>
  <c r="CT46" i="1" s="1"/>
  <c r="AL72" i="1"/>
  <c r="CR72" i="1"/>
  <c r="CN39" i="1"/>
  <c r="CO39" i="1" s="1"/>
  <c r="CS96" i="1"/>
  <c r="CT96" i="1" s="1"/>
  <c r="CU98" i="1"/>
  <c r="CT99" i="1"/>
  <c r="CU99" i="1" s="1"/>
  <c r="CS92" i="1"/>
  <c r="CT92" i="1" s="1"/>
  <c r="AL52" i="1"/>
  <c r="CR52" i="1"/>
  <c r="CS70" i="1"/>
  <c r="CT70" i="1" s="1"/>
  <c r="AL82" i="1"/>
  <c r="CR82" i="1"/>
  <c r="CS82" i="1" s="1"/>
  <c r="CT82" i="1" s="1"/>
  <c r="CS106" i="1"/>
  <c r="CT106" i="1" s="1"/>
  <c r="CS74" i="1"/>
  <c r="CT74" i="1" s="1"/>
  <c r="CS78" i="1"/>
  <c r="CT78" i="1" s="1"/>
  <c r="CR60" i="1"/>
  <c r="CU100" i="1"/>
  <c r="CT101" i="1"/>
  <c r="CU101" i="1" s="1"/>
  <c r="CT57" i="1"/>
  <c r="CU57" i="1" s="1"/>
  <c r="CU56" i="1"/>
  <c r="CT85" i="1"/>
  <c r="CU85" i="1" s="1"/>
  <c r="CU84" i="1"/>
  <c r="AL64" i="1"/>
  <c r="CR64" i="1"/>
  <c r="CS64" i="1" s="1"/>
  <c r="CT64" i="1" s="1"/>
  <c r="AL30" i="1"/>
  <c r="CR30" i="1"/>
  <c r="CS42" i="1"/>
  <c r="CT42" i="1" s="1"/>
  <c r="CT55" i="1"/>
  <c r="CU55" i="1" s="1"/>
  <c r="CU54" i="1"/>
  <c r="CS38" i="1"/>
  <c r="CT38" i="1" s="1"/>
  <c r="AL86" i="1"/>
  <c r="CR86" i="1"/>
  <c r="CS50" i="1"/>
  <c r="CT50" i="1" s="1"/>
  <c r="CS88" i="1"/>
  <c r="CT88" i="1" s="1"/>
  <c r="CS62" i="1"/>
  <c r="CT62" i="1" s="1"/>
  <c r="BQ25" i="1"/>
  <c r="CU28" i="1"/>
  <c r="CT29" i="1"/>
  <c r="CR8" i="1"/>
  <c r="CS8" i="1" s="1"/>
  <c r="CT8" i="1" s="1"/>
  <c r="CS6" i="1"/>
  <c r="CT6" i="1" s="1"/>
  <c r="AM16" i="1"/>
  <c r="CR16" i="1"/>
  <c r="CS16" i="1" s="1"/>
  <c r="CT16" i="1" s="1"/>
  <c r="CU14" i="1"/>
  <c r="CT15" i="1"/>
  <c r="CU15" i="1" s="1"/>
  <c r="CT13" i="1"/>
  <c r="CU13" i="1" s="1"/>
  <c r="CU12" i="1"/>
  <c r="AP48" i="1"/>
  <c r="AM102" i="1"/>
  <c r="AN102" i="1" s="1"/>
  <c r="AE102" i="1" s="1"/>
  <c r="AO102" i="1" s="1"/>
  <c r="AM112" i="1"/>
  <c r="AN112" i="1" s="1"/>
  <c r="AE112" i="1" s="1"/>
  <c r="AO112" i="1" s="1"/>
  <c r="AM58" i="1"/>
  <c r="AN58" i="1" s="1"/>
  <c r="AM110" i="1"/>
  <c r="AN110" i="1" s="1"/>
  <c r="AE110" i="1" s="1"/>
  <c r="AO110" i="1" s="1"/>
  <c r="AM56" i="1"/>
  <c r="AN56" i="1" s="1"/>
  <c r="AM28" i="1"/>
  <c r="AN28" i="1" s="1"/>
  <c r="AM90" i="1"/>
  <c r="AN90" i="1" s="1"/>
  <c r="AE90" i="1" s="1"/>
  <c r="AO90" i="1" s="1"/>
  <c r="AM98" i="1"/>
  <c r="AN98" i="1" s="1"/>
  <c r="AE98" i="1" s="1"/>
  <c r="AO98" i="1" s="1"/>
  <c r="AV112" i="1"/>
  <c r="AM100" i="1"/>
  <c r="AN100" i="1" s="1"/>
  <c r="AE100" i="1" s="1"/>
  <c r="AO100" i="1" s="1"/>
  <c r="AM94" i="1"/>
  <c r="AN94" i="1" s="1"/>
  <c r="AE94" i="1" s="1"/>
  <c r="AO94" i="1" s="1"/>
  <c r="AM84" i="1"/>
  <c r="AN84" i="1" s="1"/>
  <c r="AE84" i="1" s="1"/>
  <c r="AO84" i="1" s="1"/>
  <c r="AM116" i="1"/>
  <c r="AN116" i="1" s="1"/>
  <c r="AE116" i="1" s="1"/>
  <c r="AO116" i="1" s="1"/>
  <c r="AM114" i="1"/>
  <c r="AN114" i="1" s="1"/>
  <c r="AE114" i="1" s="1"/>
  <c r="AL18" i="1"/>
  <c r="AL12" i="1"/>
  <c r="AP86" i="1"/>
  <c r="AV116" i="1"/>
  <c r="AV110" i="1"/>
  <c r="AV66" i="1"/>
  <c r="AV114" i="1"/>
  <c r="AV50" i="1"/>
  <c r="AV100" i="1"/>
  <c r="AP28" i="1"/>
  <c r="AM62" i="1"/>
  <c r="AN62" i="1" s="1"/>
  <c r="AP62" i="1"/>
  <c r="AM40" i="1"/>
  <c r="AN40" i="1" s="1"/>
  <c r="AP40" i="1"/>
  <c r="AP60" i="1"/>
  <c r="AP58" i="1"/>
  <c r="AP56" i="1"/>
  <c r="AL8" i="1"/>
  <c r="AP22" i="1"/>
  <c r="CI58" i="1"/>
  <c r="CH59" i="1"/>
  <c r="CI59" i="1" s="1"/>
  <c r="CI110" i="1"/>
  <c r="CH111" i="1"/>
  <c r="CI111" i="1" s="1"/>
  <c r="AL20" i="1"/>
  <c r="AL96" i="1"/>
  <c r="CO108" i="1"/>
  <c r="CN109" i="1"/>
  <c r="CO109" i="1" s="1"/>
  <c r="AL118" i="1"/>
  <c r="AL70" i="1"/>
  <c r="AP24" i="1"/>
  <c r="AL24" i="1"/>
  <c r="CO106" i="1"/>
  <c r="CN107" i="1"/>
  <c r="CO107" i="1" s="1"/>
  <c r="AM6" i="1"/>
  <c r="AN6" i="1" s="1"/>
  <c r="CI24" i="1"/>
  <c r="CH25" i="1"/>
  <c r="CI25" i="1" s="1"/>
  <c r="AL92" i="1"/>
  <c r="AL46" i="1"/>
  <c r="AL38" i="1"/>
  <c r="AM14" i="1"/>
  <c r="AN14" i="1" s="1"/>
  <c r="AL78" i="1"/>
  <c r="AL108" i="1"/>
  <c r="AL16" i="1"/>
  <c r="AL42" i="1"/>
  <c r="AL54" i="1"/>
  <c r="CM24" i="1"/>
  <c r="CN24" i="1" s="1"/>
  <c r="CO96" i="1"/>
  <c r="CN97" i="1"/>
  <c r="CO97" i="1" s="1"/>
  <c r="AL106" i="1"/>
  <c r="AL74" i="1"/>
  <c r="CA97" i="1"/>
  <c r="CA71" i="1"/>
  <c r="CN71" i="1"/>
  <c r="CO71" i="1" s="1"/>
  <c r="CO34" i="1"/>
  <c r="CN55" i="1"/>
  <c r="CO55" i="1" s="1"/>
  <c r="CO54" i="1"/>
  <c r="CI42" i="1"/>
  <c r="CH43" i="1"/>
  <c r="CI43" i="1" s="1"/>
  <c r="CM42" i="1"/>
  <c r="CN42" i="1" s="1"/>
  <c r="CO98" i="1"/>
  <c r="CN99" i="1"/>
  <c r="CO99" i="1" s="1"/>
  <c r="CO82" i="1"/>
  <c r="CN83" i="1"/>
  <c r="CO83" i="1" s="1"/>
  <c r="CA73" i="1"/>
  <c r="CA56" i="1"/>
  <c r="CA105" i="1"/>
  <c r="CH73" i="1"/>
  <c r="CI73" i="1" s="1"/>
  <c r="CI72" i="1"/>
  <c r="CH81" i="1"/>
  <c r="CI81" i="1" s="1"/>
  <c r="CI80" i="1"/>
  <c r="CM72" i="1"/>
  <c r="CN72" i="1" s="1"/>
  <c r="CM80" i="1"/>
  <c r="CN80" i="1" s="1"/>
  <c r="CO104" i="1"/>
  <c r="CN105" i="1"/>
  <c r="CO105" i="1" s="1"/>
  <c r="CN65" i="1"/>
  <c r="CO65" i="1" s="1"/>
  <c r="CO64" i="1"/>
  <c r="CI30" i="1"/>
  <c r="CH31" i="1"/>
  <c r="CI31" i="1" s="1"/>
  <c r="CO8" i="1"/>
  <c r="CN9" i="1"/>
  <c r="CO9" i="1" s="1"/>
  <c r="CN31" i="1"/>
  <c r="CO31" i="1" s="1"/>
  <c r="CO30" i="1"/>
  <c r="CA85" i="1"/>
  <c r="CA89" i="1"/>
  <c r="CA40" i="1"/>
  <c r="CA95" i="1"/>
  <c r="CA87" i="1"/>
  <c r="CA25" i="1"/>
  <c r="CA99" i="1"/>
  <c r="CA47" i="1"/>
  <c r="CA61" i="1"/>
  <c r="CA65" i="1"/>
  <c r="CA59" i="1"/>
  <c r="CA93" i="1"/>
  <c r="CA90" i="1"/>
  <c r="CA4" i="1"/>
  <c r="CA92" i="1"/>
  <c r="CM20" i="1"/>
  <c r="CN20" i="1" s="1"/>
  <c r="CN69" i="1"/>
  <c r="CO69" i="1" s="1"/>
  <c r="CO68" i="1"/>
  <c r="CN27" i="1"/>
  <c r="CO27" i="1" s="1"/>
  <c r="CO26" i="1"/>
  <c r="CO92" i="1"/>
  <c r="CN93" i="1"/>
  <c r="CO93" i="1" s="1"/>
  <c r="CI52" i="1"/>
  <c r="CH53" i="1"/>
  <c r="CI53" i="1" s="1"/>
  <c r="CI68" i="1"/>
  <c r="CH69" i="1"/>
  <c r="CI69" i="1" s="1"/>
  <c r="CM52" i="1"/>
  <c r="CN52" i="1" s="1"/>
  <c r="CN29" i="1"/>
  <c r="CO29" i="1" s="1"/>
  <c r="CO28" i="1"/>
  <c r="CH21" i="1"/>
  <c r="CI21" i="1" s="1"/>
  <c r="CI20" i="1"/>
  <c r="CN63" i="1"/>
  <c r="CO63" i="1" s="1"/>
  <c r="CO62" i="1"/>
  <c r="CM118" i="1"/>
  <c r="CN118" i="1" s="1"/>
  <c r="CN47" i="1"/>
  <c r="CO47" i="1" s="1"/>
  <c r="CO46" i="1"/>
  <c r="CI46" i="1"/>
  <c r="CH47" i="1"/>
  <c r="CI47" i="1" s="1"/>
  <c r="CM36" i="1"/>
  <c r="CN36" i="1" s="1"/>
  <c r="CH37" i="1"/>
  <c r="CI37" i="1" s="1"/>
  <c r="CI36" i="1"/>
  <c r="CH93" i="1"/>
  <c r="CI93" i="1" s="1"/>
  <c r="CI92" i="1"/>
  <c r="CI26" i="1"/>
  <c r="CH27" i="1"/>
  <c r="CI27" i="1" s="1"/>
  <c r="CA39" i="1"/>
  <c r="CA9" i="1"/>
  <c r="CA22" i="1"/>
  <c r="CA43" i="1"/>
  <c r="CA5" i="1"/>
  <c r="CA17" i="1"/>
  <c r="CA109" i="1"/>
  <c r="CA107" i="1"/>
  <c r="CA77" i="1"/>
  <c r="CA106" i="1"/>
  <c r="CA69" i="1"/>
  <c r="CA49" i="1"/>
  <c r="CA8" i="1"/>
  <c r="CA74" i="1"/>
  <c r="CA55" i="1"/>
  <c r="CA14" i="1"/>
  <c r="CA62" i="1"/>
  <c r="CA36" i="1"/>
  <c r="CA67" i="1"/>
  <c r="CA46" i="1"/>
  <c r="CA53" i="1"/>
  <c r="CA79" i="1"/>
  <c r="CA45" i="1"/>
  <c r="CA57" i="1"/>
  <c r="CA60" i="1"/>
  <c r="CA114" i="1"/>
  <c r="CA112" i="1"/>
  <c r="CA33" i="1"/>
  <c r="CA29" i="1"/>
  <c r="CA34" i="1"/>
  <c r="CA28" i="1"/>
  <c r="CA30" i="1"/>
  <c r="CA84" i="1"/>
  <c r="CA94" i="1"/>
  <c r="CA80" i="1"/>
  <c r="CA7" i="1"/>
  <c r="CA38" i="1"/>
  <c r="CA42" i="1"/>
  <c r="CA64" i="1"/>
  <c r="CA88" i="1"/>
  <c r="CA86" i="1"/>
  <c r="CA18" i="1"/>
  <c r="CA78" i="1"/>
  <c r="CA116" i="1"/>
  <c r="CA101" i="1"/>
  <c r="CA76" i="1"/>
  <c r="CA83" i="1"/>
  <c r="CA72" i="1"/>
  <c r="CA23" i="1"/>
  <c r="CA54" i="1"/>
  <c r="CA68" i="1"/>
  <c r="CA108" i="1"/>
  <c r="CA27" i="1"/>
  <c r="CA20" i="1"/>
  <c r="CA35" i="1"/>
  <c r="CA66" i="1"/>
  <c r="CA82" i="1"/>
  <c r="CA37" i="1"/>
  <c r="CA113" i="1"/>
  <c r="CA96" i="1"/>
  <c r="CA32" i="1"/>
  <c r="CA58" i="1"/>
  <c r="CA100" i="1"/>
  <c r="CA16" i="1"/>
  <c r="CA81" i="1"/>
  <c r="CA51" i="1"/>
  <c r="CA44" i="1"/>
  <c r="CA19" i="1"/>
  <c r="CA6" i="1"/>
  <c r="CA31" i="1"/>
  <c r="CA98" i="1"/>
  <c r="CA91" i="1"/>
  <c r="CA111" i="1"/>
  <c r="CA110" i="1"/>
  <c r="CA3" i="1"/>
  <c r="CA13" i="1"/>
  <c r="CA63" i="1"/>
  <c r="CA104" i="1"/>
  <c r="CA26" i="1"/>
  <c r="CA12" i="1"/>
  <c r="CA103" i="1"/>
  <c r="CA48" i="1"/>
  <c r="CA15" i="1"/>
  <c r="CA52" i="1"/>
  <c r="CA102" i="1"/>
  <c r="CA24" i="1"/>
  <c r="CA115" i="1"/>
  <c r="CA75" i="1"/>
  <c r="CA70" i="1"/>
  <c r="CA41" i="1"/>
  <c r="CA21" i="1"/>
  <c r="CO22" i="1"/>
  <c r="CN23" i="1"/>
  <c r="CO23" i="1" s="1"/>
  <c r="CO86" i="1"/>
  <c r="CN87" i="1"/>
  <c r="CO87" i="1" s="1"/>
  <c r="CO12" i="1"/>
  <c r="CN13" i="1"/>
  <c r="CO13" i="1" s="1"/>
  <c r="CN57" i="1"/>
  <c r="CO57" i="1" s="1"/>
  <c r="CO56" i="1"/>
  <c r="CI16" i="1"/>
  <c r="CH17" i="1"/>
  <c r="CI17" i="1" s="1"/>
  <c r="CM32" i="1"/>
  <c r="CN32" i="1" s="1"/>
  <c r="CM16" i="1"/>
  <c r="CN16" i="1" s="1"/>
  <c r="CI32" i="1"/>
  <c r="CH33" i="1"/>
  <c r="CI33" i="1" s="1"/>
  <c r="CO18" i="1"/>
  <c r="CN19" i="1"/>
  <c r="CO19" i="1" s="1"/>
  <c r="CN115" i="1"/>
  <c r="CO115" i="1" s="1"/>
  <c r="CO114" i="1"/>
  <c r="CO90" i="1"/>
  <c r="CN91" i="1"/>
  <c r="CO91" i="1" s="1"/>
  <c r="CD103" i="1" a="1"/>
  <c r="CD86" i="1" a="1"/>
  <c r="CD114" i="1" a="1"/>
  <c r="CD99" i="1" a="1"/>
  <c r="CD113" i="1" a="1"/>
  <c r="CD35" i="1" a="1"/>
  <c r="CD26" i="1" a="1"/>
  <c r="CD101" i="1" a="1"/>
  <c r="CD90" i="1" a="1"/>
  <c r="CD27" i="1" a="1"/>
  <c r="CD40" i="1" a="1"/>
  <c r="CD67" i="1" a="1"/>
  <c r="CD85" i="1" a="1"/>
  <c r="CD96" i="1" a="1"/>
  <c r="CD38" i="1" a="1"/>
  <c r="CD80" i="1" a="1"/>
  <c r="CD108" i="1" a="1"/>
  <c r="CJ95" i="1" a="1"/>
  <c r="CD3" i="1" a="1"/>
  <c r="CD30" i="1" a="1"/>
  <c r="CD94" i="1" a="1"/>
  <c r="CD20" i="1" a="1"/>
  <c r="CD41" i="1" a="1"/>
  <c r="CD106" i="1" a="1"/>
  <c r="CD84" i="1" a="1"/>
  <c r="CD111" i="1" a="1"/>
  <c r="CD16" i="1" a="1"/>
  <c r="CD52" i="1" a="1"/>
  <c r="CD66" i="1" a="1"/>
  <c r="CD54" i="1" a="1"/>
  <c r="CD47" i="1" a="1"/>
  <c r="CD8" i="1" a="1"/>
  <c r="CD105" i="1" a="1"/>
  <c r="CD28" i="1" a="1"/>
  <c r="CD25" i="1" a="1"/>
  <c r="CD21" i="1" a="1"/>
  <c r="CD31" i="1" a="1"/>
  <c r="CD23" i="1" a="1"/>
  <c r="CD33" i="1" a="1"/>
  <c r="CD17" i="1" a="1"/>
  <c r="CD68" i="1" a="1"/>
  <c r="CD32" i="1" a="1"/>
  <c r="CD39" i="1" a="1"/>
  <c r="CD22" i="1" a="1"/>
  <c r="CD77" i="1" a="1"/>
  <c r="CD112" i="1" a="1"/>
  <c r="CD6" i="1" a="1"/>
  <c r="CD93" i="1" a="1"/>
  <c r="CD100" i="1" a="1"/>
  <c r="CD50" i="1" a="1"/>
  <c r="CD36" i="1" a="1"/>
  <c r="CD4" i="1" a="1"/>
  <c r="CD44" i="1" a="1"/>
  <c r="CD97" i="1" a="1"/>
  <c r="CD116" i="1" a="1"/>
  <c r="CD48" i="1" a="1"/>
  <c r="CD82" i="1" a="1"/>
  <c r="CD9" i="1" a="1"/>
  <c r="CD88" i="1" a="1"/>
  <c r="CD60" i="1" a="1"/>
  <c r="CD73" i="1" a="1"/>
  <c r="CD75" i="1" a="1"/>
  <c r="CD62" i="1" a="1"/>
  <c r="CD79" i="1" a="1"/>
  <c r="CD45" i="1" a="1"/>
  <c r="CD76" i="1" a="1"/>
  <c r="CD110" i="1" a="1"/>
  <c r="CD64" i="1" a="1"/>
  <c r="CD63" i="1" a="1"/>
  <c r="CD71" i="1" a="1"/>
  <c r="CD7" i="1" a="1"/>
  <c r="CD91" i="1" a="1"/>
  <c r="CD43" i="1" a="1"/>
  <c r="CD37" i="1" a="1"/>
  <c r="CD49" i="1" a="1"/>
  <c r="CD19" i="1" a="1"/>
  <c r="CD53" i="1" a="1"/>
  <c r="CD102" i="1" a="1"/>
  <c r="CD65" i="1" a="1"/>
  <c r="CD51" i="1" a="1"/>
  <c r="CD89" i="1" a="1"/>
  <c r="CD115" i="1" a="1"/>
  <c r="CD18" i="1" a="1"/>
  <c r="CD83" i="1" a="1"/>
  <c r="CD34" i="1" a="1"/>
  <c r="CD87" i="1" a="1"/>
  <c r="CD70" i="1" a="1"/>
  <c r="CD78" i="1" a="1"/>
  <c r="CD59" i="1" a="1"/>
  <c r="CD24" i="1" a="1"/>
  <c r="CD13" i="1" a="1"/>
  <c r="CD107" i="1" a="1"/>
  <c r="CD58" i="1" a="1"/>
  <c r="CD57" i="1" a="1"/>
  <c r="CD92" i="1" a="1"/>
  <c r="CJ91" i="1" a="1"/>
  <c r="CD46" i="1" a="1"/>
  <c r="CD74" i="1" a="1"/>
  <c r="CD109" i="1" a="1"/>
  <c r="CD42" i="1" a="1"/>
  <c r="CD98" i="1" a="1"/>
  <c r="CD104" i="1" a="1"/>
  <c r="CD61" i="1" a="1"/>
  <c r="CD56" i="1" a="1"/>
  <c r="CD15" i="1" a="1"/>
  <c r="CD72" i="1" a="1"/>
  <c r="CD69" i="1" a="1"/>
  <c r="CD81" i="1" a="1"/>
  <c r="CD12" i="1" a="1"/>
  <c r="CD55" i="1" a="1"/>
  <c r="CD95" i="1" a="1"/>
  <c r="CD14" i="1" a="1"/>
  <c r="CD5" i="1" a="1"/>
  <c r="CD29" i="1" a="1"/>
  <c r="AN88" i="1" l="1"/>
  <c r="AE88" i="1" s="1"/>
  <c r="AO88" i="1" s="1"/>
  <c r="W46" i="14"/>
  <c r="AF46" i="14" s="1"/>
  <c r="U46" i="14"/>
  <c r="AD46" i="14" s="1"/>
  <c r="R46" i="14"/>
  <c r="AA46" i="14" s="1"/>
  <c r="Q46" i="14"/>
  <c r="Z46" i="14" s="1"/>
  <c r="Y46" i="14"/>
  <c r="V46" i="14"/>
  <c r="AE46" i="14" s="1"/>
  <c r="T46" i="14"/>
  <c r="AC46" i="14" s="1"/>
  <c r="S46" i="14"/>
  <c r="AB46" i="14" s="1"/>
  <c r="P47" i="14"/>
  <c r="M48" i="14" a="1"/>
  <c r="M48" i="14" s="1"/>
  <c r="AM48" i="1"/>
  <c r="AN48" i="1" s="1"/>
  <c r="AE48" i="1" s="1"/>
  <c r="AO48" i="1" s="1"/>
  <c r="AM60" i="1"/>
  <c r="AN60" i="1" s="1"/>
  <c r="AE60" i="1" s="1"/>
  <c r="AO60" i="1" s="1"/>
  <c r="AM22" i="1"/>
  <c r="AN22" i="1" s="1"/>
  <c r="AE22" i="1" s="1"/>
  <c r="AO22" i="1" s="1"/>
  <c r="AE6" i="1"/>
  <c r="AO6" i="1" s="1"/>
  <c r="CU44" i="1"/>
  <c r="AM44" i="1"/>
  <c r="AN44" i="1" s="1"/>
  <c r="AE44" i="1" s="1"/>
  <c r="AO44" i="1" s="1"/>
  <c r="AE14" i="1"/>
  <c r="AO14" i="1" s="1"/>
  <c r="AP18" i="1"/>
  <c r="AV40" i="1"/>
  <c r="AE28" i="1"/>
  <c r="AO28" i="1" s="1"/>
  <c r="AM8" i="1"/>
  <c r="AN8" i="1" s="1"/>
  <c r="AM20" i="1"/>
  <c r="AN20" i="1" s="1"/>
  <c r="CU90" i="1"/>
  <c r="CT91" i="1"/>
  <c r="CU91" i="1" s="1"/>
  <c r="CU38" i="1"/>
  <c r="CT39" i="1"/>
  <c r="CU39" i="1" s="1"/>
  <c r="CU78" i="1"/>
  <c r="CT79" i="1"/>
  <c r="CU79" i="1" s="1"/>
  <c r="CU96" i="1"/>
  <c r="CT97" i="1"/>
  <c r="CU97" i="1" s="1"/>
  <c r="CU46" i="1"/>
  <c r="CT47" i="1"/>
  <c r="CU47" i="1" s="1"/>
  <c r="BQ22" i="1"/>
  <c r="CU22" i="1"/>
  <c r="CT23" i="1"/>
  <c r="CT63" i="1"/>
  <c r="CU63" i="1" s="1"/>
  <c r="CU62" i="1"/>
  <c r="CT51" i="1"/>
  <c r="CU51" i="1" s="1"/>
  <c r="CU50" i="1"/>
  <c r="CU74" i="1"/>
  <c r="CT75" i="1"/>
  <c r="CU75" i="1" s="1"/>
  <c r="CT119" i="1"/>
  <c r="CU119" i="1" s="1"/>
  <c r="CU118" i="1"/>
  <c r="CU108" i="1"/>
  <c r="CT109" i="1"/>
  <c r="CU109" i="1" s="1"/>
  <c r="CT77" i="1"/>
  <c r="CU77" i="1" s="1"/>
  <c r="CU76" i="1"/>
  <c r="CT107" i="1"/>
  <c r="CU107" i="1" s="1"/>
  <c r="CU106" i="1"/>
  <c r="CU88" i="1"/>
  <c r="CT89" i="1"/>
  <c r="CU89" i="1" s="1"/>
  <c r="CU42" i="1"/>
  <c r="CT43" i="1"/>
  <c r="CU43" i="1" s="1"/>
  <c r="CS86" i="1"/>
  <c r="CT86" i="1" s="1"/>
  <c r="CS30" i="1"/>
  <c r="CT30" i="1" s="1"/>
  <c r="CS68" i="1"/>
  <c r="CT68" i="1" s="1"/>
  <c r="CT19" i="1"/>
  <c r="CU19" i="1" s="1"/>
  <c r="CU18" i="1"/>
  <c r="CS104" i="1"/>
  <c r="CT104" i="1" s="1"/>
  <c r="CS26" i="1"/>
  <c r="CT26" i="1" s="1"/>
  <c r="CS20" i="1"/>
  <c r="CT20" i="1" s="1"/>
  <c r="CU70" i="1"/>
  <c r="CT71" i="1"/>
  <c r="CU71" i="1" s="1"/>
  <c r="CU92" i="1"/>
  <c r="CT93" i="1"/>
  <c r="CU93" i="1" s="1"/>
  <c r="CU64" i="1"/>
  <c r="CT65" i="1"/>
  <c r="CU65" i="1" s="1"/>
  <c r="CS60" i="1"/>
  <c r="CT60" i="1" s="1"/>
  <c r="CS72" i="1"/>
  <c r="CT72" i="1" s="1"/>
  <c r="CS24" i="1"/>
  <c r="CT24" i="1" s="1"/>
  <c r="CS34" i="1"/>
  <c r="CT34" i="1" s="1"/>
  <c r="CS80" i="1"/>
  <c r="CT80" i="1" s="1"/>
  <c r="CS36" i="1"/>
  <c r="CT36" i="1" s="1"/>
  <c r="CU32" i="1"/>
  <c r="BQ27" i="1"/>
  <c r="CT33" i="1"/>
  <c r="BR25" i="1"/>
  <c r="CU29" i="1"/>
  <c r="CT83" i="1"/>
  <c r="CU83" i="1" s="1"/>
  <c r="CU82" i="1"/>
  <c r="CS52" i="1"/>
  <c r="CT52" i="1" s="1"/>
  <c r="CU94" i="1"/>
  <c r="CT95" i="1"/>
  <c r="CU95" i="1" s="1"/>
  <c r="CU8" i="1"/>
  <c r="CT9" i="1"/>
  <c r="CU9" i="1" s="1"/>
  <c r="CU6" i="1"/>
  <c r="CT7" i="1"/>
  <c r="CU7" i="1" s="1"/>
  <c r="CT17" i="1"/>
  <c r="CU17" i="1" s="1"/>
  <c r="CU16" i="1"/>
  <c r="AV102" i="1"/>
  <c r="AM32" i="1"/>
  <c r="AN32" i="1" s="1"/>
  <c r="AM68" i="1"/>
  <c r="AN68" i="1" s="1"/>
  <c r="AE68" i="1" s="1"/>
  <c r="AO68" i="1" s="1"/>
  <c r="AM72" i="1"/>
  <c r="AN72" i="1" s="1"/>
  <c r="AE72" i="1" s="1"/>
  <c r="AO72" i="1" s="1"/>
  <c r="AM64" i="1"/>
  <c r="AN64" i="1" s="1"/>
  <c r="AE64" i="1" s="1"/>
  <c r="AO64" i="1" s="1"/>
  <c r="AP30" i="1"/>
  <c r="AM54" i="1"/>
  <c r="AN54" i="1" s="1"/>
  <c r="AM92" i="1"/>
  <c r="AM80" i="1"/>
  <c r="AN80" i="1" s="1"/>
  <c r="AE80" i="1" s="1"/>
  <c r="AO80" i="1" s="1"/>
  <c r="AM118" i="1"/>
  <c r="AN118" i="1" s="1"/>
  <c r="AE118" i="1" s="1"/>
  <c r="AM104" i="1"/>
  <c r="AN104" i="1" s="1"/>
  <c r="AE104" i="1" s="1"/>
  <c r="AO104" i="1" s="1"/>
  <c r="AM82" i="1"/>
  <c r="AN82" i="1" s="1"/>
  <c r="AE82" i="1" s="1"/>
  <c r="AO82" i="1" s="1"/>
  <c r="AP26" i="1"/>
  <c r="AM42" i="1"/>
  <c r="AN42" i="1" s="1"/>
  <c r="AM46" i="1"/>
  <c r="AN46" i="1" s="1"/>
  <c r="AM52" i="1"/>
  <c r="AN52" i="1" s="1"/>
  <c r="AM34" i="1"/>
  <c r="AN34" i="1" s="1"/>
  <c r="AP38" i="1"/>
  <c r="AM70" i="1"/>
  <c r="AN70" i="1" s="1"/>
  <c r="AE70" i="1" s="1"/>
  <c r="AO70" i="1" s="1"/>
  <c r="AP12" i="1"/>
  <c r="AE56" i="1"/>
  <c r="AO56" i="1" s="1"/>
  <c r="AX6" i="1"/>
  <c r="AM12" i="1"/>
  <c r="AN12" i="1" s="1"/>
  <c r="AM86" i="1"/>
  <c r="AN86" i="1" s="1"/>
  <c r="AE86" i="1" s="1"/>
  <c r="AO86" i="1" s="1"/>
  <c r="AV94" i="1"/>
  <c r="AV58" i="1"/>
  <c r="AV42" i="1"/>
  <c r="AV76" i="1"/>
  <c r="AV88" i="1"/>
  <c r="AV70" i="1"/>
  <c r="AV28" i="1"/>
  <c r="AV48" i="1"/>
  <c r="AV98" i="1"/>
  <c r="AV118" i="1"/>
  <c r="AV56" i="1"/>
  <c r="AV84" i="1"/>
  <c r="AV62" i="1"/>
  <c r="AV92" i="1"/>
  <c r="AV90" i="1"/>
  <c r="AE58" i="1"/>
  <c r="AO58" i="1" s="1"/>
  <c r="AE62" i="1"/>
  <c r="AO62" i="1" s="1"/>
  <c r="AE40" i="1"/>
  <c r="AO40" i="1" s="1"/>
  <c r="AM36" i="1"/>
  <c r="AN36" i="1" s="1"/>
  <c r="AP36" i="1"/>
  <c r="AP32" i="1"/>
  <c r="AP34" i="1"/>
  <c r="AP42" i="1"/>
  <c r="AP54" i="1"/>
  <c r="AP52" i="1"/>
  <c r="AP46" i="1"/>
  <c r="AN16" i="1"/>
  <c r="AP20" i="1"/>
  <c r="AP16" i="1"/>
  <c r="AM26" i="1"/>
  <c r="AN26" i="1" s="1"/>
  <c r="AM30" i="1"/>
  <c r="AN30" i="1" s="1"/>
  <c r="AM74" i="1"/>
  <c r="AN74" i="1" s="1"/>
  <c r="AE74" i="1" s="1"/>
  <c r="AM106" i="1"/>
  <c r="AN106" i="1" s="1"/>
  <c r="AE106" i="1" s="1"/>
  <c r="AM38" i="1"/>
  <c r="AN38" i="1" s="1"/>
  <c r="AO114" i="1"/>
  <c r="AM78" i="1"/>
  <c r="AN78" i="1" s="1"/>
  <c r="AE78" i="1" s="1"/>
  <c r="AP8" i="1"/>
  <c r="AN92" i="1"/>
  <c r="AE92" i="1" s="1"/>
  <c r="AM96" i="1"/>
  <c r="AN96" i="1" s="1"/>
  <c r="AE96" i="1" s="1"/>
  <c r="AM18" i="1"/>
  <c r="AN18" i="1" s="1"/>
  <c r="CN25" i="1"/>
  <c r="CO25" i="1" s="1"/>
  <c r="CO24" i="1"/>
  <c r="AM108" i="1"/>
  <c r="AN108" i="1" s="1"/>
  <c r="AE108" i="1" s="1"/>
  <c r="AM24" i="1"/>
  <c r="AN24" i="1" s="1"/>
  <c r="AE24" i="1" s="1"/>
  <c r="AX7" i="1"/>
  <c r="V8" i="1" s="1"/>
  <c r="Z8" i="1" s="1"/>
  <c r="AY6" i="1"/>
  <c r="V6" i="1" s="1"/>
  <c r="Z6" i="1" s="1"/>
  <c r="AY7" i="1"/>
  <c r="V14" i="1" s="1"/>
  <c r="Z14" i="1" s="1"/>
  <c r="CO42" i="1"/>
  <c r="CN43" i="1"/>
  <c r="CO43" i="1" s="1"/>
  <c r="CO80" i="1"/>
  <c r="CN81" i="1"/>
  <c r="CO81" i="1" s="1"/>
  <c r="CO72" i="1"/>
  <c r="CN73" i="1"/>
  <c r="CO73" i="1" s="1"/>
  <c r="CO20" i="1"/>
  <c r="CN21" i="1"/>
  <c r="CO21" i="1" s="1"/>
  <c r="CO118" i="1"/>
  <c r="CN119" i="1"/>
  <c r="CO119" i="1" s="1"/>
  <c r="CO36" i="1"/>
  <c r="CN37" i="1"/>
  <c r="CO37" i="1" s="1"/>
  <c r="CN53" i="1"/>
  <c r="CO53" i="1" s="1"/>
  <c r="CO52" i="1"/>
  <c r="CJ91" i="1"/>
  <c r="CJ95" i="1"/>
  <c r="CD32" i="1"/>
  <c r="CD66" i="1"/>
  <c r="CD115" i="1"/>
  <c r="CD68" i="1"/>
  <c r="CD76" i="1"/>
  <c r="CD109" i="1"/>
  <c r="CD67" i="1"/>
  <c r="CD28" i="1"/>
  <c r="CD16" i="1"/>
  <c r="CD73" i="1"/>
  <c r="CD53" i="1"/>
  <c r="CD30" i="1"/>
  <c r="CD55" i="1"/>
  <c r="CD99" i="1"/>
  <c r="CD70" i="1"/>
  <c r="CD64" i="1"/>
  <c r="CD44" i="1"/>
  <c r="CD85" i="1"/>
  <c r="CD113" i="1"/>
  <c r="CD62" i="1"/>
  <c r="CD83" i="1"/>
  <c r="CD4" i="1"/>
  <c r="CD107" i="1"/>
  <c r="CD37" i="1"/>
  <c r="CD31" i="1"/>
  <c r="CD84" i="1"/>
  <c r="CD91" i="1"/>
  <c r="CD22" i="1"/>
  <c r="CD21" i="1"/>
  <c r="CD87" i="1"/>
  <c r="CD82" i="1"/>
  <c r="CD48" i="1"/>
  <c r="CD94" i="1"/>
  <c r="CD89" i="1"/>
  <c r="CD80" i="1"/>
  <c r="CD3" i="1"/>
  <c r="CD106" i="1"/>
  <c r="CD27" i="1"/>
  <c r="CD7" i="1"/>
  <c r="CD90" i="1"/>
  <c r="CD100" i="1"/>
  <c r="CD108" i="1"/>
  <c r="CD102" i="1"/>
  <c r="CD17" i="1"/>
  <c r="CD78" i="1"/>
  <c r="CD95" i="1"/>
  <c r="CD14" i="1"/>
  <c r="CD46" i="1"/>
  <c r="CD15" i="1"/>
  <c r="CD103" i="1"/>
  <c r="CD101" i="1"/>
  <c r="CD47" i="1"/>
  <c r="CD60" i="1"/>
  <c r="CD35" i="1"/>
  <c r="CD65" i="1"/>
  <c r="CD54" i="1"/>
  <c r="CD8" i="1"/>
  <c r="CD36" i="1"/>
  <c r="CD104" i="1"/>
  <c r="CD9" i="1"/>
  <c r="CD41" i="1"/>
  <c r="CD105" i="1"/>
  <c r="CD45" i="1"/>
  <c r="CD57" i="1"/>
  <c r="CD98" i="1"/>
  <c r="CD38" i="1"/>
  <c r="CD34" i="1"/>
  <c r="CD72" i="1"/>
  <c r="CD114" i="1"/>
  <c r="CD61" i="1"/>
  <c r="CD51" i="1"/>
  <c r="CD74" i="1"/>
  <c r="CD111" i="1"/>
  <c r="CD19" i="1"/>
  <c r="CD20" i="1"/>
  <c r="CD86" i="1"/>
  <c r="CD88" i="1"/>
  <c r="CD112" i="1"/>
  <c r="CD71" i="1"/>
  <c r="CD50" i="1"/>
  <c r="CD18" i="1"/>
  <c r="CD93" i="1"/>
  <c r="CD79" i="1"/>
  <c r="CD43" i="1"/>
  <c r="CD24" i="1"/>
  <c r="CD12" i="1"/>
  <c r="CD96" i="1"/>
  <c r="CD77" i="1"/>
  <c r="CD42" i="1"/>
  <c r="CD23" i="1"/>
  <c r="CD97" i="1"/>
  <c r="CD69" i="1"/>
  <c r="CD116" i="1"/>
  <c r="CD5" i="1"/>
  <c r="CD13" i="1"/>
  <c r="CD49" i="1"/>
  <c r="CD75" i="1"/>
  <c r="CD6" i="1"/>
  <c r="CD56" i="1"/>
  <c r="CD63" i="1"/>
  <c r="CD110" i="1"/>
  <c r="CD92" i="1"/>
  <c r="CD26" i="1"/>
  <c r="CD33" i="1"/>
  <c r="CD39" i="1"/>
  <c r="CD52" i="1"/>
  <c r="CD40" i="1"/>
  <c r="CD59" i="1"/>
  <c r="CD25" i="1"/>
  <c r="CD29" i="1"/>
  <c r="CD81" i="1"/>
  <c r="CD58" i="1"/>
  <c r="CO16" i="1"/>
  <c r="CN17" i="1"/>
  <c r="CO17" i="1" s="1"/>
  <c r="CN33" i="1"/>
  <c r="CO33" i="1" s="1"/>
  <c r="CO32" i="1"/>
  <c r="CJ15" i="1" a="1"/>
  <c r="CJ28" i="1" a="1"/>
  <c r="CJ49" i="1" a="1"/>
  <c r="CJ6" i="1" a="1"/>
  <c r="CJ101" i="1" a="1"/>
  <c r="CJ92" i="1" a="1"/>
  <c r="CJ8" i="1" a="1"/>
  <c r="CJ47" i="1" a="1"/>
  <c r="CJ71" i="1" a="1"/>
  <c r="CJ5" i="1" a="1"/>
  <c r="CJ42" i="1" a="1"/>
  <c r="CJ94" i="1" a="1"/>
  <c r="CJ115" i="1" a="1"/>
  <c r="CJ60" i="1" a="1"/>
  <c r="CJ50" i="1" a="1"/>
  <c r="CJ58" i="1" a="1"/>
  <c r="CJ41" i="1" a="1"/>
  <c r="CJ38" i="1" a="1"/>
  <c r="CJ76" i="1" a="1"/>
  <c r="CJ3" i="1" a="1"/>
  <c r="CJ114" i="1" a="1"/>
  <c r="CJ83" i="1" a="1"/>
  <c r="CJ59" i="1" a="1"/>
  <c r="CJ52" i="1" a="1"/>
  <c r="CJ48" i="1" a="1"/>
  <c r="CJ33" i="1" a="1"/>
  <c r="CJ86" i="1" a="1"/>
  <c r="CJ102" i="1" a="1"/>
  <c r="CJ54" i="1" a="1"/>
  <c r="CJ78" i="1" a="1"/>
  <c r="CJ21" i="1" a="1"/>
  <c r="CJ69" i="1" a="1"/>
  <c r="CJ116" i="1" a="1"/>
  <c r="CJ18" i="1" a="1"/>
  <c r="CJ68" i="1" a="1"/>
  <c r="CJ87" i="1" a="1"/>
  <c r="CJ43" i="1" a="1"/>
  <c r="CJ45" i="1" a="1"/>
  <c r="CJ72" i="1" a="1"/>
  <c r="CJ104" i="1" a="1"/>
  <c r="CP41" i="1" a="1"/>
  <c r="CJ74" i="1" a="1"/>
  <c r="CJ77" i="1" a="1"/>
  <c r="CJ110" i="1" a="1"/>
  <c r="CJ65" i="1" a="1"/>
  <c r="CJ39" i="1" a="1"/>
  <c r="CJ64" i="1" a="1"/>
  <c r="CJ24" i="1" a="1"/>
  <c r="CJ107" i="1" a="1"/>
  <c r="CJ29" i="1" a="1"/>
  <c r="CJ112" i="1" a="1"/>
  <c r="CJ89" i="1" a="1"/>
  <c r="CJ106" i="1" a="1"/>
  <c r="CJ66" i="1" a="1"/>
  <c r="CJ40" i="1" a="1"/>
  <c r="CJ34" i="1" a="1"/>
  <c r="CJ105" i="1" a="1"/>
  <c r="CJ82" i="1" a="1"/>
  <c r="CJ108" i="1" a="1"/>
  <c r="CJ32" i="1" a="1"/>
  <c r="CJ97" i="1" a="1"/>
  <c r="CJ111" i="1" a="1"/>
  <c r="CJ88" i="1" a="1"/>
  <c r="CJ62" i="1" a="1"/>
  <c r="CJ17" i="1" a="1"/>
  <c r="CJ37" i="1" a="1"/>
  <c r="CJ75" i="1" a="1"/>
  <c r="CJ9" i="1" a="1"/>
  <c r="CJ31" i="1" a="1"/>
  <c r="CJ30" i="1" a="1"/>
  <c r="CJ44" i="1" a="1"/>
  <c r="CJ67" i="1" a="1"/>
  <c r="CJ53" i="1" a="1"/>
  <c r="CJ57" i="1" a="1"/>
  <c r="CJ22" i="1" a="1"/>
  <c r="CJ19" i="1" a="1"/>
  <c r="CJ61" i="1" a="1"/>
  <c r="CJ56" i="1" a="1"/>
  <c r="CJ13" i="1" a="1"/>
  <c r="CJ100" i="1" a="1"/>
  <c r="CJ27" i="1" a="1"/>
  <c r="CJ85" i="1" a="1"/>
  <c r="CJ99" i="1" a="1"/>
  <c r="CJ96" i="1" a="1"/>
  <c r="CJ113" i="1" a="1"/>
  <c r="CJ20" i="1" a="1"/>
  <c r="CJ35" i="1" a="1"/>
  <c r="CJ63" i="1" a="1"/>
  <c r="CJ80" i="1" a="1"/>
  <c r="CJ7" i="1" a="1"/>
  <c r="CJ98" i="1" a="1"/>
  <c r="CJ93" i="1" a="1"/>
  <c r="CJ90" i="1" a="1"/>
  <c r="CJ12" i="1" a="1"/>
  <c r="CJ16" i="1" a="1"/>
  <c r="CJ81" i="1" a="1"/>
  <c r="CJ84" i="1" a="1"/>
  <c r="CJ36" i="1" a="1"/>
  <c r="CJ25" i="1" a="1"/>
  <c r="CJ79" i="1" a="1"/>
  <c r="CJ26" i="1" a="1"/>
  <c r="CJ103" i="1" a="1"/>
  <c r="CJ109" i="1" a="1"/>
  <c r="CJ51" i="1" a="1"/>
  <c r="CJ23" i="1" a="1"/>
  <c r="CJ70" i="1" a="1"/>
  <c r="CJ55" i="1" a="1"/>
  <c r="CJ14" i="1" a="1"/>
  <c r="CJ4" i="1" a="1"/>
  <c r="CJ73" i="1" a="1"/>
  <c r="CJ46" i="1" a="1"/>
  <c r="V12" i="1" l="1"/>
  <c r="Z12" i="1" s="1"/>
  <c r="AE18" i="1"/>
  <c r="AO18" i="1" s="1"/>
  <c r="P48" i="14"/>
  <c r="M49" i="14" a="1"/>
  <c r="M49" i="14" s="1"/>
  <c r="S47" i="14"/>
  <c r="AB47" i="14" s="1"/>
  <c r="Q47" i="14"/>
  <c r="Z47" i="14" s="1"/>
  <c r="W47" i="14"/>
  <c r="AF47" i="14" s="1"/>
  <c r="R47" i="14"/>
  <c r="AA47" i="14" s="1"/>
  <c r="Y47" i="14"/>
  <c r="V47" i="14"/>
  <c r="AE47" i="14" s="1"/>
  <c r="U47" i="14"/>
  <c r="AD47" i="14" s="1"/>
  <c r="T47" i="14"/>
  <c r="AC47" i="14" s="1"/>
  <c r="AV60" i="1"/>
  <c r="AE38" i="1"/>
  <c r="AO38" i="1" s="1"/>
  <c r="AV44" i="1"/>
  <c r="AE12" i="1"/>
  <c r="AO12" i="1" s="1"/>
  <c r="AE30" i="1"/>
  <c r="AO30" i="1" s="1"/>
  <c r="AE42" i="1"/>
  <c r="AO42" i="1" s="1"/>
  <c r="AE32" i="1"/>
  <c r="AO32" i="1" s="1"/>
  <c r="AE52" i="1"/>
  <c r="AO52" i="1" s="1"/>
  <c r="AE46" i="1"/>
  <c r="AO46" i="1" s="1"/>
  <c r="AE26" i="1"/>
  <c r="AO26" i="1" s="1"/>
  <c r="AE34" i="1"/>
  <c r="AO34" i="1" s="1"/>
  <c r="CU34" i="1"/>
  <c r="CT35" i="1"/>
  <c r="CU35" i="1" s="1"/>
  <c r="BQ24" i="1"/>
  <c r="CT27" i="1"/>
  <c r="CU26" i="1"/>
  <c r="CU86" i="1"/>
  <c r="CT87" i="1"/>
  <c r="CU87" i="1" s="1"/>
  <c r="CT105" i="1"/>
  <c r="CU105" i="1" s="1"/>
  <c r="CU104" i="1"/>
  <c r="CT61" i="1"/>
  <c r="CU61" i="1" s="1"/>
  <c r="CU60" i="1"/>
  <c r="CU72" i="1"/>
  <c r="CT73" i="1"/>
  <c r="CU73" i="1" s="1"/>
  <c r="BQ26" i="1"/>
  <c r="CT31" i="1"/>
  <c r="CU30" i="1"/>
  <c r="CT53" i="1"/>
  <c r="CU53" i="1" s="1"/>
  <c r="CU52" i="1"/>
  <c r="CU80" i="1"/>
  <c r="CT81" i="1"/>
  <c r="CU81" i="1" s="1"/>
  <c r="CU24" i="1"/>
  <c r="BQ23" i="1"/>
  <c r="CT25" i="1"/>
  <c r="BQ21" i="1"/>
  <c r="CT21" i="1"/>
  <c r="CU20" i="1"/>
  <c r="CT69" i="1"/>
  <c r="CU69" i="1" s="1"/>
  <c r="CU68" i="1"/>
  <c r="BR27" i="1"/>
  <c r="CU33" i="1"/>
  <c r="CU36" i="1"/>
  <c r="CT37" i="1"/>
  <c r="CU37" i="1" s="1"/>
  <c r="BR22" i="1"/>
  <c r="CU23" i="1"/>
  <c r="AE54" i="1"/>
  <c r="AO54" i="1" s="1"/>
  <c r="AE20" i="1"/>
  <c r="AE8" i="1"/>
  <c r="AO8" i="1" s="1"/>
  <c r="AV86" i="1"/>
  <c r="AV68" i="1"/>
  <c r="AV52" i="1"/>
  <c r="AV74" i="1"/>
  <c r="AV104" i="1"/>
  <c r="AV18" i="1"/>
  <c r="AV26" i="1"/>
  <c r="AV20" i="1"/>
  <c r="AV54" i="1"/>
  <c r="AV80" i="1"/>
  <c r="AV34" i="1"/>
  <c r="AV72" i="1"/>
  <c r="AV32" i="1"/>
  <c r="AV106" i="1"/>
  <c r="AV108" i="1"/>
  <c r="AV46" i="1"/>
  <c r="AV64" i="1"/>
  <c r="AV36" i="1"/>
  <c r="AV82" i="1"/>
  <c r="AV96" i="1"/>
  <c r="AV78" i="1"/>
  <c r="AV38" i="1"/>
  <c r="AV30" i="1"/>
  <c r="AE36" i="1"/>
  <c r="AO36" i="1" s="1"/>
  <c r="AE16" i="1"/>
  <c r="AO16" i="1" s="1"/>
  <c r="B20" i="3"/>
  <c r="D20" i="3" s="1"/>
  <c r="AV22" i="1"/>
  <c r="B18" i="3"/>
  <c r="C18" i="3" s="1"/>
  <c r="C8" i="3"/>
  <c r="AO24" i="1"/>
  <c r="AO96" i="1"/>
  <c r="AO118" i="1"/>
  <c r="AO106" i="1"/>
  <c r="AO78" i="1"/>
  <c r="AO108" i="1"/>
  <c r="AO92" i="1"/>
  <c r="AO74" i="1"/>
  <c r="D6" i="3"/>
  <c r="F6" i="3"/>
  <c r="C6" i="3"/>
  <c r="E6" i="3"/>
  <c r="CJ107" i="1"/>
  <c r="CJ73" i="1"/>
  <c r="CJ94" i="1"/>
  <c r="CJ46" i="1"/>
  <c r="CJ52" i="1"/>
  <c r="CJ23" i="1"/>
  <c r="CJ89" i="1"/>
  <c r="CJ19" i="1"/>
  <c r="CJ81" i="1"/>
  <c r="CJ61" i="1"/>
  <c r="CJ108" i="1"/>
  <c r="CJ21" i="1"/>
  <c r="CJ18" i="1"/>
  <c r="CJ6" i="1"/>
  <c r="CJ101" i="1"/>
  <c r="CJ106" i="1"/>
  <c r="CJ69" i="1"/>
  <c r="CJ13" i="1"/>
  <c r="CJ55" i="1"/>
  <c r="CJ24" i="1"/>
  <c r="CJ78" i="1"/>
  <c r="CJ65" i="1"/>
  <c r="CJ98" i="1"/>
  <c r="CJ20" i="1"/>
  <c r="CJ5" i="1"/>
  <c r="CJ43" i="1"/>
  <c r="CJ34" i="1"/>
  <c r="CJ87" i="1"/>
  <c r="CJ31" i="1"/>
  <c r="CJ85" i="1"/>
  <c r="CJ48" i="1"/>
  <c r="CJ86" i="1"/>
  <c r="CJ88" i="1"/>
  <c r="CJ62" i="1"/>
  <c r="CJ36" i="1"/>
  <c r="CJ17" i="1"/>
  <c r="CJ63" i="1"/>
  <c r="CJ64" i="1"/>
  <c r="CJ53" i="1"/>
  <c r="CJ57" i="1"/>
  <c r="CJ37" i="1"/>
  <c r="CJ114" i="1"/>
  <c r="CJ113" i="1"/>
  <c r="CJ4" i="1"/>
  <c r="CJ33" i="1"/>
  <c r="CJ96" i="1"/>
  <c r="CJ80" i="1"/>
  <c r="CJ102" i="1"/>
  <c r="CJ47" i="1"/>
  <c r="CJ28" i="1"/>
  <c r="CJ45" i="1"/>
  <c r="CJ29" i="1"/>
  <c r="CJ56" i="1"/>
  <c r="CJ60" i="1"/>
  <c r="CJ93" i="1"/>
  <c r="CJ112" i="1"/>
  <c r="CJ79" i="1"/>
  <c r="CJ8" i="1"/>
  <c r="CJ83" i="1"/>
  <c r="CJ104" i="1"/>
  <c r="CJ38" i="1"/>
  <c r="CJ75" i="1"/>
  <c r="CJ26" i="1"/>
  <c r="CJ97" i="1"/>
  <c r="CJ51" i="1"/>
  <c r="CJ35" i="1"/>
  <c r="CJ42" i="1"/>
  <c r="CJ22" i="1"/>
  <c r="CJ76" i="1"/>
  <c r="CJ40" i="1"/>
  <c r="CJ100" i="1"/>
  <c r="CJ105" i="1"/>
  <c r="CJ15" i="1"/>
  <c r="CJ58" i="1"/>
  <c r="CJ72" i="1"/>
  <c r="CJ12" i="1"/>
  <c r="CJ14" i="1"/>
  <c r="CJ90" i="1"/>
  <c r="CJ9" i="1"/>
  <c r="CJ70" i="1"/>
  <c r="CJ103" i="1"/>
  <c r="CJ27" i="1"/>
  <c r="CJ111" i="1"/>
  <c r="CJ50" i="1"/>
  <c r="CJ59" i="1"/>
  <c r="CJ115" i="1"/>
  <c r="CJ41" i="1"/>
  <c r="CJ30" i="1"/>
  <c r="CJ44" i="1"/>
  <c r="CJ84" i="1"/>
  <c r="CJ68" i="1"/>
  <c r="CJ82" i="1"/>
  <c r="CJ77" i="1"/>
  <c r="CJ66" i="1"/>
  <c r="CJ32" i="1"/>
  <c r="CJ7" i="1"/>
  <c r="CJ67" i="1"/>
  <c r="CJ25" i="1"/>
  <c r="CJ92" i="1"/>
  <c r="CJ54" i="1"/>
  <c r="CJ74" i="1"/>
  <c r="CJ39" i="1"/>
  <c r="CJ16" i="1"/>
  <c r="CJ99" i="1"/>
  <c r="CJ110" i="1"/>
  <c r="CJ109" i="1"/>
  <c r="CJ49" i="1"/>
  <c r="CJ116" i="1"/>
  <c r="CJ3" i="1"/>
  <c r="CJ71" i="1"/>
  <c r="CP41" i="1"/>
  <c r="CP94" i="1" a="1"/>
  <c r="CP86" i="1" a="1"/>
  <c r="CP52" i="1" a="1"/>
  <c r="CP20" i="1" a="1"/>
  <c r="CP27" i="1" a="1"/>
  <c r="CP65" i="1" a="1"/>
  <c r="CP83" i="1" a="1"/>
  <c r="CP56" i="1" a="1"/>
  <c r="CP61" i="1" a="1"/>
  <c r="CP40" i="1" a="1"/>
  <c r="CP98" i="1" a="1"/>
  <c r="CP71" i="1" a="1"/>
  <c r="CP103" i="1" a="1"/>
  <c r="CP101" i="1" a="1"/>
  <c r="CP4" i="1" a="1"/>
  <c r="CP92" i="1" a="1"/>
  <c r="CP58" i="1" a="1"/>
  <c r="CP68" i="1" a="1"/>
  <c r="CP80" i="1" a="1"/>
  <c r="CP48" i="1" a="1"/>
  <c r="CP108" i="1" a="1"/>
  <c r="CP66" i="1" a="1"/>
  <c r="CP110" i="1" a="1"/>
  <c r="CP99" i="1" a="1"/>
  <c r="CP19" i="1" a="1"/>
  <c r="CP26" i="1" a="1"/>
  <c r="CP116" i="1" a="1"/>
  <c r="CP8" i="1" a="1"/>
  <c r="CP59" i="1" a="1"/>
  <c r="CP21" i="1" a="1"/>
  <c r="CP67" i="1" a="1"/>
  <c r="CP73" i="1" a="1"/>
  <c r="CP50" i="1" a="1"/>
  <c r="CP32" i="1" a="1"/>
  <c r="CP95" i="1" a="1"/>
  <c r="CP28" i="1" a="1"/>
  <c r="CP7" i="1" a="1"/>
  <c r="CP111" i="1" a="1"/>
  <c r="CP24" i="1" a="1"/>
  <c r="CP115" i="1" a="1"/>
  <c r="CP30" i="1" a="1"/>
  <c r="CP87" i="1" a="1"/>
  <c r="CP97" i="1" a="1"/>
  <c r="CP112" i="1" a="1"/>
  <c r="CP85" i="1" a="1"/>
  <c r="CP69" i="1" a="1"/>
  <c r="CP105" i="1" a="1"/>
  <c r="CP91" i="1" a="1"/>
  <c r="CP18" i="1" a="1"/>
  <c r="CP13" i="1" a="1"/>
  <c r="CP22" i="1" a="1"/>
  <c r="CP107" i="1" a="1"/>
  <c r="CP46" i="1" a="1"/>
  <c r="CP106" i="1" a="1"/>
  <c r="CP31" i="1" a="1"/>
  <c r="CP36" i="1" a="1"/>
  <c r="CP29" i="1" a="1"/>
  <c r="CP49" i="1" a="1"/>
  <c r="CP74" i="1" a="1"/>
  <c r="CP17" i="1" a="1"/>
  <c r="CP79" i="1" a="1"/>
  <c r="CP16" i="1" a="1"/>
  <c r="CP104" i="1" a="1"/>
  <c r="CP23" i="1" a="1"/>
  <c r="CP84" i="1" a="1"/>
  <c r="CP54" i="1" a="1"/>
  <c r="CP82" i="1" a="1"/>
  <c r="CP34" i="1" a="1"/>
  <c r="CP39" i="1" a="1"/>
  <c r="CP64" i="1" a="1"/>
  <c r="CP60" i="1" a="1"/>
  <c r="CP47" i="1" a="1"/>
  <c r="CP75" i="1" a="1"/>
  <c r="CP15" i="1" a="1"/>
  <c r="CP62" i="1" a="1"/>
  <c r="CP43" i="1" a="1"/>
  <c r="CP5" i="1" a="1"/>
  <c r="CP89" i="1" a="1"/>
  <c r="CP51" i="1" a="1"/>
  <c r="CP44" i="1" a="1"/>
  <c r="CP76" i="1" a="1"/>
  <c r="CP37" i="1" a="1"/>
  <c r="CP109" i="1" a="1"/>
  <c r="CP33" i="1" a="1"/>
  <c r="CP113" i="1" a="1"/>
  <c r="CP14" i="1" a="1"/>
  <c r="CP63" i="1" a="1"/>
  <c r="CP3" i="1" a="1"/>
  <c r="CP9" i="1" a="1"/>
  <c r="CP78" i="1" a="1"/>
  <c r="CP35" i="1" a="1"/>
  <c r="CP6" i="1" a="1"/>
  <c r="CP88" i="1" a="1"/>
  <c r="CP57" i="1" a="1"/>
  <c r="CP25" i="1" a="1"/>
  <c r="CP81" i="1" a="1"/>
  <c r="CP93" i="1" a="1"/>
  <c r="CP72" i="1" a="1"/>
  <c r="CP96" i="1" a="1"/>
  <c r="CP70" i="1" a="1"/>
  <c r="CP55" i="1" a="1"/>
  <c r="CP45" i="1" a="1"/>
  <c r="CP42" i="1" a="1"/>
  <c r="CP114" i="1" a="1"/>
  <c r="CP38" i="1" a="1"/>
  <c r="CP12" i="1" a="1"/>
  <c r="CP53" i="1" a="1"/>
  <c r="CP77" i="1" a="1"/>
  <c r="CP102" i="1" a="1"/>
  <c r="CP90" i="1" a="1"/>
  <c r="CP100" i="1" a="1"/>
  <c r="P49" i="14" l="1"/>
  <c r="M50" i="14" a="1"/>
  <c r="M50" i="14" s="1"/>
  <c r="V48" i="14"/>
  <c r="AE48" i="14" s="1"/>
  <c r="U48" i="14"/>
  <c r="AD48" i="14" s="1"/>
  <c r="S48" i="14"/>
  <c r="AB48" i="14" s="1"/>
  <c r="Q48" i="14"/>
  <c r="Z48" i="14" s="1"/>
  <c r="W48" i="14"/>
  <c r="AF48" i="14" s="1"/>
  <c r="T48" i="14"/>
  <c r="AC48" i="14" s="1"/>
  <c r="R48" i="14"/>
  <c r="AA48" i="14" s="1"/>
  <c r="Y48" i="14"/>
  <c r="BR24" i="1"/>
  <c r="CU27" i="1"/>
  <c r="BR23" i="1"/>
  <c r="CU25" i="1"/>
  <c r="BR26" i="1"/>
  <c r="CU31" i="1"/>
  <c r="BR21" i="1"/>
  <c r="CU21" i="1"/>
  <c r="AV16" i="1"/>
  <c r="AV14" i="1"/>
  <c r="AQ8" i="1"/>
  <c r="AD6" i="1"/>
  <c r="AC6" i="1" s="1"/>
  <c r="AO20" i="1"/>
  <c r="AD48" i="1"/>
  <c r="AD82" i="1"/>
  <c r="AD78" i="1"/>
  <c r="AD104" i="1"/>
  <c r="AB104" i="1" s="1"/>
  <c r="AC104" i="1" s="1"/>
  <c r="AQ36" i="1"/>
  <c r="AQ70" i="1"/>
  <c r="AQ66" i="1"/>
  <c r="AQ32" i="1"/>
  <c r="AQ20" i="1"/>
  <c r="AQ104" i="1"/>
  <c r="AQ42" i="1"/>
  <c r="AD86" i="1"/>
  <c r="AQ86" i="1"/>
  <c r="AD44" i="1"/>
  <c r="AB44" i="1" s="1"/>
  <c r="AQ22" i="1"/>
  <c r="AQ90" i="1"/>
  <c r="AQ116" i="1"/>
  <c r="AD46" i="1"/>
  <c r="AB46" i="1" s="1"/>
  <c r="AD114" i="1"/>
  <c r="AB114" i="1" s="1"/>
  <c r="AD18" i="1"/>
  <c r="AB18" i="1" s="1"/>
  <c r="AQ74" i="1"/>
  <c r="AQ28" i="1"/>
  <c r="AQ100" i="1"/>
  <c r="AQ108" i="1"/>
  <c r="AD26" i="1"/>
  <c r="AB26" i="1" s="1"/>
  <c r="AQ38" i="1"/>
  <c r="AQ72" i="1"/>
  <c r="AD80" i="1"/>
  <c r="AB80" i="1" s="1"/>
  <c r="AQ58" i="1"/>
  <c r="AD84" i="1"/>
  <c r="AB84" i="1" s="1"/>
  <c r="AQ46" i="1"/>
  <c r="AD62" i="1"/>
  <c r="AB62" i="1" s="1"/>
  <c r="AQ96" i="1"/>
  <c r="AQ24" i="1"/>
  <c r="AD70" i="1"/>
  <c r="AD74" i="1"/>
  <c r="AB74" i="1" s="1"/>
  <c r="AQ14" i="1"/>
  <c r="AQ12" i="1"/>
  <c r="AD38" i="1"/>
  <c r="AD102" i="1"/>
  <c r="AB102" i="1" s="1"/>
  <c r="AQ82" i="1"/>
  <c r="AD100" i="1"/>
  <c r="AB100" i="1" s="1"/>
  <c r="AD66" i="1"/>
  <c r="AB66" i="1" s="1"/>
  <c r="AQ76" i="1"/>
  <c r="AD92" i="1"/>
  <c r="AB92" i="1" s="1"/>
  <c r="AQ68" i="1"/>
  <c r="AD116" i="1"/>
  <c r="AB116" i="1" s="1"/>
  <c r="AD12" i="1"/>
  <c r="AD30" i="1"/>
  <c r="AD36" i="1"/>
  <c r="AB36" i="1" s="1"/>
  <c r="AQ98" i="1"/>
  <c r="AD58" i="1"/>
  <c r="AB58" i="1" s="1"/>
  <c r="AV6" i="1"/>
  <c r="AV12" i="1"/>
  <c r="AV24" i="1"/>
  <c r="AV8" i="1"/>
  <c r="AQ16" i="1"/>
  <c r="AD32" i="1"/>
  <c r="AB32" i="1" s="1"/>
  <c r="AD94" i="1"/>
  <c r="AB94" i="1" s="1"/>
  <c r="AD76" i="1"/>
  <c r="AB76" i="1" s="1"/>
  <c r="AQ26" i="1"/>
  <c r="AQ62" i="1"/>
  <c r="AQ112" i="1"/>
  <c r="AD88" i="1"/>
  <c r="AB88" i="1" s="1"/>
  <c r="AD64" i="1"/>
  <c r="AB64" i="1" s="1"/>
  <c r="AQ78" i="1"/>
  <c r="AQ34" i="1"/>
  <c r="AQ84" i="1"/>
  <c r="AD106" i="1"/>
  <c r="AB106" i="1" s="1"/>
  <c r="AD56" i="1"/>
  <c r="AB56" i="1" s="1"/>
  <c r="AD14" i="1"/>
  <c r="AB14" i="1" s="1"/>
  <c r="AD72" i="1"/>
  <c r="AB72" i="1" s="1"/>
  <c r="AD22" i="1"/>
  <c r="AB22" i="1" s="1"/>
  <c r="AD54" i="1"/>
  <c r="AQ102" i="1"/>
  <c r="AQ30" i="1"/>
  <c r="AD98" i="1"/>
  <c r="AB98" i="1" s="1"/>
  <c r="AD42" i="1"/>
  <c r="AB42" i="1" s="1"/>
  <c r="AD118" i="1"/>
  <c r="AB118" i="1" s="1"/>
  <c r="AQ6" i="1"/>
  <c r="AQ94" i="1"/>
  <c r="AD34" i="1"/>
  <c r="AB34" i="1" s="1"/>
  <c r="AQ48" i="1"/>
  <c r="AQ110" i="1"/>
  <c r="AD20" i="1"/>
  <c r="AB20" i="1" s="1"/>
  <c r="AQ60" i="1"/>
  <c r="AQ64" i="1"/>
  <c r="AQ92" i="1"/>
  <c r="AQ80" i="1"/>
  <c r="AD108" i="1"/>
  <c r="AB108" i="1" s="1"/>
  <c r="AD90" i="1"/>
  <c r="AB90" i="1" s="1"/>
  <c r="AQ56" i="1"/>
  <c r="AQ50" i="1"/>
  <c r="AQ88" i="1"/>
  <c r="AQ54" i="1"/>
  <c r="AD28" i="1"/>
  <c r="AB28" i="1" s="1"/>
  <c r="AQ52" i="1"/>
  <c r="AQ106" i="1"/>
  <c r="AD110" i="1"/>
  <c r="AB110" i="1" s="1"/>
  <c r="AQ114" i="1"/>
  <c r="AD50" i="1"/>
  <c r="AB50" i="1" s="1"/>
  <c r="AD40" i="1"/>
  <c r="AB40" i="1" s="1"/>
  <c r="AD60" i="1"/>
  <c r="AB60" i="1" s="1"/>
  <c r="AD52" i="1"/>
  <c r="AB52" i="1" s="1"/>
  <c r="AD68" i="1"/>
  <c r="AB68" i="1" s="1"/>
  <c r="AD16" i="1"/>
  <c r="AB16" i="1" s="1"/>
  <c r="AQ118" i="1"/>
  <c r="AQ44" i="1"/>
  <c r="AD8" i="1"/>
  <c r="AB8" i="1" s="1"/>
  <c r="AD96" i="1"/>
  <c r="AB96" i="1" s="1"/>
  <c r="AQ18" i="1"/>
  <c r="AD24" i="1"/>
  <c r="AB24" i="1" s="1"/>
  <c r="AD112" i="1"/>
  <c r="AB112" i="1" s="1"/>
  <c r="AQ40" i="1"/>
  <c r="E18" i="3"/>
  <c r="F18" i="3"/>
  <c r="D18" i="3"/>
  <c r="C20" i="3"/>
  <c r="E20" i="3"/>
  <c r="F20" i="3"/>
  <c r="E8" i="3"/>
  <c r="F8" i="3"/>
  <c r="D8" i="3"/>
  <c r="CP89" i="1"/>
  <c r="CP72" i="1"/>
  <c r="CP80" i="1"/>
  <c r="CP33" i="1"/>
  <c r="CP31" i="1"/>
  <c r="CP106" i="1"/>
  <c r="CP103" i="1"/>
  <c r="CP112" i="1"/>
  <c r="CP32" i="1"/>
  <c r="CP25" i="1"/>
  <c r="CP82" i="1"/>
  <c r="CP108" i="1"/>
  <c r="CP22" i="1"/>
  <c r="CP23" i="1"/>
  <c r="CP37" i="1"/>
  <c r="CP94" i="1"/>
  <c r="CP98" i="1"/>
  <c r="CP109" i="1"/>
  <c r="CP73" i="1"/>
  <c r="CP29" i="1"/>
  <c r="CP52" i="1"/>
  <c r="CP27" i="1"/>
  <c r="CP83" i="1"/>
  <c r="CP97" i="1"/>
  <c r="CP39" i="1"/>
  <c r="CP54" i="1"/>
  <c r="CP76" i="1"/>
  <c r="CP45" i="1"/>
  <c r="CP44" i="1"/>
  <c r="CP92" i="1"/>
  <c r="CP75" i="1"/>
  <c r="CP40" i="1"/>
  <c r="CP30" i="1"/>
  <c r="CP43" i="1"/>
  <c r="CP68" i="1"/>
  <c r="CP50" i="1"/>
  <c r="CP26" i="1"/>
  <c r="CP93" i="1"/>
  <c r="CP12" i="1"/>
  <c r="CP99" i="1"/>
  <c r="CP49" i="1"/>
  <c r="CP64" i="1"/>
  <c r="CP20" i="1"/>
  <c r="CP42" i="1"/>
  <c r="CP55" i="1"/>
  <c r="CP47" i="1"/>
  <c r="CP57" i="1"/>
  <c r="CP16" i="1"/>
  <c r="CP3" i="1"/>
  <c r="CP107" i="1"/>
  <c r="CP4" i="1"/>
  <c r="CP79" i="1"/>
  <c r="CP36" i="1"/>
  <c r="CP74" i="1"/>
  <c r="CP59" i="1"/>
  <c r="CP13" i="1"/>
  <c r="CP63" i="1"/>
  <c r="CP8" i="1"/>
  <c r="CP51" i="1"/>
  <c r="CP62" i="1"/>
  <c r="CP18" i="1"/>
  <c r="CP14" i="1"/>
  <c r="CP96" i="1"/>
  <c r="CP56" i="1"/>
  <c r="CP78" i="1"/>
  <c r="CP67" i="1"/>
  <c r="CP116" i="1"/>
  <c r="CP111" i="1"/>
  <c r="CP102" i="1"/>
  <c r="CP87" i="1"/>
  <c r="CP101" i="1"/>
  <c r="CP113" i="1"/>
  <c r="CP19" i="1"/>
  <c r="CP90" i="1"/>
  <c r="CP71" i="1"/>
  <c r="CP85" i="1"/>
  <c r="CP84" i="1"/>
  <c r="CP61" i="1"/>
  <c r="CP9" i="1"/>
  <c r="CP48" i="1"/>
  <c r="CP81" i="1"/>
  <c r="CP69" i="1"/>
  <c r="CP105" i="1"/>
  <c r="CP34" i="1"/>
  <c r="CP15" i="1"/>
  <c r="CP77" i="1"/>
  <c r="CP65" i="1"/>
  <c r="CP17" i="1"/>
  <c r="CP95" i="1"/>
  <c r="CP91" i="1"/>
  <c r="CP115" i="1"/>
  <c r="CP6" i="1"/>
  <c r="CP7" i="1"/>
  <c r="CP60" i="1"/>
  <c r="CP35" i="1"/>
  <c r="CP110" i="1"/>
  <c r="CP70" i="1"/>
  <c r="CP66" i="1"/>
  <c r="CP38" i="1"/>
  <c r="CP88" i="1"/>
  <c r="CP86" i="1"/>
  <c r="CP46" i="1"/>
  <c r="CP21" i="1"/>
  <c r="CP58" i="1"/>
  <c r="CP24" i="1"/>
  <c r="CP28" i="1"/>
  <c r="CP104" i="1"/>
  <c r="CP53" i="1"/>
  <c r="CP5" i="1"/>
  <c r="CP114" i="1"/>
  <c r="CP100" i="1"/>
  <c r="CV28" i="1" a="1"/>
  <c r="CV64" i="1" a="1"/>
  <c r="P50" i="14" l="1"/>
  <c r="M51" i="14" a="1"/>
  <c r="M51" i="14" s="1"/>
  <c r="Y49" i="14"/>
  <c r="W49" i="14"/>
  <c r="AF49" i="14" s="1"/>
  <c r="U49" i="14"/>
  <c r="AD49" i="14" s="1"/>
  <c r="T49" i="14"/>
  <c r="AC49" i="14" s="1"/>
  <c r="S49" i="14"/>
  <c r="AB49" i="14" s="1"/>
  <c r="Q49" i="14"/>
  <c r="Z49" i="14" s="1"/>
  <c r="V49" i="14"/>
  <c r="AE49" i="14" s="1"/>
  <c r="R49" i="14"/>
  <c r="AA49" i="14" s="1"/>
  <c r="AB82" i="1"/>
  <c r="AC82" i="1" s="1"/>
  <c r="AB38" i="1"/>
  <c r="AC38" i="1" s="1"/>
  <c r="AB48" i="1"/>
  <c r="AC48" i="1" s="1"/>
  <c r="AB86" i="1"/>
  <c r="AC86" i="1" s="1"/>
  <c r="AB70" i="1"/>
  <c r="AC70" i="1" s="1"/>
  <c r="AB78" i="1"/>
  <c r="AC78" i="1" s="1"/>
  <c r="AB54" i="1"/>
  <c r="AC54" i="1" s="1"/>
  <c r="AB30" i="1"/>
  <c r="AC30" i="1" s="1"/>
  <c r="CV28" i="1"/>
  <c r="CV64" i="1"/>
  <c r="AC24" i="1"/>
  <c r="AC52" i="1"/>
  <c r="AC28" i="1"/>
  <c r="AC72" i="1"/>
  <c r="AC88" i="1"/>
  <c r="AC36" i="1"/>
  <c r="AC100" i="1"/>
  <c r="AC84" i="1"/>
  <c r="AC46" i="1"/>
  <c r="AC44" i="1"/>
  <c r="AC60" i="1"/>
  <c r="AC110" i="1"/>
  <c r="AC90" i="1"/>
  <c r="AC118" i="1"/>
  <c r="AC14" i="1"/>
  <c r="AC94" i="1"/>
  <c r="AC92" i="1"/>
  <c r="AC26" i="1"/>
  <c r="AC96" i="1"/>
  <c r="AC16" i="1"/>
  <c r="AC40" i="1"/>
  <c r="AC108" i="1"/>
  <c r="AC34" i="1"/>
  <c r="AC42" i="1"/>
  <c r="AC56" i="1"/>
  <c r="AC32" i="1"/>
  <c r="AC58" i="1"/>
  <c r="AR12" i="1"/>
  <c r="AC102" i="1"/>
  <c r="AC74" i="1"/>
  <c r="AC62" i="1"/>
  <c r="AC80" i="1"/>
  <c r="AC18" i="1"/>
  <c r="AC112" i="1"/>
  <c r="AC8" i="1"/>
  <c r="AC68" i="1"/>
  <c r="AC50" i="1"/>
  <c r="AC20" i="1"/>
  <c r="AC98" i="1"/>
  <c r="AC22" i="1"/>
  <c r="AC106" i="1"/>
  <c r="AC64" i="1"/>
  <c r="AC116" i="1"/>
  <c r="AC66" i="1"/>
  <c r="AC114" i="1"/>
  <c r="BA6" i="1"/>
  <c r="AZ6" i="1" s="1"/>
  <c r="X14" i="1" s="1"/>
  <c r="BB7" i="1"/>
  <c r="BB6" i="1"/>
  <c r="AZ7" i="1" s="1"/>
  <c r="BA7" i="1"/>
  <c r="AC76" i="1"/>
  <c r="CV52" i="1" a="1"/>
  <c r="CV102" i="1" a="1"/>
  <c r="CV41" i="1" a="1"/>
  <c r="CV22" i="1" a="1"/>
  <c r="CV86" i="1" a="1"/>
  <c r="CV109" i="1" a="1"/>
  <c r="CV82" i="1" a="1"/>
  <c r="CV80" i="1" a="1"/>
  <c r="CV66" i="1" a="1"/>
  <c r="CV43" i="1" a="1"/>
  <c r="CV92" i="1" a="1"/>
  <c r="CV115" i="1" a="1"/>
  <c r="CV83" i="1" a="1"/>
  <c r="CV67" i="1" a="1"/>
  <c r="CV60" i="1" a="1"/>
  <c r="CV110" i="1" a="1"/>
  <c r="CV46" i="1" a="1"/>
  <c r="CV61" i="1" a="1"/>
  <c r="CV104" i="1" a="1"/>
  <c r="CV111" i="1" a="1"/>
  <c r="CV17" i="1" a="1"/>
  <c r="CV19" i="1" a="1"/>
  <c r="CV98" i="1" a="1"/>
  <c r="CV68" i="1" a="1"/>
  <c r="CV32" i="1" a="1"/>
  <c r="CV89" i="1" a="1"/>
  <c r="CV57" i="1" a="1"/>
  <c r="CV95" i="1" a="1"/>
  <c r="CV3" i="1" a="1"/>
  <c r="CV54" i="1" a="1"/>
  <c r="CV79" i="1" a="1"/>
  <c r="CV75" i="1" a="1"/>
  <c r="CV18" i="1" a="1"/>
  <c r="CV15" i="1" a="1"/>
  <c r="CV107" i="1" a="1"/>
  <c r="CV30" i="1" a="1"/>
  <c r="CV105" i="1" a="1"/>
  <c r="CV56" i="1" a="1"/>
  <c r="CV25" i="1" a="1"/>
  <c r="CV7" i="1" a="1"/>
  <c r="CV55" i="1" a="1"/>
  <c r="CV14" i="1" a="1"/>
  <c r="CV8" i="1" a="1"/>
  <c r="CV114" i="1" a="1"/>
  <c r="CV9" i="1" a="1"/>
  <c r="CV62" i="1" a="1"/>
  <c r="CV49" i="1" a="1"/>
  <c r="CV108" i="1" a="1"/>
  <c r="CV31" i="1" a="1"/>
  <c r="CV87" i="1" a="1"/>
  <c r="CV39" i="1" a="1"/>
  <c r="CV78" i="1" a="1"/>
  <c r="CV99" i="1" a="1"/>
  <c r="CV103" i="1" a="1"/>
  <c r="CV34" i="1" a="1"/>
  <c r="CV27" i="1" a="1"/>
  <c r="CV71" i="1" a="1"/>
  <c r="CV96" i="1" a="1"/>
  <c r="CV84" i="1" a="1"/>
  <c r="CV63" i="1" a="1"/>
  <c r="CV26" i="1" a="1"/>
  <c r="CV33" i="1" a="1"/>
  <c r="CV23" i="1" a="1"/>
  <c r="CV70" i="1" a="1"/>
  <c r="CV53" i="1" a="1"/>
  <c r="CV112" i="1" a="1"/>
  <c r="CV12" i="1" a="1"/>
  <c r="CV29" i="1" a="1"/>
  <c r="CV50" i="1" a="1"/>
  <c r="CV85" i="1" a="1"/>
  <c r="CV106" i="1" a="1"/>
  <c r="CV40" i="1" a="1"/>
  <c r="CV48" i="1" a="1"/>
  <c r="CV42" i="1" a="1"/>
  <c r="CV5" i="1" a="1"/>
  <c r="CV72" i="1" a="1"/>
  <c r="CV44" i="1" a="1"/>
  <c r="CV88" i="1" a="1"/>
  <c r="CV77" i="1" a="1"/>
  <c r="CV37" i="1" a="1"/>
  <c r="CV74" i="1" a="1"/>
  <c r="CV76" i="1" a="1"/>
  <c r="CV94" i="1" a="1"/>
  <c r="CV58" i="1" a="1"/>
  <c r="CV65" i="1" a="1"/>
  <c r="CV90" i="1" a="1"/>
  <c r="CV81" i="1" a="1"/>
  <c r="CV97" i="1" a="1"/>
  <c r="CV13" i="1" a="1"/>
  <c r="CV73" i="1" a="1"/>
  <c r="CV4" i="1" a="1"/>
  <c r="CV69" i="1" a="1"/>
  <c r="CV101" i="1" a="1"/>
  <c r="CV59" i="1" a="1"/>
  <c r="CV91" i="1" a="1"/>
  <c r="CV93" i="1" a="1"/>
  <c r="CV113" i="1" a="1"/>
  <c r="CV47" i="1" a="1"/>
  <c r="CV16" i="1" a="1"/>
  <c r="CV6" i="1" a="1"/>
  <c r="CV45" i="1" a="1"/>
  <c r="CV21" i="1" a="1"/>
  <c r="CV51" i="1" a="1"/>
  <c r="CV35" i="1" a="1"/>
  <c r="CV24" i="1" a="1"/>
  <c r="CV36" i="1" a="1"/>
  <c r="CV100" i="1" a="1"/>
  <c r="CV38" i="1" a="1"/>
  <c r="CV116" i="1" a="1"/>
  <c r="CV20" i="1" a="1"/>
  <c r="X6" i="1" l="1"/>
  <c r="X8" i="1"/>
  <c r="CV5" i="1"/>
  <c r="CV27" i="1"/>
  <c r="CV73" i="1"/>
  <c r="P51" i="14"/>
  <c r="M52" i="14" a="1"/>
  <c r="M52" i="14" s="1"/>
  <c r="R50" i="14"/>
  <c r="AA50" i="14" s="1"/>
  <c r="Q50" i="14"/>
  <c r="Z50" i="14" s="1"/>
  <c r="W50" i="14"/>
  <c r="AF50" i="14" s="1"/>
  <c r="V50" i="14"/>
  <c r="AE50" i="14" s="1"/>
  <c r="U50" i="14"/>
  <c r="AD50" i="14" s="1"/>
  <c r="Y50" i="14"/>
  <c r="T50" i="14"/>
  <c r="AC50" i="14" s="1"/>
  <c r="S50" i="14"/>
  <c r="AB50" i="14" s="1"/>
  <c r="CV58" i="1"/>
  <c r="CV18" i="1"/>
  <c r="CV32" i="1"/>
  <c r="CV71" i="1"/>
  <c r="CV45" i="1"/>
  <c r="CV108" i="1"/>
  <c r="CV115" i="1"/>
  <c r="CV9" i="1"/>
  <c r="CV82" i="1"/>
  <c r="CV78" i="1"/>
  <c r="CV20" i="1"/>
  <c r="CV39" i="1"/>
  <c r="CV8" i="1"/>
  <c r="CV46" i="1"/>
  <c r="CV34" i="1"/>
  <c r="CV33" i="1"/>
  <c r="CV15" i="1"/>
  <c r="CV70" i="1"/>
  <c r="CV57" i="1"/>
  <c r="CV110" i="1"/>
  <c r="CV103" i="1"/>
  <c r="CV12" i="1"/>
  <c r="CV83" i="1"/>
  <c r="CV61" i="1"/>
  <c r="CV23" i="1"/>
  <c r="CV86" i="1"/>
  <c r="CV113" i="1"/>
  <c r="CV63" i="1"/>
  <c r="CV109" i="1"/>
  <c r="CV38" i="1"/>
  <c r="CV84" i="1"/>
  <c r="CV4" i="1"/>
  <c r="CV37" i="1"/>
  <c r="CV111" i="1"/>
  <c r="CV94" i="1"/>
  <c r="CV44" i="1"/>
  <c r="CV50" i="1"/>
  <c r="CV48" i="1"/>
  <c r="CV17" i="1"/>
  <c r="CV72" i="1"/>
  <c r="CV47" i="1"/>
  <c r="CV40" i="1"/>
  <c r="CV89" i="1"/>
  <c r="CV92" i="1"/>
  <c r="CV106" i="1"/>
  <c r="CV55" i="1"/>
  <c r="CV104" i="1"/>
  <c r="CV74" i="1"/>
  <c r="CV114" i="1"/>
  <c r="CV105" i="1"/>
  <c r="CV29" i="1"/>
  <c r="CV91" i="1"/>
  <c r="CV51" i="1"/>
  <c r="CV14" i="1"/>
  <c r="CV96" i="1"/>
  <c r="CV42" i="1"/>
  <c r="CV59" i="1"/>
  <c r="CV21" i="1"/>
  <c r="CV62" i="1"/>
  <c r="CV65" i="1"/>
  <c r="CV7" i="1"/>
  <c r="CV81" i="1"/>
  <c r="CV53" i="1"/>
  <c r="CV26" i="1"/>
  <c r="CV75" i="1"/>
  <c r="CV98" i="1"/>
  <c r="CV68" i="1"/>
  <c r="CV43" i="1"/>
  <c r="CV76" i="1"/>
  <c r="CV97" i="1"/>
  <c r="CV99" i="1"/>
  <c r="CV67" i="1"/>
  <c r="CV95" i="1"/>
  <c r="CV85" i="1"/>
  <c r="CV77" i="1"/>
  <c r="CV22" i="1"/>
  <c r="CV25" i="1"/>
  <c r="CV13" i="1"/>
  <c r="CV112" i="1"/>
  <c r="CV80" i="1"/>
  <c r="CV24" i="1"/>
  <c r="CV88" i="1"/>
  <c r="CV107" i="1"/>
  <c r="CV3" i="1"/>
  <c r="CV35" i="1"/>
  <c r="CV52" i="1"/>
  <c r="CV87" i="1"/>
  <c r="CV66" i="1"/>
  <c r="CV36" i="1"/>
  <c r="CV56" i="1"/>
  <c r="CV49" i="1"/>
  <c r="CV30" i="1"/>
  <c r="CV101" i="1"/>
  <c r="CV41" i="1"/>
  <c r="CV116" i="1"/>
  <c r="CV79" i="1"/>
  <c r="CV6" i="1"/>
  <c r="CV100" i="1"/>
  <c r="CV90" i="1"/>
  <c r="CV60" i="1"/>
  <c r="CV102" i="1"/>
  <c r="CV31" i="1"/>
  <c r="CV19" i="1"/>
  <c r="CV54" i="1"/>
  <c r="CV69" i="1"/>
  <c r="CV16" i="1"/>
  <c r="CV93" i="1"/>
  <c r="B33" i="4"/>
  <c r="H33" i="4" s="1"/>
  <c r="B31" i="3"/>
  <c r="B33" i="3"/>
  <c r="P52" i="14" l="1"/>
  <c r="M53" i="14" a="1"/>
  <c r="M53" i="14" s="1"/>
  <c r="T51" i="14"/>
  <c r="AC51" i="14" s="1"/>
  <c r="S51" i="14"/>
  <c r="AB51" i="14" s="1"/>
  <c r="Q51" i="14"/>
  <c r="Z51" i="14" s="1"/>
  <c r="Y51" i="14"/>
  <c r="W51" i="14"/>
  <c r="AF51" i="14" s="1"/>
  <c r="V51" i="14"/>
  <c r="AE51" i="14" s="1"/>
  <c r="U51" i="14"/>
  <c r="AD51" i="14" s="1"/>
  <c r="R51" i="14"/>
  <c r="AA51" i="14" s="1"/>
  <c r="B49" i="4"/>
  <c r="H49" i="4" s="1"/>
  <c r="B9" i="4"/>
  <c r="B48" i="4"/>
  <c r="H48" i="4" s="1"/>
  <c r="B28" i="4"/>
  <c r="F28" i="4" s="1"/>
  <c r="B8" i="4"/>
  <c r="B22" i="4"/>
  <c r="G22" i="4" s="1"/>
  <c r="B37" i="4"/>
  <c r="G37" i="4" s="1"/>
  <c r="B59" i="4"/>
  <c r="E59" i="4" s="1"/>
  <c r="B35" i="4"/>
  <c r="H35" i="4" s="1"/>
  <c r="B15" i="4"/>
  <c r="B42" i="4"/>
  <c r="E42" i="4" s="1"/>
  <c r="B32" i="4"/>
  <c r="C32" i="4" s="1"/>
  <c r="B45" i="4"/>
  <c r="H45" i="4" s="1"/>
  <c r="B19" i="4"/>
  <c r="B17" i="4"/>
  <c r="B12" i="4"/>
  <c r="B63" i="4"/>
  <c r="B54" i="4"/>
  <c r="B56" i="4"/>
  <c r="G56" i="4" s="1"/>
  <c r="B38" i="4"/>
  <c r="C38" i="4" s="1"/>
  <c r="B43" i="4"/>
  <c r="C43" i="4" s="1"/>
  <c r="B10" i="4"/>
  <c r="B16" i="4"/>
  <c r="B13" i="4"/>
  <c r="B62" i="4"/>
  <c r="C62" i="4" s="1"/>
  <c r="B60" i="4"/>
  <c r="B46" i="4"/>
  <c r="G46" i="4" s="1"/>
  <c r="B47" i="4"/>
  <c r="G47" i="4" s="1"/>
  <c r="B18" i="4"/>
  <c r="B40" i="4"/>
  <c r="E40" i="4" s="1"/>
  <c r="B61" i="4"/>
  <c r="H61" i="4" s="1"/>
  <c r="B27" i="4"/>
  <c r="C27" i="4" s="1"/>
  <c r="B6" i="4"/>
  <c r="B52" i="4"/>
  <c r="G52" i="4" s="1"/>
  <c r="B58" i="4"/>
  <c r="G58" i="4" s="1"/>
  <c r="B21" i="4"/>
  <c r="C21" i="4" s="1"/>
  <c r="B23" i="4"/>
  <c r="G23" i="4" s="1"/>
  <c r="B34" i="4"/>
  <c r="B36" i="4"/>
  <c r="D36" i="4" s="1"/>
  <c r="B53" i="4"/>
  <c r="F53" i="4" s="1"/>
  <c r="B55" i="4"/>
  <c r="D55" i="4" s="1"/>
  <c r="B7" i="4"/>
  <c r="B25" i="4"/>
  <c r="D25" i="4" s="1"/>
  <c r="B20" i="4"/>
  <c r="E20" i="4" s="1"/>
  <c r="B30" i="4"/>
  <c r="D30" i="4" s="1"/>
  <c r="B39" i="4"/>
  <c r="E39" i="4" s="1"/>
  <c r="B57" i="4"/>
  <c r="F57" i="4" s="1"/>
  <c r="B50" i="4"/>
  <c r="G50" i="4" s="1"/>
  <c r="B51" i="4"/>
  <c r="G51" i="4" s="1"/>
  <c r="B26" i="4"/>
  <c r="G26" i="4" s="1"/>
  <c r="B44" i="4"/>
  <c r="F44" i="4" s="1"/>
  <c r="B14" i="4"/>
  <c r="B31" i="4"/>
  <c r="F31" i="4" s="1"/>
  <c r="B41" i="4"/>
  <c r="F41" i="4" s="1"/>
  <c r="B24" i="4"/>
  <c r="D24" i="4" s="1"/>
  <c r="B29" i="4"/>
  <c r="D29" i="4" s="1"/>
  <c r="B11" i="4"/>
  <c r="B64" i="4"/>
  <c r="F64" i="4" s="1"/>
  <c r="C31" i="3"/>
  <c r="D31" i="3"/>
  <c r="E31" i="3"/>
  <c r="F31" i="3"/>
  <c r="C33" i="3"/>
  <c r="F33" i="3"/>
  <c r="E33" i="3"/>
  <c r="D33" i="3"/>
  <c r="C33" i="4"/>
  <c r="F33" i="4"/>
  <c r="E33" i="4"/>
  <c r="D33" i="4"/>
  <c r="G33" i="4"/>
  <c r="P53" i="14" l="1"/>
  <c r="M54" i="14" a="1"/>
  <c r="M54" i="14" s="1"/>
  <c r="Y52" i="14"/>
  <c r="W52" i="14"/>
  <c r="AF52" i="14" s="1"/>
  <c r="U52" i="14"/>
  <c r="AD52" i="14" s="1"/>
  <c r="T52" i="14"/>
  <c r="AC52" i="14" s="1"/>
  <c r="S52" i="14"/>
  <c r="AB52" i="14" s="1"/>
  <c r="V52" i="14"/>
  <c r="AE52" i="14" s="1"/>
  <c r="R52" i="14"/>
  <c r="AA52" i="14" s="1"/>
  <c r="Q52" i="14"/>
  <c r="Z52" i="14" s="1"/>
  <c r="G11" i="4"/>
  <c r="H11" i="4"/>
  <c r="F11" i="4"/>
  <c r="J16" i="4" s="1"/>
  <c r="E6" i="4"/>
  <c r="F6" i="4"/>
  <c r="J4" i="4" s="1"/>
  <c r="G6" i="4"/>
  <c r="H6" i="4"/>
  <c r="F13" i="4"/>
  <c r="H13" i="4"/>
  <c r="G13" i="4"/>
  <c r="H12" i="4"/>
  <c r="F12" i="4"/>
  <c r="G12" i="4"/>
  <c r="H16" i="4"/>
  <c r="G16" i="4"/>
  <c r="F16" i="4"/>
  <c r="F17" i="4"/>
  <c r="G17" i="4"/>
  <c r="H17" i="4"/>
  <c r="H10" i="4"/>
  <c r="F10" i="4"/>
  <c r="J14" i="4" s="1"/>
  <c r="G10" i="4"/>
  <c r="G19" i="4"/>
  <c r="H19" i="4"/>
  <c r="F19" i="4"/>
  <c r="C18" i="4"/>
  <c r="F18" i="4"/>
  <c r="G18" i="4"/>
  <c r="H18" i="4"/>
  <c r="E8" i="4"/>
  <c r="H8" i="4"/>
  <c r="F8" i="4"/>
  <c r="J10" i="4" s="1"/>
  <c r="G8" i="4"/>
  <c r="F14" i="4"/>
  <c r="G14" i="4"/>
  <c r="H14" i="4"/>
  <c r="G7" i="4"/>
  <c r="H7" i="4"/>
  <c r="F7" i="4"/>
  <c r="J8" i="4" s="1"/>
  <c r="E15" i="4"/>
  <c r="F15" i="4"/>
  <c r="G15" i="4"/>
  <c r="H15" i="4"/>
  <c r="E9" i="4"/>
  <c r="F9" i="4"/>
  <c r="J12" i="4" s="1"/>
  <c r="O1" i="4" s="1"/>
  <c r="G9" i="4"/>
  <c r="H9" i="4"/>
  <c r="H41" i="4"/>
  <c r="D22" i="4"/>
  <c r="E22" i="4"/>
  <c r="D15" i="4"/>
  <c r="C9" i="4"/>
  <c r="D45" i="4"/>
  <c r="C7" i="4"/>
  <c r="C10" i="4"/>
  <c r="D9" i="4"/>
  <c r="F22" i="4"/>
  <c r="H26" i="4"/>
  <c r="D7" i="4"/>
  <c r="C15" i="4"/>
  <c r="C39" i="4"/>
  <c r="F26" i="4"/>
  <c r="C51" i="4"/>
  <c r="G49" i="4"/>
  <c r="E62" i="4"/>
  <c r="H43" i="4"/>
  <c r="F35" i="4"/>
  <c r="G45" i="4"/>
  <c r="F23" i="4"/>
  <c r="E43" i="4"/>
  <c r="F49" i="4"/>
  <c r="E49" i="4"/>
  <c r="D8" i="4"/>
  <c r="E35" i="4"/>
  <c r="G31" i="4"/>
  <c r="F45" i="4"/>
  <c r="C6" i="4"/>
  <c r="C49" i="4"/>
  <c r="G48" i="4"/>
  <c r="F48" i="4"/>
  <c r="H37" i="4"/>
  <c r="D42" i="4"/>
  <c r="D48" i="4"/>
  <c r="C42" i="4"/>
  <c r="C48" i="4"/>
  <c r="F42" i="4"/>
  <c r="D37" i="4"/>
  <c r="D61" i="4"/>
  <c r="F37" i="4"/>
  <c r="H42" i="4"/>
  <c r="C37" i="4"/>
  <c r="H40" i="4"/>
  <c r="E37" i="4"/>
  <c r="E48" i="4"/>
  <c r="E52" i="4"/>
  <c r="G42" i="4"/>
  <c r="H64" i="4"/>
  <c r="E7" i="4"/>
  <c r="C40" i="4"/>
  <c r="E19" i="4"/>
  <c r="G39" i="4"/>
  <c r="C26" i="4"/>
  <c r="E10" i="4"/>
  <c r="G64" i="4"/>
  <c r="D64" i="4"/>
  <c r="D40" i="4"/>
  <c r="E41" i="4"/>
  <c r="D52" i="4"/>
  <c r="G40" i="4"/>
  <c r="G41" i="4"/>
  <c r="C41" i="4"/>
  <c r="D10" i="4"/>
  <c r="D19" i="4"/>
  <c r="C52" i="4"/>
  <c r="C19" i="4"/>
  <c r="D26" i="4"/>
  <c r="H39" i="4"/>
  <c r="F39" i="4"/>
  <c r="D39" i="4"/>
  <c r="C64" i="4"/>
  <c r="D41" i="4"/>
  <c r="F40" i="4"/>
  <c r="F52" i="4"/>
  <c r="H52" i="4"/>
  <c r="E26" i="4"/>
  <c r="E23" i="4"/>
  <c r="F55" i="4"/>
  <c r="C45" i="4"/>
  <c r="D35" i="4"/>
  <c r="G35" i="4"/>
  <c r="D43" i="4"/>
  <c r="F43" i="4"/>
  <c r="E30" i="4"/>
  <c r="C35" i="4"/>
  <c r="D49" i="4"/>
  <c r="E45" i="4"/>
  <c r="C8" i="4"/>
  <c r="G43" i="4"/>
  <c r="D11" i="4"/>
  <c r="D31" i="4"/>
  <c r="H62" i="4"/>
  <c r="H30" i="4"/>
  <c r="G30" i="4"/>
  <c r="E55" i="4"/>
  <c r="D18" i="4"/>
  <c r="E51" i="4"/>
  <c r="H31" i="4"/>
  <c r="F30" i="4"/>
  <c r="D6" i="4"/>
  <c r="J6" i="6"/>
  <c r="J28" i="6" s="1"/>
  <c r="A28" i="6" s="1"/>
  <c r="C30" i="4"/>
  <c r="C23" i="4"/>
  <c r="H23" i="4"/>
  <c r="G55" i="4"/>
  <c r="H55" i="4"/>
  <c r="E18" i="4"/>
  <c r="D23" i="4"/>
  <c r="C55" i="4"/>
  <c r="H51" i="4"/>
  <c r="C31" i="4"/>
  <c r="E31" i="4"/>
  <c r="E11" i="4"/>
  <c r="G62" i="4"/>
  <c r="C11" i="4"/>
  <c r="D62" i="4"/>
  <c r="F62" i="4"/>
  <c r="F51" i="4"/>
  <c r="D51" i="4"/>
  <c r="J11" i="6"/>
  <c r="B11" i="6" s="1"/>
  <c r="B18" i="17" s="1"/>
  <c r="J21" i="6"/>
  <c r="B21" i="6" s="1"/>
  <c r="B18" i="19" s="1"/>
  <c r="E64" i="4"/>
  <c r="J16" i="6"/>
  <c r="B16" i="6" s="1"/>
  <c r="B18" i="18" s="1"/>
  <c r="F36" i="4"/>
  <c r="F61" i="4"/>
  <c r="F24" i="4"/>
  <c r="F46" i="4"/>
  <c r="E25" i="4"/>
  <c r="C36" i="4"/>
  <c r="H44" i="4"/>
  <c r="D46" i="4"/>
  <c r="E32" i="4"/>
  <c r="D59" i="4"/>
  <c r="D14" i="4"/>
  <c r="F59" i="4"/>
  <c r="C12" i="4"/>
  <c r="D47" i="4"/>
  <c r="E28" i="4"/>
  <c r="D38" i="4"/>
  <c r="C47" i="4"/>
  <c r="G28" i="4"/>
  <c r="C28" i="4"/>
  <c r="H59" i="4"/>
  <c r="C59" i="4"/>
  <c r="D27" i="4"/>
  <c r="G32" i="4"/>
  <c r="E12" i="4"/>
  <c r="D12" i="4"/>
  <c r="F47" i="4"/>
  <c r="G53" i="4"/>
  <c r="E13" i="4"/>
  <c r="H28" i="4"/>
  <c r="D13" i="4"/>
  <c r="E53" i="4"/>
  <c r="D21" i="4"/>
  <c r="F50" i="4"/>
  <c r="G21" i="4"/>
  <c r="E27" i="4"/>
  <c r="G59" i="4"/>
  <c r="E21" i="4"/>
  <c r="H27" i="4"/>
  <c r="H21" i="4"/>
  <c r="H47" i="4"/>
  <c r="C53" i="4"/>
  <c r="F38" i="4"/>
  <c r="H38" i="4"/>
  <c r="E47" i="4"/>
  <c r="C14" i="4"/>
  <c r="C13" i="4"/>
  <c r="H53" i="4"/>
  <c r="D28" i="4"/>
  <c r="D32" i="4"/>
  <c r="F21" i="4"/>
  <c r="F27" i="4"/>
  <c r="E50" i="4"/>
  <c r="D50" i="4"/>
  <c r="H50" i="4"/>
  <c r="F32" i="4"/>
  <c r="D20" i="4"/>
  <c r="E14" i="4"/>
  <c r="G38" i="4"/>
  <c r="C20" i="4"/>
  <c r="D53" i="4"/>
  <c r="C50" i="4"/>
  <c r="H32" i="4"/>
  <c r="G27" i="4"/>
  <c r="F20" i="4"/>
  <c r="H20" i="4"/>
  <c r="E38" i="4"/>
  <c r="G20" i="4"/>
  <c r="C29" i="4"/>
  <c r="E29" i="4"/>
  <c r="H22" i="4"/>
  <c r="C22" i="4"/>
  <c r="G29" i="4"/>
  <c r="F29" i="4"/>
  <c r="H29" i="4"/>
  <c r="F58" i="4"/>
  <c r="H46" i="4"/>
  <c r="E46" i="4"/>
  <c r="C57" i="4"/>
  <c r="H25" i="4"/>
  <c r="C58" i="4"/>
  <c r="C16" i="4"/>
  <c r="D17" i="4"/>
  <c r="D34" i="4"/>
  <c r="F34" i="4"/>
  <c r="H34" i="4"/>
  <c r="E34" i="4"/>
  <c r="G34" i="4"/>
  <c r="C34" i="4"/>
  <c r="C60" i="4"/>
  <c r="D60" i="4"/>
  <c r="H60" i="4"/>
  <c r="G60" i="4"/>
  <c r="E60" i="4"/>
  <c r="F60" i="4"/>
  <c r="H54" i="4"/>
  <c r="G54" i="4"/>
  <c r="C54" i="4"/>
  <c r="E54" i="4"/>
  <c r="F54" i="4"/>
  <c r="D54" i="4"/>
  <c r="H24" i="4"/>
  <c r="F56" i="4"/>
  <c r="E58" i="4"/>
  <c r="H36" i="4"/>
  <c r="H58" i="4"/>
  <c r="C46" i="4"/>
  <c r="H57" i="4"/>
  <c r="C25" i="4"/>
  <c r="D58" i="4"/>
  <c r="E16" i="4"/>
  <c r="C44" i="4"/>
  <c r="G61" i="4"/>
  <c r="D63" i="4"/>
  <c r="F63" i="4"/>
  <c r="H63" i="4"/>
  <c r="C63" i="4"/>
  <c r="E63" i="4"/>
  <c r="G63" i="4"/>
  <c r="C56" i="4"/>
  <c r="G36" i="4"/>
  <c r="H56" i="4"/>
  <c r="E56" i="4"/>
  <c r="E24" i="4"/>
  <c r="G24" i="4"/>
  <c r="C24" i="4"/>
  <c r="D56" i="4"/>
  <c r="E36" i="4"/>
  <c r="G44" i="4"/>
  <c r="C61" i="4"/>
  <c r="D57" i="4"/>
  <c r="G57" i="4"/>
  <c r="E57" i="4"/>
  <c r="G25" i="4"/>
  <c r="E17" i="4"/>
  <c r="D16" i="4"/>
  <c r="E44" i="4"/>
  <c r="E61" i="4"/>
  <c r="D44" i="4"/>
  <c r="C17" i="4"/>
  <c r="F25" i="4"/>
  <c r="M6" i="4" l="1"/>
  <c r="N6" i="4" s="1"/>
  <c r="P54" i="14"/>
  <c r="M55" i="14" a="1"/>
  <c r="M55" i="14" s="1"/>
  <c r="T53" i="14"/>
  <c r="AC53" i="14" s="1"/>
  <c r="S53" i="14"/>
  <c r="AB53" i="14" s="1"/>
  <c r="Q53" i="14"/>
  <c r="Z53" i="14" s="1"/>
  <c r="Y53" i="14"/>
  <c r="W53" i="14"/>
  <c r="AF53" i="14" s="1"/>
  <c r="V53" i="14"/>
  <c r="AE53" i="14" s="1"/>
  <c r="U53" i="14"/>
  <c r="AD53" i="14" s="1"/>
  <c r="R53" i="14"/>
  <c r="AA53" i="14" s="1"/>
  <c r="M2" i="4"/>
  <c r="M7" i="4"/>
  <c r="P7" i="4" s="1"/>
  <c r="H11" i="6"/>
  <c r="D13" i="6"/>
  <c r="H6" i="6"/>
  <c r="B6" i="6"/>
  <c r="B18" i="16" s="1"/>
  <c r="B13" i="6"/>
  <c r="B18" i="6"/>
  <c r="H16" i="6"/>
  <c r="S6" i="4"/>
  <c r="U6" i="4" s="1"/>
  <c r="W6" i="4" s="1"/>
  <c r="X6" i="4" s="1"/>
  <c r="AE6" i="4" s="1"/>
  <c r="M13" i="4"/>
  <c r="M10" i="4"/>
  <c r="Q10" i="4" s="1"/>
  <c r="M11" i="4"/>
  <c r="O11" i="4" s="1"/>
  <c r="M9" i="4"/>
  <c r="O9" i="4" s="1"/>
  <c r="M8" i="4"/>
  <c r="Q8" i="4" s="1"/>
  <c r="Q6" i="4"/>
  <c r="O6" i="4"/>
  <c r="P6" i="4"/>
  <c r="B8" i="6"/>
  <c r="D8" i="6"/>
  <c r="D18" i="6"/>
  <c r="H21" i="6"/>
  <c r="B23" i="6"/>
  <c r="D23" i="6"/>
  <c r="Y54" i="14" l="1"/>
  <c r="W54" i="14"/>
  <c r="AF54" i="14" s="1"/>
  <c r="U54" i="14"/>
  <c r="AD54" i="14" s="1"/>
  <c r="T54" i="14"/>
  <c r="AC54" i="14" s="1"/>
  <c r="S54" i="14"/>
  <c r="AB54" i="14" s="1"/>
  <c r="V54" i="14"/>
  <c r="AE54" i="14" s="1"/>
  <c r="R54" i="14"/>
  <c r="AA54" i="14" s="1"/>
  <c r="Q54" i="14"/>
  <c r="Z54" i="14" s="1"/>
  <c r="P55" i="14"/>
  <c r="M56" i="14" a="1"/>
  <c r="M56" i="14" s="1"/>
  <c r="S7" i="4"/>
  <c r="U7" i="4" s="1"/>
  <c r="W7" i="4" s="1"/>
  <c r="AD6" i="4"/>
  <c r="Q7" i="4"/>
  <c r="O10" i="4"/>
  <c r="O7" i="4"/>
  <c r="N7" i="4"/>
  <c r="T7" i="4" s="1"/>
  <c r="P10" i="4"/>
  <c r="N9" i="4"/>
  <c r="AA6" i="4"/>
  <c r="AH6" i="4" s="1"/>
  <c r="Y6" i="4"/>
  <c r="AF6" i="4" s="1"/>
  <c r="Z6" i="4"/>
  <c r="AG6" i="4" s="1"/>
  <c r="S11" i="4"/>
  <c r="N10" i="4"/>
  <c r="M1" i="4"/>
  <c r="N11" i="4"/>
  <c r="S8" i="4"/>
  <c r="N8" i="4"/>
  <c r="S9" i="4"/>
  <c r="S10" i="4"/>
  <c r="O8" i="4"/>
  <c r="P8" i="4"/>
  <c r="P11" i="4"/>
  <c r="Q11" i="4"/>
  <c r="Q9" i="4"/>
  <c r="P9" i="4"/>
  <c r="T55" i="14" l="1"/>
  <c r="AC55" i="14" s="1"/>
  <c r="S55" i="14"/>
  <c r="AB55" i="14" s="1"/>
  <c r="Q55" i="14"/>
  <c r="Z55" i="14" s="1"/>
  <c r="Y55" i="14"/>
  <c r="W55" i="14"/>
  <c r="AF55" i="14" s="1"/>
  <c r="U55" i="14"/>
  <c r="AD55" i="14" s="1"/>
  <c r="R55" i="14"/>
  <c r="AA55" i="14" s="1"/>
  <c r="V55" i="14"/>
  <c r="AE55" i="14" s="1"/>
  <c r="P56" i="14"/>
  <c r="M57" i="14" a="1"/>
  <c r="M57" i="14" s="1"/>
  <c r="U8" i="4"/>
  <c r="W8" i="4" s="1"/>
  <c r="Y8" i="4" s="1"/>
  <c r="AF8" i="4" s="1"/>
  <c r="O18" i="4"/>
  <c r="N18" i="4"/>
  <c r="P18" i="4"/>
  <c r="Q18" i="4"/>
  <c r="U10" i="4"/>
  <c r="U11" i="4"/>
  <c r="U9" i="4"/>
  <c r="AD7" i="4"/>
  <c r="Z7" i="4"/>
  <c r="AA7" i="4"/>
  <c r="X7" i="4"/>
  <c r="Y7" i="4"/>
  <c r="P57" i="14" l="1"/>
  <c r="M58" i="14" a="1"/>
  <c r="M58" i="14" s="1"/>
  <c r="Y56" i="14"/>
  <c r="W56" i="14"/>
  <c r="AF56" i="14" s="1"/>
  <c r="U56" i="14"/>
  <c r="AD56" i="14" s="1"/>
  <c r="T56" i="14"/>
  <c r="AC56" i="14" s="1"/>
  <c r="S56" i="14"/>
  <c r="AB56" i="14" s="1"/>
  <c r="Q56" i="14"/>
  <c r="Z56" i="14" s="1"/>
  <c r="V56" i="14"/>
  <c r="AE56" i="14" s="1"/>
  <c r="R56" i="14"/>
  <c r="AA56" i="14" s="1"/>
  <c r="AA8" i="4"/>
  <c r="AH8" i="4" s="1"/>
  <c r="Z8" i="4"/>
  <c r="AG8" i="4" s="1"/>
  <c r="AD8" i="4"/>
  <c r="W9" i="4"/>
  <c r="Y9" i="4" s="1"/>
  <c r="AF9" i="4" s="1"/>
  <c r="X8" i="4"/>
  <c r="AE8" i="4" s="1"/>
  <c r="W11" i="4"/>
  <c r="AD11" i="4" s="1"/>
  <c r="W10" i="4"/>
  <c r="AD10" i="4" s="1"/>
  <c r="AG7" i="4"/>
  <c r="AH7" i="4"/>
  <c r="AF7" i="4"/>
  <c r="AE7" i="4"/>
  <c r="P58" i="14" l="1"/>
  <c r="M59" i="14" a="1"/>
  <c r="M59" i="14" s="1"/>
  <c r="T57" i="14"/>
  <c r="AC57" i="14" s="1"/>
  <c r="S57" i="14"/>
  <c r="AB57" i="14" s="1"/>
  <c r="Q57" i="14"/>
  <c r="Z57" i="14" s="1"/>
  <c r="Y57" i="14"/>
  <c r="W57" i="14"/>
  <c r="AF57" i="14" s="1"/>
  <c r="V57" i="14"/>
  <c r="AE57" i="14" s="1"/>
  <c r="U57" i="14"/>
  <c r="AD57" i="14" s="1"/>
  <c r="R57" i="14"/>
  <c r="AA57" i="14" s="1"/>
  <c r="X9" i="4"/>
  <c r="AE9" i="4" s="1"/>
  <c r="Z9" i="4"/>
  <c r="AG9" i="4" s="1"/>
  <c r="AA9" i="4"/>
  <c r="AH9" i="4" s="1"/>
  <c r="AD9" i="4"/>
  <c r="AA11" i="4"/>
  <c r="AH11" i="4" s="1"/>
  <c r="Z11" i="4"/>
  <c r="AG11" i="4" s="1"/>
  <c r="Z10" i="4"/>
  <c r="AG10" i="4" s="1"/>
  <c r="Y11" i="4"/>
  <c r="AF11" i="4" s="1"/>
  <c r="AA10" i="4"/>
  <c r="AH10" i="4" s="1"/>
  <c r="X10" i="4"/>
  <c r="AE10" i="4" s="1"/>
  <c r="Y10" i="4"/>
  <c r="AF10" i="4" s="1"/>
  <c r="X11" i="4"/>
  <c r="AE11" i="4" s="1"/>
  <c r="P59" i="14" l="1"/>
  <c r="M60" i="14" a="1"/>
  <c r="M60" i="14" s="1"/>
  <c r="Y58" i="14"/>
  <c r="W58" i="14"/>
  <c r="AF58" i="14" s="1"/>
  <c r="V58" i="14"/>
  <c r="AE58" i="14" s="1"/>
  <c r="U58" i="14"/>
  <c r="AD58" i="14" s="1"/>
  <c r="T58" i="14"/>
  <c r="AC58" i="14" s="1"/>
  <c r="S58" i="14"/>
  <c r="AB58" i="14" s="1"/>
  <c r="R58" i="14"/>
  <c r="AA58" i="14" s="1"/>
  <c r="Q58" i="14"/>
  <c r="Z58" i="14" s="1"/>
  <c r="AH12" i="4"/>
  <c r="AE12" i="4"/>
  <c r="AG12" i="4"/>
  <c r="AF12" i="4"/>
  <c r="AA12" i="4"/>
  <c r="Z12" i="4"/>
  <c r="Y12" i="4"/>
  <c r="X12" i="4"/>
  <c r="P60" i="14" l="1"/>
  <c r="M61" i="14" a="1"/>
  <c r="M61" i="14" s="1"/>
  <c r="T59" i="14"/>
  <c r="AC59" i="14" s="1"/>
  <c r="S59" i="14"/>
  <c r="AB59" i="14" s="1"/>
  <c r="R59" i="14"/>
  <c r="AA59" i="14" s="1"/>
  <c r="Q59" i="14"/>
  <c r="Z59" i="14" s="1"/>
  <c r="Y59" i="14"/>
  <c r="W59" i="14"/>
  <c r="AF59" i="14" s="1"/>
  <c r="V59" i="14"/>
  <c r="AE59" i="14" s="1"/>
  <c r="U59" i="14"/>
  <c r="AD59" i="14" s="1"/>
  <c r="P61" i="14" l="1"/>
  <c r="M62" i="14" a="1"/>
  <c r="M62" i="14" s="1"/>
  <c r="Y60" i="14"/>
  <c r="W60" i="14"/>
  <c r="AF60" i="14" s="1"/>
  <c r="V60" i="14"/>
  <c r="AE60" i="14" s="1"/>
  <c r="U60" i="14"/>
  <c r="AD60" i="14" s="1"/>
  <c r="T60" i="14"/>
  <c r="AC60" i="14" s="1"/>
  <c r="S60" i="14"/>
  <c r="AB60" i="14" s="1"/>
  <c r="R60" i="14"/>
  <c r="AA60" i="14" s="1"/>
  <c r="Q60" i="14"/>
  <c r="Z60" i="14" s="1"/>
  <c r="T61" i="14" l="1"/>
  <c r="AC61" i="14" s="1"/>
  <c r="S61" i="14"/>
  <c r="AB61" i="14" s="1"/>
  <c r="R61" i="14"/>
  <c r="AA61" i="14" s="1"/>
  <c r="Q61" i="14"/>
  <c r="Z61" i="14" s="1"/>
  <c r="Y61" i="14"/>
  <c r="W61" i="14"/>
  <c r="AF61" i="14" s="1"/>
  <c r="V61" i="14"/>
  <c r="AE61" i="14" s="1"/>
  <c r="U61" i="14"/>
  <c r="AD61" i="14" s="1"/>
  <c r="P62" i="14"/>
  <c r="M63" i="14" a="1"/>
  <c r="M63" i="14" s="1"/>
  <c r="P63" i="14" l="1"/>
  <c r="M64" i="14" a="1"/>
  <c r="M64" i="14" s="1"/>
  <c r="Y62" i="14"/>
  <c r="W62" i="14"/>
  <c r="AF62" i="14" s="1"/>
  <c r="V62" i="14"/>
  <c r="AE62" i="14" s="1"/>
  <c r="U62" i="14"/>
  <c r="AD62" i="14" s="1"/>
  <c r="T62" i="14"/>
  <c r="AC62" i="14" s="1"/>
  <c r="S62" i="14"/>
  <c r="AB62" i="14" s="1"/>
  <c r="R62" i="14"/>
  <c r="AA62" i="14" s="1"/>
  <c r="Q62" i="14"/>
  <c r="Z62" i="14" s="1"/>
  <c r="P64" i="14" l="1"/>
  <c r="M65" i="14" a="1"/>
  <c r="M65" i="14" s="1"/>
  <c r="T63" i="14"/>
  <c r="AC63" i="14" s="1"/>
  <c r="S63" i="14"/>
  <c r="AB63" i="14" s="1"/>
  <c r="R63" i="14"/>
  <c r="AA63" i="14" s="1"/>
  <c r="Q63" i="14"/>
  <c r="Z63" i="14" s="1"/>
  <c r="Y63" i="14"/>
  <c r="W63" i="14"/>
  <c r="AF63" i="14" s="1"/>
  <c r="V63" i="14"/>
  <c r="AE63" i="14" s="1"/>
  <c r="U63" i="14"/>
  <c r="AD63" i="14" s="1"/>
  <c r="P65" i="14" l="1"/>
  <c r="M66" i="14" a="1"/>
  <c r="M66" i="14" s="1"/>
  <c r="Y64" i="14"/>
  <c r="W64" i="14"/>
  <c r="AF64" i="14" s="1"/>
  <c r="V64" i="14"/>
  <c r="AE64" i="14" s="1"/>
  <c r="U64" i="14"/>
  <c r="AD64" i="14" s="1"/>
  <c r="T64" i="14"/>
  <c r="AC64" i="14" s="1"/>
  <c r="S64" i="14"/>
  <c r="AB64" i="14" s="1"/>
  <c r="R64" i="14"/>
  <c r="AA64" i="14" s="1"/>
  <c r="Q64" i="14"/>
  <c r="Z64" i="14" s="1"/>
  <c r="T65" i="14" l="1"/>
  <c r="AC65" i="14" s="1"/>
  <c r="S65" i="14"/>
  <c r="AB65" i="14" s="1"/>
  <c r="R65" i="14"/>
  <c r="AA65" i="14" s="1"/>
  <c r="Q65" i="14"/>
  <c r="Z65" i="14" s="1"/>
  <c r="Y65" i="14"/>
  <c r="W65" i="14"/>
  <c r="AF65" i="14" s="1"/>
  <c r="V65" i="14"/>
  <c r="AE65" i="14" s="1"/>
  <c r="U65" i="14"/>
  <c r="AD65" i="14" s="1"/>
  <c r="P66" i="14"/>
  <c r="M67" i="14" a="1"/>
  <c r="M67" i="14" s="1"/>
  <c r="P67" i="14" l="1"/>
  <c r="M68" i="14" a="1"/>
  <c r="M68" i="14" s="1"/>
  <c r="Y66" i="14"/>
  <c r="W66" i="14"/>
  <c r="AF66" i="14" s="1"/>
  <c r="V66" i="14"/>
  <c r="AE66" i="14" s="1"/>
  <c r="U66" i="14"/>
  <c r="AD66" i="14" s="1"/>
  <c r="T66" i="14"/>
  <c r="AC66" i="14" s="1"/>
  <c r="S66" i="14"/>
  <c r="AB66" i="14" s="1"/>
  <c r="R66" i="14"/>
  <c r="AA66" i="14" s="1"/>
  <c r="Q66" i="14"/>
  <c r="Z66" i="14" s="1"/>
  <c r="P68" i="14" l="1"/>
  <c r="M69" i="14" a="1"/>
  <c r="M69" i="14" s="1"/>
  <c r="T67" i="14"/>
  <c r="AC67" i="14" s="1"/>
  <c r="S67" i="14"/>
  <c r="AB67" i="14" s="1"/>
  <c r="R67" i="14"/>
  <c r="AA67" i="14" s="1"/>
  <c r="Q67" i="14"/>
  <c r="Z67" i="14" s="1"/>
  <c r="Y67" i="14"/>
  <c r="W67" i="14"/>
  <c r="AF67" i="14" s="1"/>
  <c r="V67" i="14"/>
  <c r="AE67" i="14" s="1"/>
  <c r="U67" i="14"/>
  <c r="AD67" i="14" s="1"/>
  <c r="P69" i="14" l="1"/>
  <c r="M70" i="14" a="1"/>
  <c r="M70" i="14" s="1"/>
  <c r="Y68" i="14"/>
  <c r="W68" i="14"/>
  <c r="AF68" i="14" s="1"/>
  <c r="V68" i="14"/>
  <c r="AE68" i="14" s="1"/>
  <c r="U68" i="14"/>
  <c r="AD68" i="14" s="1"/>
  <c r="T68" i="14"/>
  <c r="AC68" i="14" s="1"/>
  <c r="S68" i="14"/>
  <c r="AB68" i="14" s="1"/>
  <c r="R68" i="14"/>
  <c r="AA68" i="14" s="1"/>
  <c r="Q68" i="14"/>
  <c r="Z68" i="14" s="1"/>
  <c r="T69" i="14" l="1"/>
  <c r="AC69" i="14" s="1"/>
  <c r="S69" i="14"/>
  <c r="AB69" i="14" s="1"/>
  <c r="R69" i="14"/>
  <c r="AA69" i="14" s="1"/>
  <c r="Q69" i="14"/>
  <c r="Z69" i="14" s="1"/>
  <c r="Y69" i="14"/>
  <c r="W69" i="14"/>
  <c r="AF69" i="14" s="1"/>
  <c r="V69" i="14"/>
  <c r="AE69" i="14" s="1"/>
  <c r="U69" i="14"/>
  <c r="AD69" i="14" s="1"/>
  <c r="P70" i="14"/>
  <c r="M71" i="14" a="1"/>
  <c r="M71" i="14" s="1"/>
  <c r="M72" i="14" s="1" a="1"/>
  <c r="M72" i="14" s="1"/>
  <c r="M73" i="14" s="1" a="1"/>
  <c r="M73" i="14" s="1"/>
  <c r="M74" i="14" s="1" a="1"/>
  <c r="M74" i="14" s="1"/>
  <c r="M75" i="14" s="1" a="1"/>
  <c r="M75" i="14" s="1"/>
  <c r="M76" i="14" s="1" a="1"/>
  <c r="M76" i="14" s="1"/>
  <c r="Y70" i="14" l="1"/>
  <c r="W70" i="14"/>
  <c r="AF70" i="14" s="1"/>
  <c r="V70" i="14"/>
  <c r="AE70" i="14" s="1"/>
  <c r="U70" i="14"/>
  <c r="AD70" i="14" s="1"/>
  <c r="T70" i="14"/>
  <c r="S70" i="14"/>
  <c r="AB70" i="14" s="1"/>
  <c r="R70" i="14"/>
  <c r="AA70" i="14" s="1"/>
  <c r="Q70" i="14"/>
  <c r="Z70" i="14" s="1"/>
  <c r="AH7" i="14" l="1"/>
  <c r="AC70" i="14"/>
  <c r="X71" i="14"/>
  <c r="Q3" i="1" l="1"/>
  <c r="AW28" i="1"/>
  <c r="AW30" i="1"/>
  <c r="AX28" i="1"/>
  <c r="AW17" i="1"/>
  <c r="AW23" i="1"/>
  <c r="B45" i="8" s="1"/>
  <c r="AW22" i="1"/>
  <c r="B41" i="8" s="1"/>
  <c r="AW26" i="1"/>
  <c r="B57" i="8" s="1"/>
  <c r="AX20" i="1"/>
  <c r="B35" i="8" s="1"/>
  <c r="AX26" i="1"/>
  <c r="B59" i="8" s="1"/>
  <c r="AW18" i="1"/>
  <c r="B25" i="8" s="1"/>
  <c r="AX24" i="1"/>
  <c r="B51" i="8" s="1"/>
  <c r="AX13" i="1"/>
  <c r="B7" i="8" s="1"/>
  <c r="AW19" i="1"/>
  <c r="B29" i="8" s="1"/>
  <c r="AX30" i="1"/>
  <c r="AW15" i="1"/>
  <c r="AX32" i="1"/>
  <c r="AW20" i="1"/>
  <c r="B33" i="8" s="1"/>
  <c r="AX16" i="1"/>
  <c r="AW24" i="1"/>
  <c r="B49" i="8" s="1"/>
  <c r="AX14" i="1"/>
  <c r="AW32" i="1"/>
  <c r="AX21" i="1"/>
  <c r="B39" i="8" s="1"/>
  <c r="AX33" i="1"/>
  <c r="AX18" i="1"/>
  <c r="B27" i="8" s="1"/>
  <c r="AX29" i="1"/>
  <c r="AW27" i="1"/>
  <c r="AW31" i="1"/>
  <c r="AW21" i="1"/>
  <c r="B37" i="8" s="1"/>
  <c r="AX25" i="1"/>
  <c r="B55" i="8" s="1"/>
  <c r="AW25" i="1"/>
  <c r="B53" i="8" s="1"/>
  <c r="AW29" i="1"/>
  <c r="AW13" i="1"/>
  <c r="B5" i="8" s="1"/>
  <c r="AX17" i="1"/>
  <c r="AX15" i="1"/>
  <c r="AW16" i="1"/>
  <c r="AX19" i="1"/>
  <c r="B31" i="8" s="1"/>
  <c r="AX31" i="1"/>
  <c r="AW14" i="1"/>
  <c r="AX23" i="1"/>
  <c r="B47" i="8" s="1"/>
  <c r="AX22" i="1"/>
  <c r="B43" i="8" s="1"/>
  <c r="AW33" i="1"/>
  <c r="AX27" i="1"/>
  <c r="BC27" i="1"/>
  <c r="BC13" i="1"/>
  <c r="B7" i="9" s="1"/>
  <c r="BC25" i="1"/>
  <c r="BB17" i="1"/>
  <c r="B21" i="9" s="1"/>
  <c r="BC22" i="1"/>
  <c r="BC17" i="1"/>
  <c r="B23" i="9" s="1"/>
  <c r="BB21" i="1"/>
  <c r="BC20" i="1"/>
  <c r="B35" i="9" s="1"/>
  <c r="BC19" i="1"/>
  <c r="B31" i="9" s="1"/>
  <c r="BB15" i="1"/>
  <c r="BB16" i="1"/>
  <c r="BC14" i="1"/>
  <c r="BB26" i="1"/>
  <c r="BB25" i="1"/>
  <c r="BB19" i="1"/>
  <c r="B29" i="9" s="1"/>
  <c r="BB22" i="1"/>
  <c r="BC26" i="1"/>
  <c r="BC16" i="1"/>
  <c r="BB13" i="1"/>
  <c r="B5" i="9" s="1"/>
  <c r="BB20" i="1"/>
  <c r="B33" i="9" s="1"/>
  <c r="BB18" i="1"/>
  <c r="B25" i="9" s="1"/>
  <c r="BC23" i="1"/>
  <c r="BC24" i="1"/>
  <c r="BB24" i="1"/>
  <c r="BC21" i="1"/>
  <c r="BC15" i="1"/>
  <c r="BB14" i="1"/>
  <c r="BC18" i="1"/>
  <c r="B27" i="9" s="1"/>
  <c r="BB23" i="1"/>
  <c r="BB27" i="1"/>
  <c r="BH20" i="1"/>
  <c r="BG21" i="1"/>
  <c r="BG20" i="1"/>
  <c r="BH25" i="1"/>
  <c r="BH27" i="1"/>
  <c r="BG18" i="1"/>
  <c r="BH16" i="1"/>
  <c r="BG23" i="1"/>
  <c r="BH22" i="1"/>
  <c r="BG15" i="1"/>
  <c r="B5" i="7" s="1"/>
  <c r="BG24" i="1"/>
  <c r="BG25" i="1"/>
  <c r="BG22" i="1"/>
  <c r="BH24" i="1"/>
  <c r="BH19" i="1"/>
  <c r="BH18" i="1"/>
  <c r="BG26" i="1"/>
  <c r="BH21" i="1"/>
  <c r="BH23" i="1"/>
  <c r="BH17" i="1"/>
  <c r="BG16" i="1"/>
  <c r="BG27" i="1"/>
  <c r="BH26" i="1"/>
  <c r="BG17" i="1"/>
  <c r="BH15" i="1"/>
  <c r="B7" i="7" s="1"/>
  <c r="BG19" i="1"/>
  <c r="BM24" i="1"/>
  <c r="BL18" i="1"/>
  <c r="B17" i="10" s="1"/>
  <c r="BL17" i="1"/>
  <c r="BM27" i="1"/>
  <c r="BL20" i="1"/>
  <c r="BL26" i="1"/>
  <c r="BL21" i="1"/>
  <c r="BM21" i="1"/>
  <c r="BL24" i="1"/>
  <c r="BL19" i="1"/>
  <c r="BM16" i="1"/>
  <c r="BM25" i="1"/>
  <c r="BM20" i="1"/>
  <c r="BM23" i="1"/>
  <c r="BL27" i="1"/>
  <c r="BL22" i="1"/>
  <c r="BL16" i="1"/>
  <c r="BM18" i="1"/>
  <c r="B19" i="10" s="1"/>
  <c r="BM22" i="1"/>
  <c r="BM26" i="1"/>
  <c r="BL23" i="1"/>
  <c r="BL25" i="1"/>
  <c r="BM17" i="1"/>
  <c r="BM15" i="1"/>
  <c r="B7" i="10" s="1"/>
  <c r="BL15" i="1"/>
  <c r="B5" i="10" s="1"/>
  <c r="BM19" i="1"/>
  <c r="BQ16" i="1"/>
  <c r="BR16" i="1"/>
  <c r="BQ20" i="1"/>
  <c r="BQ19" i="1"/>
  <c r="BR15" i="1"/>
  <c r="B7" i="15" s="1"/>
  <c r="BR19" i="1"/>
  <c r="BQ18" i="1"/>
  <c r="B17" i="15" s="1"/>
  <c r="BR18" i="1"/>
  <c r="B19" i="15" s="1"/>
  <c r="BR20" i="1"/>
  <c r="BQ17" i="1"/>
  <c r="B13" i="15" s="1"/>
  <c r="BR17" i="1"/>
  <c r="B15" i="15" s="1"/>
  <c r="BQ15" i="1"/>
  <c r="B5" i="15" s="1"/>
  <c r="AY15" i="1" l="1"/>
  <c r="L13" i="8" s="1"/>
  <c r="AY16" i="1"/>
  <c r="BO15" i="1"/>
  <c r="L7" i="10" s="1"/>
  <c r="B11" i="10"/>
  <c r="E55" i="8"/>
  <c r="D55" i="8"/>
  <c r="F55" i="8"/>
  <c r="C55" i="8"/>
  <c r="C17" i="10"/>
  <c r="D17" i="10"/>
  <c r="F17" i="10"/>
  <c r="E17" i="10"/>
  <c r="D5" i="10"/>
  <c r="F5" i="10"/>
  <c r="E5" i="10"/>
  <c r="C5" i="10"/>
  <c r="B9" i="10"/>
  <c r="BN15" i="1"/>
  <c r="L5" i="10" s="1"/>
  <c r="B17" i="8"/>
  <c r="E51" i="8"/>
  <c r="D51" i="8"/>
  <c r="C51" i="8"/>
  <c r="F51" i="8"/>
  <c r="C7" i="10"/>
  <c r="E7" i="10"/>
  <c r="F7" i="10"/>
  <c r="D7" i="10"/>
  <c r="E5" i="7"/>
  <c r="D5" i="7"/>
  <c r="C5" i="7"/>
  <c r="F5" i="7"/>
  <c r="AZ15" i="1"/>
  <c r="L15" i="8" s="1"/>
  <c r="B19" i="8"/>
  <c r="BO18" i="1"/>
  <c r="L19" i="10" s="1"/>
  <c r="BO16" i="1"/>
  <c r="L11" i="10" s="1"/>
  <c r="BO17" i="1"/>
  <c r="L15" i="10" s="1"/>
  <c r="B15" i="10"/>
  <c r="F7" i="7"/>
  <c r="E7" i="7"/>
  <c r="D7" i="7"/>
  <c r="C7" i="7"/>
  <c r="BJ20" i="1"/>
  <c r="L27" i="7" s="1"/>
  <c r="BJ21" i="1"/>
  <c r="B27" i="7"/>
  <c r="BJ19" i="1"/>
  <c r="L23" i="7" s="1"/>
  <c r="D29" i="9"/>
  <c r="F29" i="9"/>
  <c r="E29" i="9"/>
  <c r="C29" i="9"/>
  <c r="E59" i="8"/>
  <c r="C59" i="8"/>
  <c r="F59" i="8"/>
  <c r="D59" i="8"/>
  <c r="BI16" i="1"/>
  <c r="L9" i="7" s="1"/>
  <c r="B13" i="7"/>
  <c r="D43" i="8"/>
  <c r="C43" i="8"/>
  <c r="E43" i="8"/>
  <c r="F43" i="8"/>
  <c r="C5" i="8"/>
  <c r="F5" i="8"/>
  <c r="E5" i="8"/>
  <c r="D5" i="8"/>
  <c r="BJ18" i="1"/>
  <c r="L19" i="7" s="1"/>
  <c r="B23" i="7"/>
  <c r="BJ15" i="1"/>
  <c r="L7" i="7" s="1"/>
  <c r="B11" i="7"/>
  <c r="E25" i="9"/>
  <c r="C25" i="9"/>
  <c r="F25" i="9"/>
  <c r="D25" i="9"/>
  <c r="F47" i="8"/>
  <c r="E47" i="8"/>
  <c r="C47" i="8"/>
  <c r="D47" i="8"/>
  <c r="AY14" i="1"/>
  <c r="L9" i="8" s="1"/>
  <c r="B13" i="8"/>
  <c r="E57" i="8"/>
  <c r="C57" i="8"/>
  <c r="F57" i="8"/>
  <c r="D57" i="8"/>
  <c r="BI15" i="1"/>
  <c r="L5" i="7" s="1"/>
  <c r="B9" i="7"/>
  <c r="C5" i="9"/>
  <c r="D5" i="9"/>
  <c r="F5" i="9"/>
  <c r="E5" i="9"/>
  <c r="F19" i="10"/>
  <c r="C19" i="10"/>
  <c r="E19" i="10"/>
  <c r="D19" i="10"/>
  <c r="F31" i="9"/>
  <c r="D31" i="9"/>
  <c r="C31" i="9"/>
  <c r="E31" i="9"/>
  <c r="C35" i="9"/>
  <c r="E35" i="9"/>
  <c r="F35" i="9"/>
  <c r="D35" i="9"/>
  <c r="F25" i="8"/>
  <c r="E25" i="8"/>
  <c r="C25" i="8"/>
  <c r="D25" i="8"/>
  <c r="AZ19" i="1"/>
  <c r="L31" i="8" s="1"/>
  <c r="B23" i="8"/>
  <c r="AZ22" i="1"/>
  <c r="L43" i="8" s="1"/>
  <c r="AZ20" i="1"/>
  <c r="L35" i="8" s="1"/>
  <c r="AZ16" i="1"/>
  <c r="L19" i="8" s="1"/>
  <c r="AZ18" i="1"/>
  <c r="L27" i="8" s="1"/>
  <c r="AZ21" i="1"/>
  <c r="L39" i="8" s="1"/>
  <c r="AZ17" i="1"/>
  <c r="L23" i="8" s="1"/>
  <c r="E33" i="8"/>
  <c r="D33" i="8"/>
  <c r="C33" i="8"/>
  <c r="F33" i="8"/>
  <c r="BJ17" i="1"/>
  <c r="L15" i="7" s="1"/>
  <c r="B19" i="7"/>
  <c r="F23" i="9"/>
  <c r="C23" i="9"/>
  <c r="D23" i="9"/>
  <c r="E23" i="9"/>
  <c r="D27" i="8"/>
  <c r="E27" i="8"/>
  <c r="C27" i="8"/>
  <c r="F27" i="8"/>
  <c r="C35" i="8"/>
  <c r="D35" i="8"/>
  <c r="E35" i="8"/>
  <c r="F35" i="8"/>
  <c r="BT17" i="1"/>
  <c r="L15" i="15" s="1"/>
  <c r="BT15" i="1"/>
  <c r="L7" i="15" s="1"/>
  <c r="BT16" i="1"/>
  <c r="L11" i="15" s="1"/>
  <c r="B11" i="15"/>
  <c r="BI17" i="1"/>
  <c r="L13" i="7" s="1"/>
  <c r="B17" i="7"/>
  <c r="D27" i="9"/>
  <c r="F27" i="9"/>
  <c r="E27" i="9"/>
  <c r="C27" i="9"/>
  <c r="F33" i="9"/>
  <c r="E33" i="9"/>
  <c r="D33" i="9"/>
  <c r="C33" i="9"/>
  <c r="BE13" i="1"/>
  <c r="L7" i="9" s="1"/>
  <c r="B11" i="9"/>
  <c r="F21" i="9"/>
  <c r="E21" i="9"/>
  <c r="C21" i="9"/>
  <c r="D21" i="9"/>
  <c r="AY13" i="1"/>
  <c r="L5" i="8" s="1"/>
  <c r="B9" i="8"/>
  <c r="F53" i="8"/>
  <c r="E53" i="8"/>
  <c r="C53" i="8"/>
  <c r="D53" i="8"/>
  <c r="D39" i="8"/>
  <c r="C39" i="8"/>
  <c r="F39" i="8"/>
  <c r="E39" i="8"/>
  <c r="E41" i="8"/>
  <c r="D41" i="8"/>
  <c r="C41" i="8"/>
  <c r="F41" i="8"/>
  <c r="B9" i="15"/>
  <c r="BS16" i="1"/>
  <c r="L9" i="15" s="1"/>
  <c r="BS17" i="1"/>
  <c r="L13" i="15" s="1"/>
  <c r="BS15" i="1"/>
  <c r="L5" i="15" s="1"/>
  <c r="B13" i="10"/>
  <c r="BN18" i="1"/>
  <c r="L17" i="10" s="1"/>
  <c r="BN16" i="1"/>
  <c r="L9" i="10" s="1"/>
  <c r="BN17" i="1"/>
  <c r="L13" i="10" s="1"/>
  <c r="BD13" i="1"/>
  <c r="L5" i="9" s="1"/>
  <c r="B9" i="9"/>
  <c r="E29" i="8"/>
  <c r="D29" i="8"/>
  <c r="C29" i="8"/>
  <c r="F29" i="8"/>
  <c r="BJ16" i="1"/>
  <c r="L11" i="7" s="1"/>
  <c r="B15" i="7"/>
  <c r="B15" i="9"/>
  <c r="BE18" i="1"/>
  <c r="L27" i="9" s="1"/>
  <c r="BE16" i="1"/>
  <c r="L19" i="9" s="1"/>
  <c r="BE14" i="1"/>
  <c r="L11" i="9" s="1"/>
  <c r="BE17" i="1"/>
  <c r="L23" i="9" s="1"/>
  <c r="BE15" i="1"/>
  <c r="L15" i="9" s="1"/>
  <c r="BE19" i="1"/>
  <c r="L31" i="9" s="1"/>
  <c r="B19" i="9"/>
  <c r="BD14" i="1"/>
  <c r="L9" i="9" s="1"/>
  <c r="BD15" i="1"/>
  <c r="L13" i="9" s="1"/>
  <c r="BD18" i="1"/>
  <c r="L25" i="9" s="1"/>
  <c r="BD17" i="1"/>
  <c r="L21" i="9" s="1"/>
  <c r="B13" i="9"/>
  <c r="BD16" i="1"/>
  <c r="L17" i="9" s="1"/>
  <c r="E7" i="9"/>
  <c r="D7" i="9"/>
  <c r="C7" i="9"/>
  <c r="F7" i="9"/>
  <c r="D31" i="8"/>
  <c r="C31" i="8"/>
  <c r="E31" i="8"/>
  <c r="F31" i="8"/>
  <c r="E37" i="8"/>
  <c r="C37" i="8"/>
  <c r="D37" i="8"/>
  <c r="F37" i="8"/>
  <c r="B11" i="8"/>
  <c r="AZ13" i="1"/>
  <c r="L7" i="8" s="1"/>
  <c r="D7" i="8"/>
  <c r="F7" i="8"/>
  <c r="C7" i="8"/>
  <c r="E7" i="8"/>
  <c r="AY18" i="1"/>
  <c r="L25" i="8" s="1"/>
  <c r="AY17" i="1"/>
  <c r="L21" i="8" s="1"/>
  <c r="AY19" i="1"/>
  <c r="L29" i="8" s="1"/>
  <c r="AY22" i="1"/>
  <c r="L41" i="8" s="1"/>
  <c r="AY20" i="1"/>
  <c r="L33" i="8" s="1"/>
  <c r="B21" i="8"/>
  <c r="L17" i="8"/>
  <c r="AY21" i="1"/>
  <c r="L37" i="8" s="1"/>
  <c r="BD19" i="1"/>
  <c r="L29" i="9" s="1"/>
  <c r="B17" i="9"/>
  <c r="D45" i="8"/>
  <c r="F45" i="8"/>
  <c r="C45" i="8"/>
  <c r="E45" i="8"/>
  <c r="B25" i="7"/>
  <c r="BI20" i="1"/>
  <c r="L25" i="7" s="1"/>
  <c r="BI21" i="1"/>
  <c r="BI19" i="1"/>
  <c r="L21" i="7" s="1"/>
  <c r="C49" i="8"/>
  <c r="E49" i="8"/>
  <c r="F49" i="8"/>
  <c r="D49" i="8"/>
  <c r="BI18" i="1"/>
  <c r="L17" i="7" s="1"/>
  <c r="B21" i="7"/>
  <c r="AZ14" i="1"/>
  <c r="L11" i="8" s="1"/>
  <c r="B15" i="8"/>
  <c r="E9" i="8" l="1"/>
  <c r="D9" i="8"/>
  <c r="C9" i="8"/>
  <c r="F9" i="8"/>
  <c r="D15" i="8"/>
  <c r="F15" i="8"/>
  <c r="E15" i="8"/>
  <c r="C15" i="8"/>
  <c r="N13" i="9"/>
  <c r="O13" i="9"/>
  <c r="M13" i="9"/>
  <c r="P13" i="9"/>
  <c r="N29" i="9"/>
  <c r="O29" i="9"/>
  <c r="P29" i="9"/>
  <c r="M29" i="9"/>
  <c r="N9" i="9"/>
  <c r="M9" i="9"/>
  <c r="O9" i="9"/>
  <c r="P9" i="9"/>
  <c r="C15" i="9"/>
  <c r="F15" i="9"/>
  <c r="D15" i="9"/>
  <c r="E15" i="9"/>
  <c r="C27" i="7"/>
  <c r="E27" i="7"/>
  <c r="F27" i="7"/>
  <c r="D27" i="7"/>
  <c r="F21" i="7"/>
  <c r="C21" i="7"/>
  <c r="E21" i="7"/>
  <c r="D21" i="7"/>
  <c r="E19" i="9"/>
  <c r="C19" i="9"/>
  <c r="D19" i="9"/>
  <c r="F19" i="9"/>
  <c r="P13" i="10"/>
  <c r="M13" i="10"/>
  <c r="O13" i="10"/>
  <c r="N13" i="10"/>
  <c r="N11" i="10"/>
  <c r="M11" i="10"/>
  <c r="O11" i="10"/>
  <c r="P11" i="10"/>
  <c r="E11" i="10"/>
  <c r="D11" i="10"/>
  <c r="C11" i="10"/>
  <c r="F11" i="10"/>
  <c r="P17" i="7"/>
  <c r="M17" i="7"/>
  <c r="N17" i="7"/>
  <c r="O17" i="7"/>
  <c r="D25" i="7"/>
  <c r="E25" i="7"/>
  <c r="C25" i="7"/>
  <c r="F25" i="7"/>
  <c r="P11" i="7"/>
  <c r="M11" i="7"/>
  <c r="N11" i="7"/>
  <c r="O11" i="7"/>
  <c r="P19" i="10"/>
  <c r="N19" i="10"/>
  <c r="O19" i="10"/>
  <c r="M19" i="10"/>
  <c r="N7" i="10"/>
  <c r="O7" i="10"/>
  <c r="M7" i="10"/>
  <c r="P7" i="10"/>
  <c r="E21" i="8"/>
  <c r="D21" i="8"/>
  <c r="F21" i="8"/>
  <c r="C21" i="8"/>
  <c r="P17" i="9"/>
  <c r="N17" i="9"/>
  <c r="M17" i="9"/>
  <c r="O17" i="9"/>
  <c r="O15" i="9"/>
  <c r="N15" i="9"/>
  <c r="M15" i="9"/>
  <c r="P15" i="9"/>
  <c r="P17" i="10"/>
  <c r="O17" i="10"/>
  <c r="N17" i="10"/>
  <c r="M17" i="10"/>
  <c r="F11" i="9"/>
  <c r="E11" i="9"/>
  <c r="C11" i="9"/>
  <c r="D11" i="9"/>
  <c r="D23" i="8"/>
  <c r="C23" i="8"/>
  <c r="F23" i="8"/>
  <c r="E23" i="8"/>
  <c r="D23" i="7"/>
  <c r="F23" i="7"/>
  <c r="E23" i="7"/>
  <c r="C23" i="7"/>
  <c r="D19" i="8"/>
  <c r="E19" i="8"/>
  <c r="C19" i="8"/>
  <c r="F19" i="8"/>
  <c r="M5" i="10"/>
  <c r="P5" i="10"/>
  <c r="O5" i="10"/>
  <c r="N5" i="10"/>
  <c r="O41" i="8"/>
  <c r="M41" i="8"/>
  <c r="P41" i="8"/>
  <c r="N41" i="8"/>
  <c r="M29" i="8"/>
  <c r="N29" i="8"/>
  <c r="O29" i="8"/>
  <c r="P29" i="8"/>
  <c r="M27" i="8"/>
  <c r="P27" i="8"/>
  <c r="O27" i="8"/>
  <c r="N27" i="8"/>
  <c r="F13" i="8"/>
  <c r="C13" i="8"/>
  <c r="E13" i="8"/>
  <c r="D13" i="8"/>
  <c r="O9" i="8"/>
  <c r="N9" i="8"/>
  <c r="M9" i="8"/>
  <c r="P9" i="8"/>
  <c r="P37" i="8"/>
  <c r="O37" i="8"/>
  <c r="N37" i="8"/>
  <c r="M37" i="8"/>
  <c r="C15" i="7"/>
  <c r="E15" i="7"/>
  <c r="F15" i="7"/>
  <c r="D15" i="7"/>
  <c r="O17" i="8"/>
  <c r="M17" i="8"/>
  <c r="P17" i="8"/>
  <c r="N17" i="8"/>
  <c r="O31" i="9"/>
  <c r="M31" i="9"/>
  <c r="N31" i="9"/>
  <c r="P31" i="9"/>
  <c r="P43" i="8"/>
  <c r="O43" i="8"/>
  <c r="M43" i="8"/>
  <c r="N43" i="8"/>
  <c r="O7" i="7"/>
  <c r="N7" i="7"/>
  <c r="P7" i="7"/>
  <c r="M7" i="7"/>
  <c r="N27" i="7"/>
  <c r="O27" i="7"/>
  <c r="M27" i="7"/>
  <c r="P27" i="7"/>
  <c r="P33" i="8"/>
  <c r="O33" i="8"/>
  <c r="M33" i="8"/>
  <c r="N33" i="8"/>
  <c r="F13" i="9"/>
  <c r="C13" i="9"/>
  <c r="D13" i="9"/>
  <c r="E13" i="9"/>
  <c r="O23" i="9"/>
  <c r="N23" i="9"/>
  <c r="P23" i="9"/>
  <c r="M23" i="9"/>
  <c r="C13" i="10"/>
  <c r="E13" i="10"/>
  <c r="D13" i="10"/>
  <c r="F13" i="10"/>
  <c r="N7" i="9"/>
  <c r="M7" i="9"/>
  <c r="O7" i="9"/>
  <c r="P7" i="9"/>
  <c r="O31" i="8"/>
  <c r="P31" i="8"/>
  <c r="N31" i="8"/>
  <c r="M31" i="8"/>
  <c r="O19" i="7"/>
  <c r="M19" i="7"/>
  <c r="N19" i="7"/>
  <c r="P19" i="7"/>
  <c r="O15" i="8"/>
  <c r="M15" i="8"/>
  <c r="N15" i="8"/>
  <c r="P15" i="8"/>
  <c r="C9" i="10"/>
  <c r="D9" i="10"/>
  <c r="E9" i="10"/>
  <c r="F9" i="10"/>
  <c r="N11" i="9"/>
  <c r="O11" i="9"/>
  <c r="M11" i="9"/>
  <c r="P11" i="9"/>
  <c r="F17" i="7"/>
  <c r="E17" i="7"/>
  <c r="D17" i="7"/>
  <c r="C17" i="7"/>
  <c r="D13" i="7"/>
  <c r="F13" i="7"/>
  <c r="C13" i="7"/>
  <c r="E13" i="7"/>
  <c r="C11" i="8"/>
  <c r="D11" i="8"/>
  <c r="F11" i="8"/>
  <c r="E11" i="8"/>
  <c r="P25" i="9"/>
  <c r="O25" i="9"/>
  <c r="N25" i="9"/>
  <c r="M25" i="9"/>
  <c r="N19" i="9"/>
  <c r="P19" i="9"/>
  <c r="M19" i="9"/>
  <c r="O19" i="9"/>
  <c r="P5" i="8"/>
  <c r="M5" i="8"/>
  <c r="O5" i="8"/>
  <c r="N5" i="8"/>
  <c r="P13" i="7"/>
  <c r="M13" i="7"/>
  <c r="N13" i="7"/>
  <c r="O13" i="7"/>
  <c r="O39" i="8"/>
  <c r="P39" i="8"/>
  <c r="N39" i="8"/>
  <c r="M39" i="8"/>
  <c r="P9" i="7"/>
  <c r="N9" i="7"/>
  <c r="M9" i="7"/>
  <c r="O9" i="7"/>
  <c r="M7" i="8"/>
  <c r="N7" i="8"/>
  <c r="O7" i="8"/>
  <c r="P7" i="8"/>
  <c r="N23" i="7"/>
  <c r="M23" i="7"/>
  <c r="O23" i="7"/>
  <c r="P23" i="7"/>
  <c r="F15" i="10"/>
  <c r="C15" i="10"/>
  <c r="E15" i="10"/>
  <c r="D15" i="10"/>
  <c r="O21" i="7"/>
  <c r="P21" i="7"/>
  <c r="N21" i="7"/>
  <c r="M21" i="7"/>
  <c r="F19" i="7"/>
  <c r="E19" i="7"/>
  <c r="C19" i="7"/>
  <c r="D19" i="7"/>
  <c r="P25" i="8"/>
  <c r="N25" i="8"/>
  <c r="O25" i="8"/>
  <c r="M25" i="8"/>
  <c r="M15" i="7"/>
  <c r="O15" i="7"/>
  <c r="P15" i="7"/>
  <c r="N15" i="7"/>
  <c r="N21" i="9"/>
  <c r="O21" i="9"/>
  <c r="M21" i="9"/>
  <c r="P21" i="9"/>
  <c r="M23" i="8"/>
  <c r="P23" i="8"/>
  <c r="O23" i="8"/>
  <c r="N23" i="8"/>
  <c r="O21" i="8"/>
  <c r="P21" i="8"/>
  <c r="N21" i="8"/>
  <c r="M21" i="8"/>
  <c r="P27" i="9"/>
  <c r="N27" i="9"/>
  <c r="M27" i="9"/>
  <c r="O27" i="9"/>
  <c r="D9" i="9"/>
  <c r="C9" i="9"/>
  <c r="F9" i="9"/>
  <c r="E9" i="9"/>
  <c r="O11" i="8"/>
  <c r="M11" i="8"/>
  <c r="N11" i="8"/>
  <c r="P11" i="8"/>
  <c r="P5" i="9"/>
  <c r="N5" i="9"/>
  <c r="M5" i="9"/>
  <c r="O5" i="9"/>
  <c r="P19" i="8"/>
  <c r="O19" i="8"/>
  <c r="M19" i="8"/>
  <c r="N19" i="8"/>
  <c r="O25" i="7"/>
  <c r="N25" i="7"/>
  <c r="P25" i="7"/>
  <c r="M25" i="7"/>
  <c r="O35" i="8"/>
  <c r="M35" i="8"/>
  <c r="N35" i="8"/>
  <c r="P35" i="8"/>
  <c r="D11" i="7"/>
  <c r="F11" i="7"/>
  <c r="C11" i="7"/>
  <c r="E11" i="7"/>
  <c r="D17" i="9"/>
  <c r="F17" i="9"/>
  <c r="C17" i="9"/>
  <c r="E17" i="9"/>
  <c r="N15" i="10"/>
  <c r="M15" i="10"/>
  <c r="O15" i="10"/>
  <c r="P15" i="10"/>
  <c r="C9" i="7"/>
  <c r="D9" i="7"/>
  <c r="E9" i="7"/>
  <c r="F9" i="7"/>
  <c r="E17" i="8"/>
  <c r="D17" i="8"/>
  <c r="C17" i="8"/>
  <c r="F17" i="8"/>
  <c r="P9" i="10"/>
  <c r="N9" i="10"/>
  <c r="O9" i="10"/>
  <c r="M9" i="10"/>
  <c r="N5" i="7"/>
  <c r="O5" i="7"/>
  <c r="M5" i="7"/>
  <c r="P5" i="7"/>
  <c r="O13" i="8"/>
  <c r="P13" i="8"/>
  <c r="N13" i="8"/>
  <c r="M13" i="8"/>
  <c r="C3" i="4" l="1"/>
  <c r="B3" i="1"/>
  <c r="A3" i="14"/>
  <c r="A2" i="6"/>
  <c r="H119" i="4"/>
  <c r="W122" i="1"/>
  <c r="F118" i="4"/>
  <c r="N121" i="1"/>
  <c r="H118" i="4"/>
  <c r="W121" i="1"/>
  <c r="A2" i="14"/>
  <c r="D2" i="4"/>
  <c r="A1" i="6"/>
  <c r="G2" i="1"/>
  <c r="N122" i="1"/>
  <c r="F119" i="4"/>
</calcChain>
</file>

<file path=xl/sharedStrings.xml><?xml version="1.0" encoding="utf-8"?>
<sst xmlns="http://schemas.openxmlformats.org/spreadsheetml/2006/main" count="502" uniqueCount="188">
  <si>
    <t>А</t>
  </si>
  <si>
    <t>№ п/п</t>
  </si>
  <si>
    <t>Ф.И.О.</t>
  </si>
  <si>
    <t>Дата рожд., разряд</t>
  </si>
  <si>
    <t>Округ, субъект, город, ведомство</t>
  </si>
  <si>
    <t>№ п/ж</t>
  </si>
  <si>
    <t>Круги</t>
  </si>
  <si>
    <t>Круг выбытия</t>
  </si>
  <si>
    <t>№ карточки</t>
  </si>
  <si>
    <t>Тренер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</si>
  <si>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</si>
  <si>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</si>
  <si>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</si>
  <si>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</si>
  <si>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</si>
  <si>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</si>
  <si>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</si>
  <si>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</si>
  <si>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</si>
  <si>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</si>
  <si>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</si>
  <si>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</si>
  <si>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место</t>
  </si>
  <si>
    <t>Д. р., разряд</t>
  </si>
  <si>
    <t>Вед., регион</t>
  </si>
  <si>
    <t>Оценки</t>
  </si>
  <si>
    <t>Кол-во баллов</t>
  </si>
  <si>
    <t>Рез-т</t>
  </si>
  <si>
    <t>Время</t>
  </si>
  <si>
    <t>ВСТРЕЧА 1</t>
  </si>
  <si>
    <t>Цвет</t>
  </si>
  <si>
    <t>Р.К.</t>
  </si>
  <si>
    <t>Б</t>
  </si>
  <si>
    <t>ВСТРЕЧА 2</t>
  </si>
  <si>
    <t>ФИНАЛ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</si>
  <si>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</si>
  <si>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</si>
  <si>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</si>
  <si>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</si>
  <si>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</si>
  <si>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</si>
  <si>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</si>
  <si>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</si>
  <si>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</si>
  <si>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</si>
  <si>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</si>
  <si>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</si>
  <si>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</si>
  <si>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</si>
  <si>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</si>
  <si>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</si>
  <si>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</si>
  <si>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</si>
  <si>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</si>
  <si>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</si>
  <si>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</si>
  <si>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</si>
  <si>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</si>
  <si>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</si>
  <si>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</si>
  <si>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</si>
  <si>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</si>
  <si>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</si>
  <si>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ВСЕРОССИЙСКАЯ ФЕДЕРАЦИЯ САМБО</t>
  </si>
  <si>
    <t>Субъект</t>
  </si>
  <si>
    <t>очки</t>
  </si>
  <si>
    <t>НАГРАДНОЙ ЛИСТ</t>
  </si>
  <si>
    <t>I м</t>
  </si>
  <si>
    <t>II м</t>
  </si>
  <si>
    <t>III м</t>
  </si>
  <si>
    <t>Награждение проводят:</t>
  </si>
  <si>
    <t>фин</t>
  </si>
  <si>
    <t>круг3</t>
  </si>
  <si>
    <t>круг4</t>
  </si>
  <si>
    <t>пф</t>
  </si>
  <si>
    <t xml:space="preserve"> КРУГ 1</t>
  </si>
  <si>
    <t>круг5</t>
  </si>
  <si>
    <r>
      <t>1</t>
    </r>
    <r>
      <rPr>
        <sz val="9"/>
        <rFont val="Arial"/>
        <family val="2"/>
        <charset val="204"/>
      </rPr>
      <t>пф</t>
    </r>
  </si>
  <si>
    <r>
      <t>2</t>
    </r>
    <r>
      <rPr>
        <sz val="9"/>
        <rFont val="Arial"/>
        <family val="2"/>
        <charset val="204"/>
      </rPr>
      <t>пф</t>
    </r>
  </si>
  <si>
    <t>круг6</t>
  </si>
  <si>
    <t>гл.судья:</t>
  </si>
  <si>
    <t>гл.секретарь:</t>
  </si>
  <si>
    <t>судьи:</t>
  </si>
  <si>
    <t>врач:</t>
  </si>
  <si>
    <t>Дата рожд. разряд</t>
  </si>
  <si>
    <t>№пп</t>
  </si>
  <si>
    <t>СМИТ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</si>
  <si>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</si>
  <si>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</si>
  <si>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</si>
  <si>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</si>
  <si>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</si>
  <si>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</si>
  <si>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</si>
  <si>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</si>
  <si>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</si>
  <si>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</si>
  <si>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</si>
  <si>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</si>
  <si>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</si>
  <si>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</si>
  <si>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</si>
  <si>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</si>
  <si>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Субъект, город.</t>
  </si>
  <si>
    <t>Мандатка</t>
  </si>
  <si>
    <t>Ком. Первенство</t>
  </si>
  <si>
    <t>3кр</t>
  </si>
  <si>
    <t>4кр</t>
  </si>
  <si>
    <t>5кр</t>
  </si>
  <si>
    <t>6кр</t>
  </si>
  <si>
    <t>ЕстьПустые</t>
  </si>
  <si>
    <t>НетПустых</t>
  </si>
  <si>
    <t>Е4кр</t>
  </si>
  <si>
    <t>Н4кр</t>
  </si>
  <si>
    <t>Е5кр</t>
  </si>
  <si>
    <t>Н5кр</t>
  </si>
  <si>
    <t>Е6кр</t>
  </si>
  <si>
    <t>Н6кр</t>
  </si>
  <si>
    <t>Тренер победителя: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</si>
  <si>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</si>
  <si>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</si>
  <si>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</si>
  <si>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</si>
  <si>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</si>
  <si>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</si>
  <si>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</si>
  <si>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</si>
  <si>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</si>
  <si>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</si>
  <si>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</si>
  <si>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</si>
  <si>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</si>
  <si>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</si>
  <si>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победы</t>
  </si>
  <si>
    <t>оч</t>
  </si>
  <si>
    <t>круги</t>
  </si>
  <si>
    <t>круг7</t>
  </si>
  <si>
    <t>7кр</t>
  </si>
  <si>
    <t>Е7кр</t>
  </si>
  <si>
    <t>Н7кр</t>
  </si>
  <si>
    <t/>
  </si>
  <si>
    <t xml:space="preserve">Ковер №  </t>
  </si>
  <si>
    <t>СОСТАВ ПАР ПО КРУГАМ</t>
  </si>
  <si>
    <t xml:space="preserve"> КРУГ 2</t>
  </si>
  <si>
    <t xml:space="preserve"> КРУГ 3</t>
  </si>
  <si>
    <t xml:space="preserve"> КРУГ 4</t>
  </si>
  <si>
    <t xml:space="preserve"> КРУГ 5</t>
  </si>
  <si>
    <t xml:space="preserve"> КРУГ 6</t>
  </si>
  <si>
    <t xml:space="preserve"> КРУГ 7</t>
  </si>
  <si>
    <t>06-09 февраля 2018г.</t>
  </si>
  <si>
    <t>г.Новосибирск</t>
  </si>
  <si>
    <t>кг.</t>
  </si>
  <si>
    <t>в весовой категории до</t>
  </si>
  <si>
    <t>Занявшая I место                                        в Первенстве России                           среди девушек (17-18 лет)</t>
  </si>
  <si>
    <t>НАГРАЖДАЕТСЯ</t>
  </si>
  <si>
    <t>Занявшая II место                                        в Первенстве России                           среди девушек (17-18 лет)</t>
  </si>
  <si>
    <t>Занявшая III место                                        в Первенстве России                           среди девушек (17-18 лет)</t>
  </si>
  <si>
    <t>ПРОТОКОЛ ВЗВЕШИВАНИЯ</t>
  </si>
  <si>
    <t>ПРОТОКОЛ ХОДА СОРЕВНОВАНИЙ  ЖЕНЩИНЫ</t>
  </si>
  <si>
    <t>ИТОГОВЫЙ ПРОТОКОЛ ЖЕНЩИНЫ</t>
  </si>
  <si>
    <t>УФО</t>
  </si>
  <si>
    <t>Челябинская, Челябинск</t>
  </si>
  <si>
    <t>Кадолин В.И.</t>
  </si>
  <si>
    <t>Свердловская, Екатеринбург, СШОР ПО САМБО И ДЗЮДО</t>
  </si>
  <si>
    <t>ШКЕТ Ольга Владимировна</t>
  </si>
  <si>
    <t>11.05.96, МС</t>
  </si>
  <si>
    <t>Курганская, Курган, СШОР№1</t>
  </si>
  <si>
    <t>Осипов В.Ю., Герасимов Д.В.</t>
  </si>
  <si>
    <t>ГАВРИЛОВА Полина Сергеевна</t>
  </si>
  <si>
    <t>23.06.96, КМС</t>
  </si>
  <si>
    <t>Свердловская, Серов</t>
  </si>
  <si>
    <t>Ушаков П.С.</t>
  </si>
  <si>
    <t>ГАСПАРЯН Наре Петросовна</t>
  </si>
  <si>
    <t>26.02.97, КМС</t>
  </si>
  <si>
    <t>ВИНИЧЕНКО Екатерина Константиновна</t>
  </si>
  <si>
    <t>16.02.97, КМС</t>
  </si>
  <si>
    <t>Старков А.А.</t>
  </si>
  <si>
    <t>В.к. 52 кг.</t>
  </si>
  <si>
    <t>участника</t>
  </si>
  <si>
    <t>0,15</t>
  </si>
  <si>
    <t>2,03</t>
  </si>
  <si>
    <t>А2</t>
  </si>
  <si>
    <t>А1</t>
  </si>
  <si>
    <t>Б2</t>
  </si>
  <si>
    <t>Б1</t>
  </si>
  <si>
    <t>2,05</t>
  </si>
  <si>
    <t>2,29</t>
  </si>
  <si>
    <t>ЗА ПРИЗ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</si>
</sst>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62">
    <font>
      <sz val="10"/>
      <name val="Arial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 Narrow"/>
      <family val="2"/>
      <charset val="204"/>
    </font>
    <font>
      <b/>
      <sz val="10"/>
      <color indexed="10"/>
      <name val="Arial"/>
      <family val="2"/>
      <charset val="204"/>
    </font>
    <font>
      <sz val="12"/>
      <name val="Arial"/>
      <family val="2"/>
      <charset val="204"/>
    </font>
    <font>
      <b/>
      <sz val="10"/>
      <name val="Arial Narrow"/>
      <family val="2"/>
      <charset val="204"/>
    </font>
    <font>
      <b/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8"/>
      <name val="Arial"/>
      <family val="2"/>
      <charset val="204"/>
    </font>
    <font>
      <sz val="10"/>
      <name val="Century Gothic"/>
      <family val="2"/>
      <charset val="204"/>
    </font>
    <font>
      <b/>
      <sz val="12"/>
      <name val="Century Gothic"/>
      <family val="2"/>
      <charset val="204"/>
    </font>
    <font>
      <b/>
      <sz val="10"/>
      <name val="Century Gothic"/>
      <family val="2"/>
      <charset val="204"/>
    </font>
    <font>
      <b/>
      <sz val="10"/>
      <color indexed="10"/>
      <name val="Century Gothic"/>
      <family val="2"/>
      <charset val="204"/>
    </font>
    <font>
      <b/>
      <sz val="9"/>
      <name val="Arial Narrow"/>
      <family val="2"/>
      <charset val="204"/>
    </font>
    <font>
      <b/>
      <sz val="12"/>
      <name val="Arial Narrow"/>
      <family val="2"/>
      <charset val="204"/>
    </font>
    <font>
      <b/>
      <sz val="16"/>
      <color indexed="10"/>
      <name val="CyrillicOld"/>
    </font>
    <font>
      <b/>
      <i/>
      <sz val="10"/>
      <name val="Arial"/>
      <family val="2"/>
      <charset val="204"/>
    </font>
    <font>
      <b/>
      <i/>
      <sz val="10"/>
      <name val="Arial Narrow"/>
      <family val="2"/>
      <charset val="204"/>
    </font>
    <font>
      <b/>
      <sz val="10"/>
      <color indexed="9"/>
      <name val="Arial Narrow"/>
      <family val="2"/>
      <charset val="204"/>
    </font>
    <font>
      <b/>
      <sz val="8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8"/>
      <name val="Arial Narrow"/>
      <family val="2"/>
      <charset val="204"/>
    </font>
    <font>
      <sz val="9"/>
      <name val="Arial"/>
      <family val="2"/>
      <charset val="204"/>
    </font>
    <font>
      <i/>
      <u/>
      <sz val="11"/>
      <name val="Arial"/>
      <family val="2"/>
      <charset val="204"/>
    </font>
    <font>
      <b/>
      <sz val="14"/>
      <color indexed="9"/>
      <name val="Arial Narrow"/>
      <family val="2"/>
      <charset val="204"/>
    </font>
    <font>
      <b/>
      <i/>
      <sz val="12"/>
      <name val="Arial Narrow"/>
      <family val="2"/>
      <charset val="204"/>
    </font>
    <font>
      <sz val="12"/>
      <name val="Century Gothic"/>
      <family val="2"/>
      <charset val="204"/>
    </font>
    <font>
      <b/>
      <sz val="14"/>
      <name val="Century Gothic"/>
      <family val="2"/>
      <charset val="204"/>
    </font>
    <font>
      <b/>
      <i/>
      <sz val="11"/>
      <name val="Arial Narrow"/>
      <family val="2"/>
      <charset val="204"/>
    </font>
    <font>
      <sz val="9"/>
      <name val="Arial Narrow"/>
      <family val="2"/>
      <charset val="204"/>
    </font>
    <font>
      <b/>
      <sz val="11"/>
      <name val="Arial"/>
      <family val="2"/>
      <charset val="204"/>
    </font>
    <font>
      <sz val="14"/>
      <color indexed="10"/>
      <name val="CyrillicOld"/>
    </font>
    <font>
      <b/>
      <sz val="16"/>
      <name val="CyrillicOld"/>
    </font>
    <font>
      <sz val="10"/>
      <color rgb="FFFF0000"/>
      <name val="Arial"/>
      <family val="2"/>
      <charset val="204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.5"/>
      <color rgb="FF000000"/>
      <name val="Arial"/>
      <family val="2"/>
      <charset val="204"/>
    </font>
    <font>
      <b/>
      <sz val="12"/>
      <color rgb="FFFF0000"/>
      <name val="Arial"/>
      <family val="2"/>
      <charset val="204"/>
    </font>
    <font>
      <b/>
      <sz val="10"/>
      <color theme="0"/>
      <name val="Arial Narrow"/>
      <family val="2"/>
      <charset val="204"/>
    </font>
    <font>
      <sz val="10"/>
      <color theme="0"/>
      <name val="Arial Narrow"/>
      <family val="2"/>
      <charset val="204"/>
    </font>
    <font>
      <sz val="10"/>
      <color theme="0"/>
      <name val="Century Gothic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sz val="11"/>
      <name val="Arial"/>
      <family val="2"/>
      <charset val="204"/>
    </font>
    <font>
      <b/>
      <sz val="10"/>
      <color theme="0"/>
      <name val="Century Gothic"/>
      <family val="2"/>
      <charset val="204"/>
    </font>
    <font>
      <b/>
      <sz val="8"/>
      <name val="Arial"/>
      <family val="2"/>
      <charset val="204"/>
    </font>
    <font>
      <sz val="14"/>
      <name val="Arial Narrow"/>
      <family val="2"/>
      <charset val="204"/>
    </font>
    <font>
      <b/>
      <sz val="20"/>
      <name val="Arial Narrow"/>
      <family val="2"/>
      <charset val="204"/>
    </font>
    <font>
      <b/>
      <sz val="12"/>
      <color theme="0"/>
      <name val="Arial Narrow"/>
      <family val="2"/>
      <charset val="204"/>
    </font>
    <font>
      <i/>
      <sz val="12"/>
      <name val="Arial"/>
      <family val="2"/>
      <charset val="204"/>
    </font>
    <font>
      <i/>
      <sz val="20"/>
      <name val="Arial"/>
      <family val="2"/>
      <charset val="204"/>
    </font>
    <font>
      <b/>
      <sz val="20"/>
      <name val="Arial"/>
      <family val="2"/>
      <charset val="204"/>
    </font>
    <font>
      <u/>
      <sz val="20"/>
      <name val="Arial"/>
      <family val="2"/>
      <charset val="204"/>
    </font>
    <font>
      <b/>
      <sz val="18"/>
      <name val="Arial"/>
      <family val="2"/>
      <charset val="204"/>
    </font>
  </fonts>
  <fills count="1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9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0" fillId="0" borderId="0"/>
    <xf numFmtId="164" fontId="1" fillId="0" borderId="0" applyFont="0" applyFill="0" applyBorder="0" applyAlignment="0" applyProtection="0"/>
    <xf numFmtId="0" fontId="1" fillId="0" borderId="0"/>
  </cellStyleXfs>
  <cellXfs count="610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Border="1"/>
    <xf numFmtId="0" fontId="5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0" xfId="0" applyFont="1"/>
    <xf numFmtId="0" fontId="0" fillId="0" borderId="2" xfId="0" applyBorder="1"/>
    <xf numFmtId="0" fontId="0" fillId="0" borderId="3" xfId="0" applyBorder="1"/>
    <xf numFmtId="0" fontId="6" fillId="0" borderId="1" xfId="0" applyFont="1" applyBorder="1" applyAlignment="1">
      <alignment horizontal="center" vertical="center" wrapText="1"/>
    </xf>
    <xf numFmtId="0" fontId="0" fillId="0" borderId="0" xfId="0" applyNumberFormat="1"/>
    <xf numFmtId="0" fontId="3" fillId="0" borderId="0" xfId="0" applyNumberFormat="1" applyFont="1" applyAlignment="1">
      <alignment horizontal="center" vertical="center"/>
    </xf>
    <xf numFmtId="0" fontId="14" fillId="0" borderId="0" xfId="0" applyFont="1"/>
    <xf numFmtId="0" fontId="9" fillId="0" borderId="0" xfId="0" applyFont="1" applyAlignment="1">
      <alignment horizontal="center" vertical="center"/>
    </xf>
    <xf numFmtId="49" fontId="11" fillId="0" borderId="0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7" fillId="0" borderId="0" xfId="0" applyFont="1" applyBorder="1" applyAlignment="1">
      <alignment vertical="center" wrapText="1"/>
    </xf>
    <xf numFmtId="0" fontId="15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 wrapText="1"/>
    </xf>
    <xf numFmtId="0" fontId="14" fillId="0" borderId="0" xfId="0" applyFont="1" applyBorder="1" applyAlignment="1"/>
    <xf numFmtId="0" fontId="3" fillId="0" borderId="0" xfId="0" applyFont="1"/>
    <xf numFmtId="0" fontId="19" fillId="0" borderId="0" xfId="0" applyFont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0" fontId="9" fillId="0" borderId="0" xfId="1" applyNumberFormat="1" applyFont="1" applyAlignment="1" applyProtection="1">
      <alignment horizontal="center"/>
    </xf>
    <xf numFmtId="0" fontId="22" fillId="0" borderId="0" xfId="1" applyNumberFormat="1" applyFont="1" applyFill="1" applyBorder="1" applyAlignment="1" applyProtection="1">
      <alignment vertical="center" wrapText="1"/>
    </xf>
    <xf numFmtId="0" fontId="5" fillId="0" borderId="0" xfId="1" applyFont="1" applyBorder="1" applyAlignment="1" applyProtection="1">
      <alignment vertical="center" wrapText="1"/>
    </xf>
    <xf numFmtId="0" fontId="0" fillId="0" borderId="0" xfId="0" applyFill="1" applyBorder="1"/>
    <xf numFmtId="0" fontId="26" fillId="0" borderId="0" xfId="0" applyFont="1"/>
    <xf numFmtId="0" fontId="25" fillId="0" borderId="0" xfId="0" applyFont="1"/>
    <xf numFmtId="0" fontId="0" fillId="0" borderId="0" xfId="0" applyAlignment="1">
      <alignment horizontal="right"/>
    </xf>
    <xf numFmtId="0" fontId="25" fillId="0" borderId="3" xfId="0" applyFont="1" applyBorder="1"/>
    <xf numFmtId="0" fontId="25" fillId="0" borderId="0" xfId="0" applyFont="1" applyBorder="1"/>
    <xf numFmtId="0" fontId="25" fillId="0" borderId="1" xfId="0" applyFont="1" applyBorder="1"/>
    <xf numFmtId="0" fontId="14" fillId="0" borderId="4" xfId="0" applyFont="1" applyBorder="1" applyAlignment="1">
      <alignment vertical="center"/>
    </xf>
    <xf numFmtId="0" fontId="18" fillId="0" borderId="0" xfId="0" applyFont="1" applyFill="1" applyBorder="1" applyAlignment="1">
      <alignment vertical="center" textRotation="90" wrapText="1"/>
    </xf>
    <xf numFmtId="0" fontId="6" fillId="0" borderId="0" xfId="0" applyFont="1" applyFill="1" applyBorder="1" applyAlignment="1">
      <alignment vertical="center" textRotation="90" wrapText="1"/>
    </xf>
    <xf numFmtId="0" fontId="23" fillId="0" borderId="0" xfId="0" applyFont="1" applyFill="1" applyBorder="1" applyAlignment="1">
      <alignment vertical="center" textRotation="90" wrapText="1"/>
    </xf>
    <xf numFmtId="0" fontId="19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29" fillId="0" borderId="7" xfId="0" applyNumberFormat="1" applyFont="1" applyBorder="1" applyAlignment="1">
      <alignment horizontal="center" vertical="center"/>
    </xf>
    <xf numFmtId="49" fontId="29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29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0" fontId="9" fillId="8" borderId="12" xfId="1" applyFont="1" applyFill="1" applyBorder="1" applyAlignment="1" applyProtection="1">
      <alignment horizontal="center" vertical="center" wrapText="1"/>
    </xf>
    <xf numFmtId="0" fontId="0" fillId="0" borderId="4" xfId="0" applyBorder="1"/>
    <xf numFmtId="0" fontId="14" fillId="0" borderId="15" xfId="0" applyFont="1" applyBorder="1" applyAlignment="1">
      <alignment vertical="center"/>
    </xf>
    <xf numFmtId="0" fontId="14" fillId="0" borderId="16" xfId="0" applyFont="1" applyBorder="1" applyAlignment="1">
      <alignment vertical="center"/>
    </xf>
    <xf numFmtId="0" fontId="10" fillId="9" borderId="12" xfId="0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9" borderId="12" xfId="0" applyFont="1" applyFill="1" applyBorder="1" applyAlignment="1">
      <alignment vertical="center"/>
    </xf>
    <xf numFmtId="0" fontId="0" fillId="10" borderId="0" xfId="0" applyFill="1"/>
    <xf numFmtId="0" fontId="14" fillId="11" borderId="4" xfId="0" applyFont="1" applyFill="1" applyBorder="1" applyAlignment="1">
      <alignment vertical="center"/>
    </xf>
    <xf numFmtId="49" fontId="29" fillId="0" borderId="18" xfId="0" applyNumberFormat="1" applyFont="1" applyBorder="1" applyAlignment="1">
      <alignment horizontal="center" vertical="center"/>
    </xf>
    <xf numFmtId="0" fontId="10" fillId="0" borderId="0" xfId="0" applyFont="1"/>
    <xf numFmtId="0" fontId="0" fillId="0" borderId="0" xfId="0" applyAlignment="1">
      <alignment horizontal="center"/>
    </xf>
    <xf numFmtId="0" fontId="11" fillId="0" borderId="20" xfId="0" applyFont="1" applyBorder="1" applyAlignment="1" applyProtection="1">
      <alignment horizontal="center"/>
      <protection locked="0" hidden="1"/>
    </xf>
    <xf numFmtId="0" fontId="11" fillId="0" borderId="21" xfId="0" applyFont="1" applyBorder="1" applyAlignment="1" applyProtection="1">
      <alignment horizontal="center"/>
      <protection locked="0" hidden="1"/>
    </xf>
    <xf numFmtId="0" fontId="11" fillId="0" borderId="22" xfId="0" applyFont="1" applyBorder="1" applyAlignment="1">
      <alignment horizontal="left" vertical="center"/>
    </xf>
    <xf numFmtId="0" fontId="19" fillId="0" borderId="23" xfId="0" applyFont="1" applyFill="1" applyBorder="1" applyAlignment="1" applyProtection="1">
      <alignment horizontal="center" vertical="center"/>
      <protection locked="0"/>
    </xf>
    <xf numFmtId="0" fontId="19" fillId="0" borderId="24" xfId="0" applyFont="1" applyFill="1" applyBorder="1" applyAlignment="1" applyProtection="1">
      <alignment horizontal="center" vertical="center"/>
      <protection locked="0"/>
    </xf>
    <xf numFmtId="0" fontId="19" fillId="0" borderId="25" xfId="0" applyFont="1" applyFill="1" applyBorder="1" applyAlignment="1" applyProtection="1">
      <alignment horizontal="center" vertical="center"/>
      <protection locked="0"/>
    </xf>
    <xf numFmtId="0" fontId="11" fillId="0" borderId="26" xfId="0" applyFont="1" applyBorder="1" applyAlignment="1" applyProtection="1">
      <alignment horizontal="center"/>
      <protection locked="0" hidden="1"/>
    </xf>
    <xf numFmtId="0" fontId="11" fillId="0" borderId="27" xfId="0" applyNumberFormat="1" applyFont="1" applyFill="1" applyBorder="1" applyAlignment="1" applyProtection="1">
      <alignment horizontal="center"/>
      <protection locked="0" hidden="1"/>
    </xf>
    <xf numFmtId="0" fontId="11" fillId="10" borderId="27" xfId="0" applyNumberFormat="1" applyFont="1" applyFill="1" applyBorder="1" applyAlignment="1" applyProtection="1">
      <alignment horizontal="center"/>
      <protection locked="0" hidden="1"/>
    </xf>
    <xf numFmtId="0" fontId="11" fillId="0" borderId="0" xfId="0" applyFont="1" applyBorder="1" applyAlignment="1" applyProtection="1">
      <alignment horizontal="center"/>
    </xf>
    <xf numFmtId="0" fontId="11" fillId="0" borderId="0" xfId="0" applyFont="1" applyFill="1" applyBorder="1"/>
    <xf numFmtId="0" fontId="19" fillId="4" borderId="28" xfId="0" applyNumberFormat="1" applyFont="1" applyFill="1" applyBorder="1" applyAlignment="1" applyProtection="1">
      <alignment horizontal="center" vertical="center"/>
      <protection locked="0" hidden="1"/>
    </xf>
    <xf numFmtId="0" fontId="0" fillId="0" borderId="14" xfId="0" applyBorder="1"/>
    <xf numFmtId="0" fontId="42" fillId="0" borderId="20" xfId="0" applyFont="1" applyBorder="1" applyAlignment="1" applyProtection="1">
      <alignment horizontal="center"/>
      <protection locked="0" hidden="1"/>
    </xf>
    <xf numFmtId="0" fontId="42" fillId="0" borderId="27" xfId="0" applyNumberFormat="1" applyFont="1" applyFill="1" applyBorder="1" applyAlignment="1" applyProtection="1">
      <alignment horizontal="center"/>
      <protection locked="0" hidden="1"/>
    </xf>
    <xf numFmtId="0" fontId="42" fillId="10" borderId="27" xfId="0" applyNumberFormat="1" applyFont="1" applyFill="1" applyBorder="1" applyAlignment="1" applyProtection="1">
      <alignment horizontal="center"/>
      <protection locked="0" hidden="1"/>
    </xf>
    <xf numFmtId="0" fontId="42" fillId="0" borderId="21" xfId="0" applyFont="1" applyBorder="1" applyAlignment="1" applyProtection="1">
      <alignment horizontal="center"/>
      <protection locked="0" hidden="1"/>
    </xf>
    <xf numFmtId="0" fontId="42" fillId="0" borderId="22" xfId="0" applyFont="1" applyBorder="1" applyAlignment="1">
      <alignment horizontal="left" vertical="center"/>
    </xf>
    <xf numFmtId="0" fontId="42" fillId="0" borderId="21" xfId="0" applyFont="1" applyBorder="1" applyAlignment="1">
      <alignment horizontal="left" vertical="center"/>
    </xf>
    <xf numFmtId="0" fontId="14" fillId="10" borderId="0" xfId="0" applyFont="1" applyFill="1" applyAlignment="1">
      <alignment horizontal="center" vertical="center"/>
    </xf>
    <xf numFmtId="0" fontId="7" fillId="10" borderId="0" xfId="0" applyFont="1" applyFill="1" applyBorder="1" applyAlignment="1">
      <alignment horizontal="center" vertical="center"/>
    </xf>
    <xf numFmtId="0" fontId="14" fillId="10" borderId="0" xfId="0" applyFont="1" applyFill="1" applyBorder="1" applyAlignment="1">
      <alignment vertical="center"/>
    </xf>
    <xf numFmtId="0" fontId="14" fillId="11" borderId="13" xfId="0" applyFont="1" applyFill="1" applyBorder="1" applyAlignment="1">
      <alignment vertical="center"/>
    </xf>
    <xf numFmtId="0" fontId="14" fillId="7" borderId="4" xfId="0" applyFont="1" applyFill="1" applyBorder="1" applyAlignment="1">
      <alignment horizontal="center" vertical="center"/>
    </xf>
    <xf numFmtId="0" fontId="14" fillId="10" borderId="4" xfId="0" applyFont="1" applyFill="1" applyBorder="1" applyAlignment="1">
      <alignment vertical="center"/>
    </xf>
    <xf numFmtId="0" fontId="7" fillId="10" borderId="0" xfId="0" applyFont="1" applyFill="1" applyBorder="1" applyAlignment="1"/>
    <xf numFmtId="0" fontId="7" fillId="10" borderId="14" xfId="0" applyFont="1" applyFill="1" applyBorder="1" applyAlignment="1">
      <alignment horizontal="center" vertical="center"/>
    </xf>
    <xf numFmtId="0" fontId="14" fillId="10" borderId="14" xfId="0" applyFont="1" applyFill="1" applyBorder="1" applyAlignment="1">
      <alignment vertical="center"/>
    </xf>
    <xf numFmtId="0" fontId="14" fillId="10" borderId="0" xfId="0" applyFont="1" applyFill="1" applyBorder="1" applyAlignment="1">
      <alignment horizontal="center" vertical="center"/>
    </xf>
    <xf numFmtId="0" fontId="43" fillId="0" borderId="0" xfId="0" applyFont="1"/>
    <xf numFmtId="0" fontId="10" fillId="0" borderId="0" xfId="1" applyFont="1" applyAlignment="1" applyProtection="1"/>
    <xf numFmtId="0" fontId="19" fillId="0" borderId="0" xfId="0" applyFont="1"/>
    <xf numFmtId="0" fontId="36" fillId="0" borderId="0" xfId="1" applyFont="1" applyAlignment="1" applyProtection="1"/>
    <xf numFmtId="0" fontId="3" fillId="0" borderId="0" xfId="1" applyFont="1" applyAlignment="1" applyProtection="1"/>
    <xf numFmtId="0" fontId="19" fillId="0" borderId="0" xfId="0" applyFont="1" applyBorder="1"/>
    <xf numFmtId="0" fontId="3" fillId="0" borderId="0" xfId="0" applyFont="1" applyBorder="1"/>
    <xf numFmtId="0" fontId="11" fillId="0" borderId="0" xfId="0" applyFont="1"/>
    <xf numFmtId="0" fontId="3" fillId="0" borderId="2" xfId="0" applyFont="1" applyBorder="1"/>
    <xf numFmtId="0" fontId="11" fillId="0" borderId="2" xfId="0" applyFont="1" applyBorder="1"/>
    <xf numFmtId="0" fontId="3" fillId="0" borderId="1" xfId="0" applyFont="1" applyBorder="1"/>
    <xf numFmtId="0" fontId="37" fillId="0" borderId="0" xfId="0" applyFont="1"/>
    <xf numFmtId="0" fontId="39" fillId="0" borderId="0" xfId="0" applyFont="1" applyAlignment="1">
      <alignment vertical="center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0" fontId="19" fillId="0" borderId="31" xfId="0" applyFont="1" applyFill="1" applyBorder="1" applyAlignment="1" applyProtection="1">
      <alignment horizontal="center" vertical="center"/>
      <protection locked="0"/>
    </xf>
    <xf numFmtId="0" fontId="19" fillId="0" borderId="32" xfId="0" applyFont="1" applyFill="1" applyBorder="1" applyAlignment="1" applyProtection="1">
      <alignment horizontal="center" vertical="center"/>
      <protection locked="0"/>
    </xf>
    <xf numFmtId="0" fontId="19" fillId="0" borderId="33" xfId="0" applyFont="1" applyFill="1" applyBorder="1" applyAlignment="1" applyProtection="1">
      <alignment horizontal="center" vertical="center"/>
      <protection locked="0"/>
    </xf>
    <xf numFmtId="0" fontId="11" fillId="0" borderId="34" xfId="0" applyFont="1" applyBorder="1" applyAlignment="1" applyProtection="1">
      <alignment horizontal="center"/>
      <protection locked="0" hidden="1"/>
    </xf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11" fillId="0" borderId="38" xfId="0" applyFont="1" applyBorder="1" applyAlignment="1" applyProtection="1">
      <alignment horizontal="center"/>
      <protection locked="0" hidden="1"/>
    </xf>
    <xf numFmtId="0" fontId="0" fillId="0" borderId="39" xfId="0" applyBorder="1"/>
    <xf numFmtId="0" fontId="0" fillId="0" borderId="40" xfId="0" applyBorder="1"/>
    <xf numFmtId="0" fontId="11" fillId="0" borderId="41" xfId="0" applyFont="1" applyBorder="1" applyAlignment="1" applyProtection="1">
      <alignment horizontal="center"/>
      <protection locked="0" hidden="1"/>
    </xf>
    <xf numFmtId="0" fontId="11" fillId="0" borderId="42" xfId="0" applyFont="1" applyBorder="1" applyAlignment="1" applyProtection="1">
      <alignment horizontal="center"/>
      <protection locked="0" hidden="1"/>
    </xf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19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0" fillId="9" borderId="0" xfId="0" applyFill="1"/>
    <xf numFmtId="0" fontId="10" fillId="9" borderId="12" xfId="0" applyFont="1" applyFill="1" applyBorder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44" fillId="0" borderId="0" xfId="0" applyFont="1" applyAlignment="1">
      <alignment vertical="center"/>
    </xf>
    <xf numFmtId="0" fontId="14" fillId="12" borderId="4" xfId="0" applyFont="1" applyFill="1" applyBorder="1" applyAlignment="1">
      <alignment horizontal="center" vertical="center"/>
    </xf>
    <xf numFmtId="0" fontId="16" fillId="0" borderId="0" xfId="0" applyFont="1" applyBorder="1" applyAlignment="1">
      <alignment vertical="center" wrapText="1"/>
    </xf>
    <xf numFmtId="49" fontId="29" fillId="0" borderId="0" xfId="0" applyNumberFormat="1" applyFont="1" applyBorder="1" applyAlignment="1">
      <alignment horizontal="center" vertical="center"/>
    </xf>
    <xf numFmtId="0" fontId="41" fillId="0" borderId="0" xfId="0" applyFont="1" applyAlignment="1">
      <alignment horizontal="right"/>
    </xf>
    <xf numFmtId="0" fontId="40" fillId="0" borderId="0" xfId="0" applyFont="1" applyAlignment="1">
      <alignment vertical="center"/>
    </xf>
    <xf numFmtId="0" fontId="1" fillId="0" borderId="0" xfId="4"/>
    <xf numFmtId="0" fontId="5" fillId="0" borderId="0" xfId="4" applyNumberFormat="1" applyFont="1" applyAlignment="1">
      <alignment vertical="center" wrapText="1"/>
    </xf>
    <xf numFmtId="0" fontId="7" fillId="0" borderId="0" xfId="4" applyFont="1"/>
    <xf numFmtId="0" fontId="1" fillId="0" borderId="0" xfId="4" applyBorder="1" applyAlignment="1"/>
    <xf numFmtId="0" fontId="1" fillId="0" borderId="0" xfId="4" applyBorder="1" applyAlignment="1" applyProtection="1">
      <protection locked="0"/>
    </xf>
    <xf numFmtId="0" fontId="1" fillId="0" borderId="0" xfId="4" applyProtection="1">
      <protection locked="0"/>
    </xf>
    <xf numFmtId="0" fontId="1" fillId="0" borderId="0" xfId="4" applyProtection="1">
      <protection hidden="1"/>
    </xf>
    <xf numFmtId="0" fontId="1" fillId="0" borderId="17" xfId="4" applyBorder="1" applyProtection="1">
      <protection locked="0" hidden="1"/>
    </xf>
    <xf numFmtId="0" fontId="1" fillId="0" borderId="4" xfId="4" applyFont="1" applyBorder="1" applyProtection="1">
      <protection locked="0" hidden="1"/>
    </xf>
    <xf numFmtId="0" fontId="1" fillId="0" borderId="0" xfId="4" applyProtection="1">
      <protection locked="0" hidden="1"/>
    </xf>
    <xf numFmtId="0" fontId="21" fillId="0" borderId="0" xfId="4" applyFont="1" applyProtection="1">
      <protection locked="0" hidden="1"/>
    </xf>
    <xf numFmtId="0" fontId="1" fillId="0" borderId="12" xfId="4" applyBorder="1" applyProtection="1">
      <protection hidden="1"/>
    </xf>
    <xf numFmtId="0" fontId="1" fillId="0" borderId="12" xfId="4" applyFont="1" applyBorder="1" applyProtection="1">
      <protection hidden="1"/>
    </xf>
    <xf numFmtId="0" fontId="1" fillId="0" borderId="0" xfId="4" applyFill="1" applyBorder="1" applyProtection="1">
      <protection hidden="1"/>
    </xf>
    <xf numFmtId="49" fontId="1" fillId="0" borderId="4" xfId="4" applyNumberFormat="1" applyBorder="1" applyAlignment="1">
      <alignment horizontal="center" vertical="center" wrapText="1"/>
    </xf>
    <xf numFmtId="0" fontId="1" fillId="10" borderId="4" xfId="4" applyFont="1" applyFill="1" applyBorder="1" applyAlignment="1">
      <alignment horizontal="center" vertical="center" wrapText="1"/>
    </xf>
    <xf numFmtId="0" fontId="1" fillId="10" borderId="4" xfId="4" applyFont="1" applyFill="1" applyBorder="1" applyAlignment="1">
      <alignment vertical="center" wrapText="1"/>
    </xf>
    <xf numFmtId="0" fontId="3" fillId="10" borderId="4" xfId="4" applyFont="1" applyFill="1" applyBorder="1" applyAlignment="1">
      <alignment vertical="center" wrapText="1"/>
    </xf>
    <xf numFmtId="14" fontId="1" fillId="10" borderId="4" xfId="4" applyNumberFormat="1" applyFont="1" applyFill="1" applyBorder="1" applyAlignment="1">
      <alignment vertical="center" wrapText="1"/>
    </xf>
    <xf numFmtId="49" fontId="1" fillId="10" borderId="4" xfId="4" applyNumberFormat="1" applyFont="1" applyFill="1" applyBorder="1" applyAlignment="1">
      <alignment vertical="center" wrapText="1"/>
    </xf>
    <xf numFmtId="0" fontId="3" fillId="10" borderId="13" xfId="4" applyFont="1" applyFill="1" applyBorder="1" applyAlignment="1">
      <alignment vertical="center" wrapText="1"/>
    </xf>
    <xf numFmtId="0" fontId="1" fillId="0" borderId="14" xfId="4" applyBorder="1"/>
    <xf numFmtId="0" fontId="1" fillId="0" borderId="30" xfId="4" applyBorder="1" applyAlignment="1" applyProtection="1">
      <protection hidden="1"/>
    </xf>
    <xf numFmtId="0" fontId="3" fillId="0" borderId="4" xfId="4" applyFont="1" applyBorder="1" applyAlignment="1" applyProtection="1">
      <alignment vertical="center" wrapText="1"/>
      <protection hidden="1"/>
    </xf>
    <xf numFmtId="0" fontId="3" fillId="0" borderId="4" xfId="4" applyFont="1" applyBorder="1" applyAlignment="1" applyProtection="1">
      <alignment horizontal="center" vertical="center" wrapText="1"/>
      <protection hidden="1"/>
    </xf>
    <xf numFmtId="0" fontId="41" fillId="10" borderId="4" xfId="4" applyFont="1" applyFill="1" applyBorder="1" applyProtection="1">
      <protection hidden="1"/>
    </xf>
    <xf numFmtId="0" fontId="1" fillId="0" borderId="4" xfId="4" applyBorder="1" applyProtection="1">
      <protection locked="0" hidden="1"/>
    </xf>
    <xf numFmtId="0" fontId="1" fillId="10" borderId="4" xfId="4" applyFont="1" applyFill="1" applyBorder="1" applyProtection="1">
      <protection locked="0" hidden="1"/>
    </xf>
    <xf numFmtId="0" fontId="1" fillId="10" borderId="30" xfId="3" applyNumberFormat="1" applyFont="1" applyFill="1" applyBorder="1" applyProtection="1">
      <protection locked="0" hidden="1"/>
    </xf>
    <xf numFmtId="0" fontId="1" fillId="10" borderId="4" xfId="3" applyNumberFormat="1" applyFont="1" applyFill="1" applyBorder="1" applyProtection="1">
      <protection locked="0" hidden="1"/>
    </xf>
    <xf numFmtId="0" fontId="1" fillId="10" borderId="0" xfId="4" applyFont="1" applyFill="1" applyProtection="1">
      <protection locked="0" hidden="1"/>
    </xf>
    <xf numFmtId="0" fontId="1" fillId="0" borderId="16" xfId="4" applyBorder="1" applyProtection="1">
      <protection hidden="1"/>
    </xf>
    <xf numFmtId="0" fontId="1" fillId="0" borderId="4" xfId="4" applyBorder="1" applyProtection="1">
      <protection hidden="1"/>
    </xf>
    <xf numFmtId="0" fontId="1" fillId="10" borderId="0" xfId="4" applyFill="1" applyProtection="1">
      <protection locked="0" hidden="1"/>
    </xf>
    <xf numFmtId="0" fontId="3" fillId="0" borderId="4" xfId="4" applyFont="1" applyBorder="1" applyAlignment="1">
      <alignment vertical="center" wrapText="1"/>
    </xf>
    <xf numFmtId="0" fontId="1" fillId="10" borderId="29" xfId="4" applyFill="1" applyBorder="1" applyProtection="1">
      <protection locked="0" hidden="1"/>
    </xf>
    <xf numFmtId="0" fontId="4" fillId="0" borderId="4" xfId="4" applyFont="1" applyBorder="1" applyAlignment="1">
      <alignment horizontal="center" vertical="center" wrapText="1"/>
    </xf>
    <xf numFmtId="0" fontId="1" fillId="0" borderId="4" xfId="4" applyBorder="1" applyAlignment="1"/>
    <xf numFmtId="0" fontId="1" fillId="0" borderId="0" xfId="4" applyBorder="1"/>
    <xf numFmtId="0" fontId="1" fillId="0" borderId="14" xfId="4" applyFill="1" applyBorder="1" applyProtection="1">
      <protection hidden="1"/>
    </xf>
    <xf numFmtId="0" fontId="1" fillId="0" borderId="13" xfId="4" applyBorder="1" applyProtection="1">
      <protection hidden="1"/>
    </xf>
    <xf numFmtId="0" fontId="3" fillId="0" borderId="4" xfId="4" applyNumberFormat="1" applyFont="1" applyBorder="1" applyAlignment="1" applyProtection="1">
      <alignment vertical="center" wrapText="1"/>
      <protection hidden="1"/>
    </xf>
    <xf numFmtId="49" fontId="3" fillId="0" borderId="4" xfId="4" applyNumberFormat="1" applyFont="1" applyBorder="1" applyAlignment="1" applyProtection="1">
      <alignment vertical="center" wrapText="1"/>
      <protection hidden="1"/>
    </xf>
    <xf numFmtId="0" fontId="1" fillId="0" borderId="4" xfId="4" applyBorder="1"/>
    <xf numFmtId="0" fontId="1" fillId="10" borderId="0" xfId="3" applyNumberFormat="1" applyFont="1" applyFill="1" applyBorder="1" applyProtection="1">
      <protection locked="0" hidden="1"/>
    </xf>
    <xf numFmtId="0" fontId="7" fillId="0" borderId="0" xfId="4" applyFont="1" applyFill="1" applyBorder="1" applyProtection="1">
      <protection hidden="1"/>
    </xf>
    <xf numFmtId="0" fontId="1" fillId="0" borderId="0" xfId="4" applyFont="1"/>
    <xf numFmtId="49" fontId="1" fillId="0" borderId="0" xfId="4" applyNumberFormat="1" applyBorder="1" applyAlignment="1">
      <alignment vertical="center" wrapText="1"/>
    </xf>
    <xf numFmtId="0" fontId="1" fillId="0" borderId="4" xfId="4" applyFont="1" applyFill="1" applyBorder="1" applyAlignment="1" applyProtection="1">
      <alignment wrapText="1"/>
      <protection hidden="1"/>
    </xf>
    <xf numFmtId="0" fontId="1" fillId="0" borderId="4" xfId="4" applyBorder="1" applyAlignment="1" applyProtection="1">
      <alignment wrapText="1"/>
      <protection hidden="1"/>
    </xf>
    <xf numFmtId="0" fontId="34" fillId="0" borderId="38" xfId="0" applyFont="1" applyBorder="1" applyAlignment="1">
      <alignment horizontal="center" vertical="center"/>
    </xf>
    <xf numFmtId="0" fontId="35" fillId="0" borderId="38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47" fillId="0" borderId="0" xfId="0" applyFont="1" applyBorder="1" applyAlignment="1">
      <alignment vertical="center" wrapText="1"/>
    </xf>
    <xf numFmtId="0" fontId="34" fillId="0" borderId="41" xfId="0" applyFont="1" applyBorder="1" applyAlignment="1">
      <alignment horizontal="center" vertical="center"/>
    </xf>
    <xf numFmtId="0" fontId="34" fillId="0" borderId="42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7" fillId="0" borderId="4" xfId="0" applyFont="1" applyBorder="1" applyAlignment="1">
      <alignment vertical="center" wrapText="1"/>
    </xf>
    <xf numFmtId="0" fontId="3" fillId="0" borderId="44" xfId="0" applyFont="1" applyBorder="1" applyAlignment="1">
      <alignment vertical="center" wrapText="1"/>
    </xf>
    <xf numFmtId="0" fontId="47" fillId="0" borderId="44" xfId="0" applyFont="1" applyBorder="1" applyAlignment="1">
      <alignment vertical="center" wrapText="1"/>
    </xf>
    <xf numFmtId="0" fontId="35" fillId="0" borderId="41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1" fontId="14" fillId="0" borderId="0" xfId="0" applyNumberFormat="1" applyFont="1"/>
    <xf numFmtId="0" fontId="1" fillId="0" borderId="0" xfId="0" applyFont="1"/>
    <xf numFmtId="0" fontId="4" fillId="0" borderId="44" xfId="0" applyFont="1" applyBorder="1" applyAlignment="1">
      <alignment vertical="center" wrapText="1"/>
    </xf>
    <xf numFmtId="0" fontId="1" fillId="10" borderId="0" xfId="0" applyFont="1" applyFill="1" applyAlignment="1">
      <alignment horizontal="center" vertical="center"/>
    </xf>
    <xf numFmtId="0" fontId="1" fillId="10" borderId="0" xfId="0" applyFont="1" applyFill="1"/>
    <xf numFmtId="0" fontId="1" fillId="0" borderId="0" xfId="1" applyFont="1" applyAlignment="1" applyProtection="1"/>
    <xf numFmtId="0" fontId="1" fillId="0" borderId="2" xfId="0" applyFont="1" applyBorder="1"/>
    <xf numFmtId="0" fontId="48" fillId="0" borderId="14" xfId="0" applyFont="1" applyFill="1" applyBorder="1" applyAlignment="1">
      <alignment vertical="center"/>
    </xf>
    <xf numFmtId="0" fontId="10" fillId="10" borderId="0" xfId="0" applyFont="1" applyFill="1" applyBorder="1"/>
    <xf numFmtId="0" fontId="0" fillId="10" borderId="0" xfId="0" applyFill="1" applyBorder="1" applyAlignment="1">
      <alignment horizontal="center" vertical="center"/>
    </xf>
    <xf numFmtId="0" fontId="1" fillId="0" borderId="0" xfId="4" applyAlignment="1">
      <alignment horizontal="center"/>
    </xf>
    <xf numFmtId="0" fontId="14" fillId="10" borderId="4" xfId="0" applyFont="1" applyFill="1" applyBorder="1" applyAlignment="1">
      <alignment horizontal="center" vertical="center"/>
    </xf>
    <xf numFmtId="0" fontId="14" fillId="12" borderId="13" xfId="0" applyFont="1" applyFill="1" applyBorder="1" applyAlignment="1">
      <alignment horizontal="center" vertical="center"/>
    </xf>
    <xf numFmtId="0" fontId="14" fillId="7" borderId="30" xfId="0" applyFont="1" applyFill="1" applyBorder="1" applyAlignment="1">
      <alignment horizontal="center" vertical="center"/>
    </xf>
    <xf numFmtId="0" fontId="0" fillId="10" borderId="0" xfId="0" applyFill="1" applyBorder="1"/>
    <xf numFmtId="0" fontId="7" fillId="10" borderId="0" xfId="0" applyFont="1" applyFill="1" applyBorder="1" applyAlignment="1">
      <alignment horizontal="center"/>
    </xf>
    <xf numFmtId="0" fontId="7" fillId="10" borderId="4" xfId="0" applyFont="1" applyFill="1" applyBorder="1" applyAlignment="1">
      <alignment horizontal="center" vertical="center"/>
    </xf>
    <xf numFmtId="0" fontId="14" fillId="10" borderId="17" xfId="0" applyFont="1" applyFill="1" applyBorder="1" applyAlignment="1">
      <alignment vertical="center"/>
    </xf>
    <xf numFmtId="0" fontId="1" fillId="9" borderId="0" xfId="0" applyFont="1" applyFill="1"/>
    <xf numFmtId="0" fontId="1" fillId="0" borderId="0" xfId="4" applyNumberFormat="1"/>
    <xf numFmtId="0" fontId="7" fillId="0" borderId="0" xfId="1" applyNumberFormat="1" applyFont="1" applyAlignment="1" applyProtection="1">
      <alignment horizontal="center" vertical="center"/>
    </xf>
    <xf numFmtId="0" fontId="3" fillId="0" borderId="0" xfId="0" applyNumberFormat="1" applyFont="1" applyAlignment="1">
      <alignment vertical="center" wrapText="1"/>
    </xf>
    <xf numFmtId="0" fontId="55" fillId="0" borderId="0" xfId="0" applyNumberFormat="1" applyFont="1" applyAlignment="1">
      <alignment horizontal="left" vertical="center" wrapText="1"/>
    </xf>
    <xf numFmtId="0" fontId="3" fillId="0" borderId="6" xfId="0" applyNumberFormat="1" applyFont="1" applyBorder="1" applyAlignment="1">
      <alignment horizontal="center" vertical="center"/>
    </xf>
    <xf numFmtId="0" fontId="43" fillId="0" borderId="37" xfId="0" applyFont="1" applyBorder="1"/>
    <xf numFmtId="0" fontId="43" fillId="0" borderId="40" xfId="0" applyFont="1" applyBorder="1"/>
    <xf numFmtId="0" fontId="43" fillId="0" borderId="45" xfId="0" applyFont="1" applyBorder="1"/>
    <xf numFmtId="0" fontId="56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3" fillId="10" borderId="4" xfId="4" applyFont="1" applyFill="1" applyBorder="1" applyAlignment="1">
      <alignment vertical="top" wrapText="1"/>
    </xf>
    <xf numFmtId="0" fontId="3" fillId="0" borderId="0" xfId="4" applyFont="1"/>
    <xf numFmtId="0" fontId="37" fillId="0" borderId="0" xfId="4" applyFont="1"/>
    <xf numFmtId="0" fontId="57" fillId="0" borderId="0" xfId="4" applyFont="1"/>
    <xf numFmtId="0" fontId="41" fillId="0" borderId="0" xfId="4" applyFont="1" applyAlignment="1">
      <alignment horizontal="right"/>
    </xf>
    <xf numFmtId="0" fontId="58" fillId="0" borderId="0" xfId="4" applyFont="1" applyAlignment="1"/>
    <xf numFmtId="0" fontId="59" fillId="0" borderId="64" xfId="4" applyFont="1" applyBorder="1" applyAlignment="1">
      <alignment horizontal="center" vertical="center"/>
    </xf>
    <xf numFmtId="0" fontId="1" fillId="0" borderId="0" xfId="4" applyAlignment="1"/>
    <xf numFmtId="0" fontId="58" fillId="0" borderId="0" xfId="4" applyFont="1" applyAlignment="1">
      <alignment wrapText="1"/>
    </xf>
    <xf numFmtId="0" fontId="1" fillId="0" borderId="0" xfId="4" applyAlignment="1">
      <alignment horizontal="right"/>
    </xf>
    <xf numFmtId="0" fontId="1" fillId="10" borderId="0" xfId="4" applyFill="1"/>
    <xf numFmtId="0" fontId="60" fillId="0" borderId="0" xfId="4" applyFont="1" applyAlignment="1">
      <alignment vertical="center"/>
    </xf>
    <xf numFmtId="0" fontId="1" fillId="0" borderId="0" xfId="0" applyFont="1" applyBorder="1" applyAlignment="1"/>
    <xf numFmtId="0" fontId="0" fillId="0" borderId="0" xfId="0" applyBorder="1" applyAlignment="1"/>
    <xf numFmtId="0" fontId="0" fillId="0" borderId="0" xfId="0" applyAlignment="1">
      <alignment horizontal="center"/>
    </xf>
    <xf numFmtId="0" fontId="48" fillId="0" borderId="62" xfId="0" applyFont="1" applyBorder="1" applyAlignment="1">
      <alignment horizontal="center" vertical="center"/>
    </xf>
    <xf numFmtId="0" fontId="14" fillId="10" borderId="0" xfId="0" applyFont="1" applyFill="1" applyBorder="1" applyAlignment="1">
      <alignment horizontal="center" vertical="center" wrapText="1"/>
    </xf>
    <xf numFmtId="0" fontId="24" fillId="10" borderId="4" xfId="0" applyFont="1" applyFill="1" applyBorder="1" applyAlignment="1">
      <alignment horizontal="center" vertical="center" textRotation="90" wrapText="1"/>
    </xf>
    <xf numFmtId="0" fontId="24" fillId="10" borderId="4" xfId="0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52" fillId="0" borderId="14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24" fillId="10" borderId="17" xfId="0" applyNumberFormat="1" applyFont="1" applyFill="1" applyBorder="1" applyAlignment="1">
      <alignment horizontal="center" vertical="center" wrapText="1"/>
    </xf>
    <xf numFmtId="0" fontId="24" fillId="10" borderId="16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1" fillId="0" borderId="0" xfId="4" applyBorder="1" applyAlignment="1" applyProtection="1">
      <alignment horizontal="center"/>
      <protection hidden="1"/>
    </xf>
    <xf numFmtId="0" fontId="3" fillId="0" borderId="0" xfId="4" applyFont="1" applyBorder="1" applyAlignment="1" applyProtection="1">
      <alignment vertical="center" wrapText="1"/>
      <protection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45" fillId="0" borderId="50" xfId="4" applyFont="1" applyBorder="1" applyAlignment="1">
      <alignment horizontal="center" vertical="center"/>
    </xf>
    <xf numFmtId="0" fontId="45" fillId="0" borderId="51" xfId="4" applyFont="1" applyBorder="1" applyAlignment="1">
      <alignment horizontal="center" vertical="center"/>
    </xf>
    <xf numFmtId="0" fontId="45" fillId="0" borderId="52" xfId="4" applyFont="1" applyBorder="1" applyAlignment="1">
      <alignment horizontal="center" vertical="center"/>
    </xf>
    <xf numFmtId="0" fontId="45" fillId="0" borderId="53" xfId="4" applyFont="1" applyBorder="1" applyAlignment="1">
      <alignment horizontal="center" vertical="center"/>
    </xf>
    <xf numFmtId="0" fontId="1" fillId="0" borderId="0" xfId="4" applyFont="1" applyAlignment="1">
      <alignment horizontal="center"/>
    </xf>
    <xf numFmtId="0" fontId="1" fillId="0" borderId="0" xfId="4" applyAlignment="1">
      <alignment horizontal="center"/>
    </xf>
    <xf numFmtId="0" fontId="21" fillId="0" borderId="0" xfId="4" applyFont="1" applyAlignment="1">
      <alignment horizontal="center" vertical="center"/>
    </xf>
    <xf numFmtId="0" fontId="5" fillId="0" borderId="0" xfId="1" applyFont="1" applyBorder="1" applyAlignment="1" applyProtection="1">
      <alignment horizontal="center" vertical="center" wrapText="1"/>
    </xf>
    <xf numFmtId="0" fontId="38" fillId="0" borderId="0" xfId="4" applyFont="1" applyAlignment="1" applyProtection="1">
      <alignment horizontal="center"/>
      <protection locked="0"/>
    </xf>
    <xf numFmtId="0" fontId="3" fillId="0" borderId="4" xfId="4" applyFont="1" applyBorder="1" applyAlignment="1">
      <alignment horizontal="center" vertical="center" wrapText="1"/>
    </xf>
    <xf numFmtId="0" fontId="3" fillId="0" borderId="17" xfId="4" applyFont="1" applyBorder="1" applyAlignment="1">
      <alignment horizontal="center" vertical="center" wrapText="1"/>
    </xf>
    <xf numFmtId="0" fontId="12" fillId="0" borderId="4" xfId="4" applyFont="1" applyBorder="1" applyAlignment="1">
      <alignment horizontal="center" vertical="center" wrapText="1"/>
    </xf>
    <xf numFmtId="0" fontId="3" fillId="0" borderId="47" xfId="4" applyNumberFormat="1" applyFont="1" applyBorder="1" applyAlignment="1">
      <alignment horizontal="center" vertical="center" wrapText="1"/>
    </xf>
    <xf numFmtId="0" fontId="3" fillId="0" borderId="48" xfId="4" applyNumberFormat="1" applyFont="1" applyBorder="1" applyAlignment="1">
      <alignment horizontal="center" vertical="center" wrapText="1"/>
    </xf>
    <xf numFmtId="0" fontId="3" fillId="0" borderId="14" xfId="4" applyNumberFormat="1" applyFont="1" applyBorder="1" applyAlignment="1">
      <alignment horizontal="center" vertical="center" wrapText="1"/>
    </xf>
    <xf numFmtId="0" fontId="3" fillId="0" borderId="29" xfId="4" applyNumberFormat="1" applyFont="1" applyBorder="1" applyAlignment="1">
      <alignment horizontal="center" vertical="center" wrapText="1"/>
    </xf>
    <xf numFmtId="0" fontId="28" fillId="0" borderId="0" xfId="1" applyNumberFormat="1" applyFont="1" applyFill="1" applyBorder="1" applyAlignment="1" applyProtection="1">
      <alignment horizontal="center" vertical="center" wrapText="1"/>
    </xf>
    <xf numFmtId="0" fontId="0" fillId="0" borderId="7" xfId="0" applyNumberFormat="1" applyBorder="1" applyAlignment="1">
      <alignment horizontal="center"/>
    </xf>
    <xf numFmtId="0" fontId="3" fillId="0" borderId="34" xfId="0" applyNumberFormat="1" applyFont="1" applyBorder="1" applyAlignment="1">
      <alignment horizontal="center" vertical="center" wrapText="1"/>
    </xf>
    <xf numFmtId="0" fontId="3" fillId="0" borderId="42" xfId="0" applyNumberFormat="1" applyFont="1" applyBorder="1" applyAlignment="1">
      <alignment horizontal="center" vertical="center" wrapText="1"/>
    </xf>
    <xf numFmtId="0" fontId="3" fillId="0" borderId="26" xfId="0" applyNumberFormat="1" applyFont="1" applyBorder="1" applyAlignment="1">
      <alignment horizontal="center" vertical="center" wrapText="1"/>
    </xf>
    <xf numFmtId="0" fontId="3" fillId="0" borderId="54" xfId="0" applyNumberFormat="1" applyFont="1" applyBorder="1" applyAlignment="1">
      <alignment horizontal="center" vertical="center" wrapText="1"/>
    </xf>
    <xf numFmtId="0" fontId="3" fillId="0" borderId="19" xfId="0" applyNumberFormat="1" applyFont="1" applyBorder="1" applyAlignment="1">
      <alignment horizontal="center" vertical="center" wrapText="1"/>
    </xf>
    <xf numFmtId="0" fontId="3" fillId="0" borderId="55" xfId="0" applyNumberFormat="1" applyFont="1" applyBorder="1" applyAlignment="1">
      <alignment horizontal="center" vertical="center" wrapText="1"/>
    </xf>
    <xf numFmtId="0" fontId="3" fillId="0" borderId="50" xfId="0" applyNumberFormat="1" applyFont="1" applyBorder="1" applyAlignment="1">
      <alignment horizontal="center" vertical="center" wrapText="1"/>
    </xf>
    <xf numFmtId="0" fontId="3" fillId="0" borderId="51" xfId="0" applyNumberFormat="1" applyFont="1" applyBorder="1" applyAlignment="1">
      <alignment horizontal="center" vertical="center" wrapText="1"/>
    </xf>
    <xf numFmtId="0" fontId="3" fillId="0" borderId="52" xfId="0" applyNumberFormat="1" applyFont="1" applyBorder="1" applyAlignment="1">
      <alignment horizontal="center" vertical="center" wrapText="1"/>
    </xf>
    <xf numFmtId="0" fontId="3" fillId="0" borderId="53" xfId="0" applyNumberFormat="1" applyFont="1" applyBorder="1" applyAlignment="1">
      <alignment horizontal="center" vertical="center" wrapText="1"/>
    </xf>
    <xf numFmtId="0" fontId="3" fillId="0" borderId="11" xfId="0" applyNumberFormat="1" applyFont="1" applyBorder="1" applyAlignment="1">
      <alignment horizontal="center" vertical="center" wrapText="1"/>
    </xf>
    <xf numFmtId="0" fontId="3" fillId="0" borderId="56" xfId="0" applyNumberFormat="1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54" fillId="0" borderId="0" xfId="0" applyNumberFormat="1" applyFont="1" applyAlignment="1">
      <alignment horizontal="right" vertical="center" wrapText="1"/>
    </xf>
    <xf numFmtId="0" fontId="3" fillId="0" borderId="0" xfId="0" applyNumberFormat="1" applyFont="1" applyAlignment="1">
      <alignment horizontal="left" vertical="center" wrapText="1"/>
    </xf>
    <xf numFmtId="0" fontId="3" fillId="0" borderId="35" xfId="0" applyNumberFormat="1" applyFont="1" applyBorder="1" applyAlignment="1">
      <alignment horizontal="center" vertical="center" wrapText="1"/>
    </xf>
    <xf numFmtId="0" fontId="3" fillId="0" borderId="39" xfId="0" applyNumberFormat="1" applyFont="1" applyBorder="1" applyAlignment="1">
      <alignment horizontal="center" vertical="center" wrapText="1"/>
    </xf>
    <xf numFmtId="0" fontId="1" fillId="0" borderId="36" xfId="1" applyNumberFormat="1" applyFont="1" applyFill="1" applyBorder="1" applyAlignment="1" applyProtection="1">
      <alignment horizontal="left" vertical="center" wrapText="1"/>
    </xf>
    <xf numFmtId="0" fontId="1" fillId="0" borderId="4" xfId="1" applyNumberFormat="1" applyFont="1" applyFill="1" applyBorder="1" applyAlignment="1" applyProtection="1">
      <alignment horizontal="left" vertical="center" wrapText="1"/>
    </xf>
    <xf numFmtId="0" fontId="1" fillId="0" borderId="36" xfId="1" applyNumberFormat="1" applyFont="1" applyFill="1" applyBorder="1" applyAlignment="1" applyProtection="1">
      <alignment horizontal="center" vertical="center" wrapText="1"/>
    </xf>
    <xf numFmtId="0" fontId="1" fillId="0" borderId="4" xfId="1" applyNumberFormat="1" applyFont="1" applyFill="1" applyBorder="1" applyAlignment="1" applyProtection="1">
      <alignment horizontal="center" vertical="center" wrapText="1"/>
    </xf>
    <xf numFmtId="0" fontId="1" fillId="0" borderId="57" xfId="1" applyNumberFormat="1" applyFont="1" applyFill="1" applyBorder="1" applyAlignment="1" applyProtection="1">
      <alignment horizontal="center" vertical="center" wrapText="1"/>
    </xf>
    <xf numFmtId="0" fontId="1" fillId="0" borderId="16" xfId="1" applyNumberFormat="1" applyFont="1" applyFill="1" applyBorder="1" applyAlignment="1" applyProtection="1">
      <alignment horizontal="center" vertical="center" wrapText="1"/>
    </xf>
    <xf numFmtId="0" fontId="6" fillId="0" borderId="36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3" fillId="0" borderId="36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37" xfId="0" applyNumberFormat="1" applyFont="1" applyBorder="1" applyAlignment="1">
      <alignment horizontal="center" vertical="center" wrapText="1"/>
    </xf>
    <xf numFmtId="0" fontId="3" fillId="0" borderId="40" xfId="0" applyNumberFormat="1" applyFont="1" applyBorder="1" applyAlignment="1">
      <alignment horizontal="center" vertical="center" wrapText="1"/>
    </xf>
    <xf numFmtId="0" fontId="37" fillId="0" borderId="35" xfId="0" applyNumberFormat="1" applyFont="1" applyBorder="1" applyAlignment="1">
      <alignment horizontal="center" vertical="center" wrapText="1"/>
    </xf>
    <xf numFmtId="0" fontId="37" fillId="0" borderId="39" xfId="0" applyNumberFormat="1" applyFont="1" applyBorder="1" applyAlignment="1">
      <alignment horizontal="center" vertical="center" wrapText="1"/>
    </xf>
    <xf numFmtId="0" fontId="3" fillId="0" borderId="27" xfId="0" applyNumberFormat="1" applyFont="1" applyBorder="1" applyAlignment="1">
      <alignment horizontal="center" vertical="center" wrapText="1"/>
    </xf>
    <xf numFmtId="0" fontId="1" fillId="0" borderId="17" xfId="1" applyNumberFormat="1" applyFont="1" applyFill="1" applyBorder="1" applyAlignment="1" applyProtection="1">
      <alignment horizontal="left" vertical="center" wrapText="1"/>
    </xf>
    <xf numFmtId="0" fontId="1" fillId="0" borderId="24" xfId="1" applyNumberFormat="1" applyFont="1" applyFill="1" applyBorder="1" applyAlignment="1" applyProtection="1">
      <alignment horizontal="left" vertical="center" wrapText="1"/>
    </xf>
    <xf numFmtId="0" fontId="1" fillId="0" borderId="17" xfId="1" applyNumberFormat="1" applyFont="1" applyFill="1" applyBorder="1" applyAlignment="1" applyProtection="1">
      <alignment horizontal="center" vertical="center" wrapText="1"/>
    </xf>
    <xf numFmtId="0" fontId="1" fillId="0" borderId="24" xfId="1" applyNumberFormat="1" applyFont="1" applyFill="1" applyBorder="1" applyAlignment="1" applyProtection="1">
      <alignment horizontal="center" vertical="center" wrapText="1"/>
    </xf>
    <xf numFmtId="0" fontId="6" fillId="0" borderId="44" xfId="0" applyNumberFormat="1" applyFont="1" applyBorder="1" applyAlignment="1">
      <alignment horizontal="center" vertical="center" wrapText="1"/>
    </xf>
    <xf numFmtId="0" fontId="3" fillId="0" borderId="44" xfId="0" applyNumberFormat="1" applyFont="1" applyBorder="1" applyAlignment="1">
      <alignment horizontal="center" vertical="center" wrapText="1"/>
    </xf>
    <xf numFmtId="0" fontId="3" fillId="0" borderId="45" xfId="0" applyNumberFormat="1" applyFont="1" applyBorder="1" applyAlignment="1">
      <alignment horizontal="center" vertical="center" wrapText="1"/>
    </xf>
    <xf numFmtId="0" fontId="37" fillId="0" borderId="43" xfId="0" applyNumberFormat="1" applyFont="1" applyBorder="1" applyAlignment="1">
      <alignment horizontal="center" vertical="center" wrapText="1"/>
    </xf>
    <xf numFmtId="0" fontId="1" fillId="0" borderId="57" xfId="1" applyNumberFormat="1" applyFont="1" applyFill="1" applyBorder="1" applyAlignment="1" applyProtection="1">
      <alignment horizontal="left" vertical="center" wrapText="1"/>
    </xf>
    <xf numFmtId="0" fontId="1" fillId="0" borderId="16" xfId="1" applyNumberFormat="1" applyFont="1" applyFill="1" applyBorder="1" applyAlignment="1" applyProtection="1">
      <alignment horizontal="left" vertical="center" wrapText="1"/>
    </xf>
    <xf numFmtId="0" fontId="37" fillId="0" borderId="60" xfId="0" applyNumberFormat="1" applyFont="1" applyBorder="1" applyAlignment="1">
      <alignment horizontal="center" vertical="center" wrapText="1"/>
    </xf>
    <xf numFmtId="0" fontId="37" fillId="0" borderId="27" xfId="0" applyNumberFormat="1" applyFont="1" applyBorder="1" applyAlignment="1">
      <alignment horizontal="center" vertical="center" wrapText="1"/>
    </xf>
    <xf numFmtId="0" fontId="37" fillId="0" borderId="61" xfId="0" applyNumberFormat="1" applyFont="1" applyBorder="1" applyAlignment="1">
      <alignment horizontal="center" vertical="center" wrapText="1"/>
    </xf>
    <xf numFmtId="0" fontId="37" fillId="0" borderId="23" xfId="0" applyNumberFormat="1" applyFont="1" applyBorder="1" applyAlignment="1">
      <alignment horizontal="center" vertical="center" wrapText="1"/>
    </xf>
    <xf numFmtId="0" fontId="10" fillId="0" borderId="17" xfId="1" applyNumberFormat="1" applyFont="1" applyFill="1" applyBorder="1" applyAlignment="1" applyProtection="1">
      <alignment horizontal="left" vertical="center" wrapText="1"/>
    </xf>
    <xf numFmtId="0" fontId="10" fillId="0" borderId="24" xfId="1" applyNumberFormat="1" applyFont="1" applyFill="1" applyBorder="1" applyAlignment="1" applyProtection="1">
      <alignment horizontal="left" vertical="center" wrapText="1"/>
    </xf>
    <xf numFmtId="0" fontId="10" fillId="0" borderId="17" xfId="1" applyNumberFormat="1" applyFont="1" applyFill="1" applyBorder="1" applyAlignment="1" applyProtection="1">
      <alignment horizontal="center" vertical="center" wrapText="1"/>
    </xf>
    <xf numFmtId="0" fontId="10" fillId="0" borderId="24" xfId="1" applyNumberFormat="1" applyFont="1" applyFill="1" applyBorder="1" applyAlignment="1" applyProtection="1">
      <alignment horizontal="center" vertical="center" wrapText="1"/>
    </xf>
    <xf numFmtId="0" fontId="10" fillId="0" borderId="57" xfId="1" applyNumberFormat="1" applyFont="1" applyFill="1" applyBorder="1" applyAlignment="1" applyProtection="1">
      <alignment horizontal="left" vertical="center" wrapText="1"/>
    </xf>
    <xf numFmtId="0" fontId="10" fillId="0" borderId="16" xfId="1" applyNumberFormat="1" applyFont="1" applyFill="1" applyBorder="1" applyAlignment="1" applyProtection="1">
      <alignment horizontal="left" vertical="center" wrapText="1"/>
    </xf>
    <xf numFmtId="0" fontId="10" fillId="0" borderId="57" xfId="1" applyNumberFormat="1" applyFont="1" applyFill="1" applyBorder="1" applyAlignment="1" applyProtection="1">
      <alignment horizontal="center" vertical="center" wrapText="1"/>
    </xf>
    <xf numFmtId="0" fontId="10" fillId="0" borderId="16" xfId="1" applyNumberFormat="1" applyFont="1" applyFill="1" applyBorder="1" applyAlignment="1" applyProtection="1">
      <alignment horizontal="center" vertical="center" wrapText="1"/>
    </xf>
    <xf numFmtId="0" fontId="24" fillId="0" borderId="36" xfId="0" applyNumberFormat="1" applyFont="1" applyBorder="1" applyAlignment="1">
      <alignment horizontal="center" vertical="center" wrapText="1"/>
    </xf>
    <xf numFmtId="0" fontId="24" fillId="0" borderId="4" xfId="0" applyNumberFormat="1" applyFont="1" applyBorder="1" applyAlignment="1">
      <alignment horizontal="center" vertical="center" wrapText="1"/>
    </xf>
    <xf numFmtId="0" fontId="6" fillId="0" borderId="58" xfId="0" applyNumberFormat="1" applyFont="1" applyBorder="1" applyAlignment="1">
      <alignment horizontal="center" vertical="center" wrapText="1"/>
    </xf>
    <xf numFmtId="0" fontId="6" fillId="0" borderId="30" xfId="0" applyNumberFormat="1" applyFont="1" applyBorder="1" applyAlignment="1">
      <alignment horizontal="center" vertical="center" wrapText="1"/>
    </xf>
    <xf numFmtId="0" fontId="6" fillId="0" borderId="59" xfId="0" applyNumberFormat="1" applyFont="1" applyBorder="1" applyAlignment="1">
      <alignment horizontal="center" vertical="center" wrapText="1"/>
    </xf>
    <xf numFmtId="0" fontId="3" fillId="0" borderId="43" xfId="0" applyNumberFormat="1" applyFont="1" applyBorder="1" applyAlignment="1">
      <alignment horizontal="center" vertical="center" wrapText="1"/>
    </xf>
    <xf numFmtId="0" fontId="46" fillId="0" borderId="4" xfId="0" applyNumberFormat="1" applyFont="1" applyBorder="1" applyAlignment="1">
      <alignment horizontal="center" vertical="center" wrapText="1"/>
    </xf>
    <xf numFmtId="0" fontId="46" fillId="0" borderId="44" xfId="0" applyNumberFormat="1" applyFont="1" applyBorder="1" applyAlignment="1">
      <alignment horizontal="center" vertical="center" wrapText="1"/>
    </xf>
    <xf numFmtId="0" fontId="27" fillId="5" borderId="50" xfId="0" applyFont="1" applyFill="1" applyBorder="1" applyAlignment="1">
      <alignment horizontal="center" vertical="center"/>
    </xf>
    <xf numFmtId="0" fontId="27" fillId="5" borderId="62" xfId="0" applyFont="1" applyFill="1" applyBorder="1" applyAlignment="1">
      <alignment horizontal="center" vertical="center"/>
    </xf>
    <xf numFmtId="0" fontId="27" fillId="5" borderId="52" xfId="0" applyFont="1" applyFill="1" applyBorder="1" applyAlignment="1">
      <alignment horizontal="center" vertical="center"/>
    </xf>
    <xf numFmtId="0" fontId="25" fillId="0" borderId="50" xfId="0" applyFont="1" applyBorder="1" applyAlignment="1">
      <alignment horizontal="center" vertical="center" wrapText="1"/>
    </xf>
    <xf numFmtId="0" fontId="25" fillId="0" borderId="63" xfId="0" applyFont="1" applyBorder="1" applyAlignment="1">
      <alignment horizontal="center" vertical="center" wrapText="1"/>
    </xf>
    <xf numFmtId="0" fontId="25" fillId="0" borderId="51" xfId="0" applyFont="1" applyBorder="1" applyAlignment="1">
      <alignment horizontal="center" vertical="center" wrapText="1"/>
    </xf>
    <xf numFmtId="0" fontId="25" fillId="0" borderId="52" xfId="0" applyFont="1" applyBorder="1" applyAlignment="1">
      <alignment horizontal="center" vertical="center" wrapText="1"/>
    </xf>
    <xf numFmtId="0" fontId="25" fillId="0" borderId="64" xfId="0" applyFont="1" applyBorder="1" applyAlignment="1">
      <alignment horizontal="center" vertical="center" wrapText="1"/>
    </xf>
    <xf numFmtId="0" fontId="25" fillId="0" borderId="53" xfId="0" applyFont="1" applyBorder="1" applyAlignment="1">
      <alignment horizontal="center" vertical="center" wrapText="1"/>
    </xf>
    <xf numFmtId="0" fontId="28" fillId="0" borderId="63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9" borderId="0" xfId="0" applyFont="1" applyFill="1" applyBorder="1" applyAlignment="1">
      <alignment horizontal="center" vertical="center" wrapText="1"/>
    </xf>
    <xf numFmtId="0" fontId="25" fillId="9" borderId="64" xfId="0" applyFont="1" applyFill="1" applyBorder="1" applyAlignment="1">
      <alignment horizontal="center" vertical="center" wrapText="1"/>
    </xf>
    <xf numFmtId="0" fontId="25" fillId="9" borderId="7" xfId="0" applyFont="1" applyFill="1" applyBorder="1" applyAlignment="1">
      <alignment horizontal="center" vertical="center" wrapText="1"/>
    </xf>
    <xf numFmtId="0" fontId="25" fillId="9" borderId="53" xfId="0" applyFont="1" applyFill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27" fillId="2" borderId="50" xfId="0" applyFont="1" applyFill="1" applyBorder="1" applyAlignment="1">
      <alignment horizontal="center" vertical="center"/>
    </xf>
    <xf numFmtId="0" fontId="27" fillId="2" borderId="62" xfId="0" applyFont="1" applyFill="1" applyBorder="1" applyAlignment="1">
      <alignment horizontal="center" vertical="center"/>
    </xf>
    <xf numFmtId="0" fontId="27" fillId="2" borderId="52" xfId="0" applyFont="1" applyFill="1" applyBorder="1" applyAlignment="1">
      <alignment horizontal="center" vertical="center"/>
    </xf>
    <xf numFmtId="0" fontId="28" fillId="9" borderId="63" xfId="0" applyFont="1" applyFill="1" applyBorder="1" applyAlignment="1">
      <alignment horizontal="left" vertical="center" wrapText="1"/>
    </xf>
    <xf numFmtId="0" fontId="28" fillId="9" borderId="0" xfId="0" applyFont="1" applyFill="1" applyBorder="1" applyAlignment="1">
      <alignment horizontal="left" vertical="center" wrapText="1"/>
    </xf>
    <xf numFmtId="0" fontId="33" fillId="4" borderId="65" xfId="1" applyFont="1" applyFill="1" applyBorder="1" applyAlignment="1" applyProtection="1">
      <alignment horizontal="center" vertical="center" wrapText="1"/>
    </xf>
    <xf numFmtId="0" fontId="33" fillId="4" borderId="66" xfId="1" applyFont="1" applyFill="1" applyBorder="1" applyAlignment="1" applyProtection="1">
      <alignment horizontal="center" vertical="center" wrapText="1"/>
    </xf>
    <xf numFmtId="0" fontId="33" fillId="4" borderId="67" xfId="1" applyFont="1" applyFill="1" applyBorder="1" applyAlignment="1" applyProtection="1">
      <alignment horizontal="center" vertical="center" wrapText="1"/>
    </xf>
    <xf numFmtId="0" fontId="1" fillId="0" borderId="63" xfId="1" applyFont="1" applyBorder="1" applyAlignment="1" applyProtection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32" fillId="6" borderId="65" xfId="1" applyFont="1" applyFill="1" applyBorder="1" applyAlignment="1" applyProtection="1">
      <alignment horizontal="center" vertical="center"/>
    </xf>
    <xf numFmtId="0" fontId="32" fillId="6" borderId="66" xfId="1" applyFont="1" applyFill="1" applyBorder="1" applyAlignment="1" applyProtection="1">
      <alignment horizontal="center" vertical="center"/>
    </xf>
    <xf numFmtId="0" fontId="32" fillId="6" borderId="67" xfId="1" applyFont="1" applyFill="1" applyBorder="1" applyAlignment="1" applyProtection="1">
      <alignment horizontal="center" vertical="center"/>
    </xf>
    <xf numFmtId="0" fontId="27" fillId="6" borderId="50" xfId="0" applyFont="1" applyFill="1" applyBorder="1" applyAlignment="1">
      <alignment horizontal="center" vertical="center"/>
    </xf>
    <xf numFmtId="0" fontId="27" fillId="6" borderId="62" xfId="0" applyFont="1" applyFill="1" applyBorder="1" applyAlignment="1">
      <alignment horizontal="center" vertical="center"/>
    </xf>
    <xf numFmtId="0" fontId="27" fillId="6" borderId="52" xfId="0" applyFont="1" applyFill="1" applyBorder="1" applyAlignment="1">
      <alignment horizontal="center" vertical="center"/>
    </xf>
    <xf numFmtId="0" fontId="25" fillId="9" borderId="5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" fillId="0" borderId="65" xfId="0" applyFont="1" applyBorder="1" applyAlignment="1">
      <alignment horizontal="center"/>
    </xf>
    <xf numFmtId="0" fontId="7" fillId="0" borderId="66" xfId="0" applyFont="1" applyBorder="1" applyAlignment="1">
      <alignment horizontal="center"/>
    </xf>
    <xf numFmtId="0" fontId="7" fillId="0" borderId="67" xfId="0" applyFont="1" applyBorder="1" applyAlignment="1">
      <alignment horizontal="center"/>
    </xf>
    <xf numFmtId="0" fontId="7" fillId="0" borderId="49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48" fillId="0" borderId="62" xfId="0" applyFont="1" applyBorder="1" applyAlignment="1">
      <alignment horizontal="center" vertical="center"/>
    </xf>
    <xf numFmtId="0" fontId="24" fillId="10" borderId="4" xfId="0" applyFont="1" applyFill="1" applyBorder="1" applyAlignment="1">
      <alignment horizontal="center" vertical="center" wrapText="1"/>
    </xf>
    <xf numFmtId="49" fontId="29" fillId="9" borderId="4" xfId="0" applyNumberFormat="1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textRotation="90" wrapText="1"/>
    </xf>
    <xf numFmtId="0" fontId="24" fillId="10" borderId="4" xfId="0" applyFont="1" applyFill="1" applyBorder="1" applyAlignment="1">
      <alignment horizontal="center" vertical="center" textRotation="90" wrapText="1"/>
    </xf>
    <xf numFmtId="49" fontId="24" fillId="10" borderId="4" xfId="0" applyNumberFormat="1" applyFont="1" applyFill="1" applyBorder="1" applyAlignment="1">
      <alignment horizontal="center" vertical="center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48" fillId="0" borderId="14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24" fillId="10" borderId="17" xfId="0" applyNumberFormat="1" applyFont="1" applyFill="1" applyBorder="1" applyAlignment="1">
      <alignment horizontal="center" vertical="center" wrapText="1"/>
    </xf>
    <xf numFmtId="0" fontId="24" fillId="10" borderId="16" xfId="0" applyNumberFormat="1" applyFont="1" applyFill="1" applyBorder="1" applyAlignment="1">
      <alignment horizontal="center" vertical="center" wrapText="1"/>
    </xf>
    <xf numFmtId="0" fontId="52" fillId="0" borderId="14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/>
    </xf>
    <xf numFmtId="0" fontId="24" fillId="14" borderId="4" xfId="0" applyFont="1" applyFill="1" applyBorder="1" applyAlignment="1">
      <alignment horizontal="center" vertical="center" textRotation="90" wrapText="1"/>
    </xf>
    <xf numFmtId="0" fontId="24" fillId="14" borderId="4" xfId="0" applyFont="1" applyFill="1" applyBorder="1" applyAlignment="1">
      <alignment horizontal="center" vertical="center" wrapText="1"/>
    </xf>
    <xf numFmtId="0" fontId="24" fillId="14" borderId="17" xfId="0" applyFont="1" applyFill="1" applyBorder="1" applyAlignment="1">
      <alignment horizontal="center" vertical="center"/>
    </xf>
    <xf numFmtId="0" fontId="24" fillId="14" borderId="16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9" fillId="0" borderId="0" xfId="1" applyFont="1" applyBorder="1" applyAlignment="1" applyProtection="1">
      <alignment horizontal="center" vertical="center" wrapText="1"/>
    </xf>
    <xf numFmtId="0" fontId="28" fillId="13" borderId="65" xfId="1" applyNumberFormat="1" applyFont="1" applyFill="1" applyBorder="1" applyAlignment="1" applyProtection="1">
      <alignment horizontal="center" vertical="center" wrapText="1"/>
    </xf>
    <xf numFmtId="0" fontId="28" fillId="13" borderId="66" xfId="1" applyNumberFormat="1" applyFont="1" applyFill="1" applyBorder="1" applyAlignment="1" applyProtection="1">
      <alignment horizontal="center" vertical="center" wrapText="1"/>
    </xf>
    <xf numFmtId="0" fontId="28" fillId="13" borderId="67" xfId="1" applyNumberFormat="1" applyFont="1" applyFill="1" applyBorder="1" applyAlignment="1" applyProtection="1">
      <alignment horizontal="center" vertical="center" wrapText="1"/>
    </xf>
    <xf numFmtId="0" fontId="51" fillId="0" borderId="64" xfId="1" applyFont="1" applyBorder="1" applyAlignment="1" applyProtection="1">
      <alignment horizontal="center" vertical="center" wrapText="1"/>
    </xf>
    <xf numFmtId="0" fontId="31" fillId="0" borderId="52" xfId="1" applyFont="1" applyBorder="1" applyAlignment="1" applyProtection="1">
      <alignment horizontal="center" vertical="center" wrapText="1"/>
    </xf>
    <xf numFmtId="0" fontId="31" fillId="0" borderId="64" xfId="1" applyFont="1" applyBorder="1" applyAlignment="1" applyProtection="1">
      <alignment horizontal="center" vertical="center" wrapText="1"/>
    </xf>
    <xf numFmtId="0" fontId="31" fillId="0" borderId="53" xfId="1" applyFont="1" applyBorder="1" applyAlignment="1" applyProtection="1">
      <alignment horizontal="center" vertical="center" wrapText="1"/>
    </xf>
    <xf numFmtId="0" fontId="16" fillId="0" borderId="41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4" fillId="10" borderId="77" xfId="0" applyNumberFormat="1" applyFont="1" applyFill="1" applyBorder="1" applyAlignment="1">
      <alignment horizontal="center" vertical="center"/>
    </xf>
    <xf numFmtId="0" fontId="14" fillId="10" borderId="76" xfId="0" applyNumberFormat="1" applyFont="1" applyFill="1" applyBorder="1" applyAlignment="1">
      <alignment horizontal="center" vertical="center"/>
    </xf>
    <xf numFmtId="0" fontId="14" fillId="10" borderId="75" xfId="0" applyNumberFormat="1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6" fillId="0" borderId="79" xfId="0" applyFont="1" applyBorder="1" applyAlignment="1">
      <alignment horizontal="center" vertical="center" wrapText="1"/>
    </xf>
    <xf numFmtId="0" fontId="14" fillId="0" borderId="80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left" vertical="center" wrapText="1"/>
    </xf>
    <xf numFmtId="0" fontId="3" fillId="0" borderId="77" xfId="0" applyFont="1" applyBorder="1" applyAlignment="1">
      <alignment horizontal="center" vertical="center" wrapText="1"/>
    </xf>
    <xf numFmtId="0" fontId="3" fillId="0" borderId="76" xfId="0" applyFont="1" applyBorder="1" applyAlignment="1">
      <alignment horizontal="center" vertical="center" wrapText="1"/>
    </xf>
    <xf numFmtId="0" fontId="3" fillId="0" borderId="89" xfId="0" applyFont="1" applyBorder="1" applyAlignment="1">
      <alignment horizontal="center" vertical="center" wrapText="1"/>
    </xf>
    <xf numFmtId="0" fontId="3" fillId="0" borderId="90" xfId="0" applyFont="1" applyBorder="1" applyAlignment="1">
      <alignment horizontal="center" vertical="center" wrapText="1"/>
    </xf>
    <xf numFmtId="0" fontId="14" fillId="0" borderId="46" xfId="0" applyFont="1" applyBorder="1" applyAlignment="1">
      <alignment horizontal="center" vertical="center"/>
    </xf>
    <xf numFmtId="0" fontId="14" fillId="0" borderId="76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 wrapText="1"/>
    </xf>
    <xf numFmtId="0" fontId="14" fillId="0" borderId="81" xfId="0" applyFont="1" applyBorder="1" applyAlignment="1">
      <alignment horizontal="center" vertical="center" wrapText="1"/>
    </xf>
    <xf numFmtId="0" fontId="16" fillId="0" borderId="82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left" vertical="center" wrapText="1"/>
    </xf>
    <xf numFmtId="0" fontId="3" fillId="0" borderId="75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86" xfId="0" applyFont="1" applyBorder="1" applyAlignment="1">
      <alignment horizontal="center" vertical="center"/>
    </xf>
    <xf numFmtId="0" fontId="3" fillId="0" borderId="93" xfId="0" applyFont="1" applyBorder="1" applyAlignment="1">
      <alignment horizontal="center" vertical="center"/>
    </xf>
    <xf numFmtId="0" fontId="3" fillId="0" borderId="87" xfId="0" applyFont="1" applyBorder="1" applyAlignment="1">
      <alignment horizontal="center" vertical="center"/>
    </xf>
    <xf numFmtId="0" fontId="3" fillId="0" borderId="88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91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53" fillId="2" borderId="46" xfId="0" applyFont="1" applyFill="1" applyBorder="1" applyAlignment="1">
      <alignment horizontal="center" vertical="center" textRotation="90" wrapText="1"/>
    </xf>
    <xf numFmtId="0" fontId="53" fillId="2" borderId="68" xfId="0" applyFont="1" applyFill="1" applyBorder="1" applyAlignment="1">
      <alignment horizontal="center" vertical="center" textRotation="90" wrapText="1"/>
    </xf>
    <xf numFmtId="0" fontId="16" fillId="10" borderId="0" xfId="0" applyFont="1" applyFill="1" applyBorder="1" applyAlignment="1">
      <alignment horizontal="center" vertical="center" wrapText="1"/>
    </xf>
    <xf numFmtId="0" fontId="14" fillId="10" borderId="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6" fillId="3" borderId="84" xfId="0" applyFont="1" applyFill="1" applyBorder="1" applyAlignment="1">
      <alignment horizontal="center" vertical="center" wrapText="1"/>
    </xf>
    <xf numFmtId="0" fontId="16" fillId="9" borderId="85" xfId="0" applyFont="1" applyFill="1" applyBorder="1" applyAlignment="1">
      <alignment horizontal="center" vertical="center" wrapText="1"/>
    </xf>
    <xf numFmtId="0" fontId="16" fillId="9" borderId="28" xfId="0" applyFont="1" applyFill="1" applyBorder="1" applyAlignment="1">
      <alignment horizontal="center" vertical="center" wrapText="1"/>
    </xf>
    <xf numFmtId="0" fontId="16" fillId="3" borderId="70" xfId="0" applyFont="1" applyFill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3" fillId="0" borderId="92" xfId="0" applyFont="1" applyBorder="1" applyAlignment="1">
      <alignment horizontal="center" vertical="center" wrapText="1"/>
    </xf>
    <xf numFmtId="0" fontId="14" fillId="0" borderId="77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0" fontId="14" fillId="0" borderId="94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4" fillId="0" borderId="46" xfId="0" applyNumberFormat="1" applyFont="1" applyBorder="1" applyAlignment="1">
      <alignment horizontal="center" vertical="center"/>
    </xf>
    <xf numFmtId="0" fontId="14" fillId="0" borderId="76" xfId="0" applyNumberFormat="1" applyFont="1" applyBorder="1" applyAlignment="1">
      <alignment horizontal="center" vertical="center"/>
    </xf>
    <xf numFmtId="0" fontId="14" fillId="0" borderId="63" xfId="0" applyFont="1" applyBorder="1" applyAlignment="1">
      <alignment horizontal="center" vertical="center"/>
    </xf>
    <xf numFmtId="0" fontId="14" fillId="0" borderId="83" xfId="0" applyFont="1" applyBorder="1" applyAlignment="1">
      <alignment horizontal="center" vertical="center"/>
    </xf>
    <xf numFmtId="0" fontId="9" fillId="8" borderId="52" xfId="1" applyFont="1" applyFill="1" applyBorder="1" applyAlignment="1" applyProtection="1">
      <alignment horizontal="center" vertical="center"/>
    </xf>
    <xf numFmtId="0" fontId="9" fillId="8" borderId="64" xfId="0" applyFont="1" applyFill="1" applyBorder="1" applyAlignment="1">
      <alignment horizontal="center" vertical="center"/>
    </xf>
    <xf numFmtId="0" fontId="9" fillId="8" borderId="53" xfId="0" applyFont="1" applyFill="1" applyBorder="1" applyAlignment="1">
      <alignment horizontal="center" vertical="center"/>
    </xf>
    <xf numFmtId="0" fontId="24" fillId="0" borderId="46" xfId="0" applyFont="1" applyBorder="1" applyAlignment="1">
      <alignment horizontal="center" vertical="center" textRotation="90" wrapText="1"/>
    </xf>
    <xf numFmtId="0" fontId="24" fillId="0" borderId="68" xfId="0" applyFont="1" applyBorder="1" applyAlignment="1">
      <alignment horizontal="center" vertical="center" textRotation="90" wrapText="1"/>
    </xf>
    <xf numFmtId="0" fontId="6" fillId="0" borderId="46" xfId="0" applyFont="1" applyBorder="1" applyAlignment="1">
      <alignment horizontal="center" vertical="center" textRotation="90" wrapText="1"/>
    </xf>
    <xf numFmtId="0" fontId="6" fillId="0" borderId="68" xfId="0" applyFont="1" applyBorder="1" applyAlignment="1">
      <alignment horizontal="center" vertical="center" textRotation="90" wrapText="1"/>
    </xf>
    <xf numFmtId="0" fontId="24" fillId="0" borderId="63" xfId="0" applyFont="1" applyBorder="1" applyAlignment="1">
      <alignment horizontal="center" vertical="top" wrapText="1"/>
    </xf>
    <xf numFmtId="0" fontId="24" fillId="0" borderId="64" xfId="0" applyFont="1" applyBorder="1" applyAlignment="1">
      <alignment horizontal="center" vertical="top" wrapText="1"/>
    </xf>
    <xf numFmtId="0" fontId="18" fillId="0" borderId="46" xfId="0" applyFont="1" applyBorder="1" applyAlignment="1">
      <alignment horizontal="center" vertical="center" wrapText="1"/>
    </xf>
    <xf numFmtId="0" fontId="18" fillId="0" borderId="68" xfId="0" applyFont="1" applyBorder="1" applyAlignment="1">
      <alignment horizontal="center" vertical="center" wrapText="1"/>
    </xf>
    <xf numFmtId="0" fontId="15" fillId="0" borderId="65" xfId="0" applyFont="1" applyBorder="1" applyAlignment="1">
      <alignment horizontal="center" vertical="center" wrapText="1"/>
    </xf>
    <xf numFmtId="0" fontId="15" fillId="0" borderId="66" xfId="0" applyFont="1" applyBorder="1" applyAlignment="1">
      <alignment horizontal="center" vertical="center" wrapText="1"/>
    </xf>
    <xf numFmtId="0" fontId="15" fillId="0" borderId="64" xfId="0" applyFont="1" applyBorder="1" applyAlignment="1">
      <alignment horizontal="center" vertical="center" wrapText="1"/>
    </xf>
    <xf numFmtId="0" fontId="15" fillId="0" borderId="53" xfId="0" applyFont="1" applyBorder="1" applyAlignment="1">
      <alignment horizontal="center" vertical="center" wrapText="1"/>
    </xf>
    <xf numFmtId="0" fontId="14" fillId="10" borderId="46" xfId="0" applyNumberFormat="1" applyFont="1" applyFill="1" applyBorder="1" applyAlignment="1">
      <alignment horizontal="center" vertical="center"/>
    </xf>
    <xf numFmtId="0" fontId="16" fillId="9" borderId="70" xfId="0" applyFont="1" applyFill="1" applyBorder="1" applyAlignment="1">
      <alignment horizontal="center" vertical="center" wrapText="1"/>
    </xf>
    <xf numFmtId="0" fontId="14" fillId="0" borderId="86" xfId="0" applyFont="1" applyBorder="1" applyAlignment="1">
      <alignment horizontal="center" vertical="center" wrapText="1"/>
    </xf>
    <xf numFmtId="0" fontId="14" fillId="0" borderId="83" xfId="0" applyFont="1" applyBorder="1" applyAlignment="1">
      <alignment horizontal="center" vertical="center" wrapText="1"/>
    </xf>
    <xf numFmtId="0" fontId="14" fillId="0" borderId="95" xfId="0" applyFont="1" applyBorder="1" applyAlignment="1">
      <alignment horizontal="center" vertical="center" wrapText="1"/>
    </xf>
    <xf numFmtId="0" fontId="14" fillId="0" borderId="78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40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50" fillId="13" borderId="65" xfId="1" applyNumberFormat="1" applyFont="1" applyFill="1" applyBorder="1" applyAlignment="1" applyProtection="1">
      <alignment horizontal="center" vertical="center" wrapText="1"/>
    </xf>
    <xf numFmtId="0" fontId="50" fillId="13" borderId="66" xfId="1" applyNumberFormat="1" applyFont="1" applyFill="1" applyBorder="1" applyAlignment="1" applyProtection="1">
      <alignment horizontal="center" vertical="center" wrapText="1"/>
    </xf>
    <xf numFmtId="0" fontId="50" fillId="13" borderId="67" xfId="1" applyNumberFormat="1" applyFont="1" applyFill="1" applyBorder="1" applyAlignment="1" applyProtection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11" fillId="0" borderId="64" xfId="1" applyFont="1" applyBorder="1" applyAlignment="1" applyProtection="1">
      <alignment horizontal="center" vertical="center"/>
    </xf>
    <xf numFmtId="0" fontId="11" fillId="0" borderId="53" xfId="1" applyFont="1" applyBorder="1" applyAlignment="1" applyProtection="1">
      <alignment horizontal="center" vertical="center"/>
    </xf>
    <xf numFmtId="0" fontId="3" fillId="0" borderId="37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72" xfId="0" applyFont="1" applyBorder="1" applyAlignment="1">
      <alignment horizontal="center" vertical="center" wrapText="1"/>
    </xf>
    <xf numFmtId="0" fontId="3" fillId="0" borderId="73" xfId="0" applyFont="1" applyBorder="1" applyAlignment="1">
      <alignment horizontal="center" vertical="center" wrapText="1"/>
    </xf>
    <xf numFmtId="0" fontId="3" fillId="0" borderId="74" xfId="0" applyFont="1" applyBorder="1" applyAlignment="1">
      <alignment horizontal="center" vertical="center" wrapText="1"/>
    </xf>
    <xf numFmtId="0" fontId="1" fillId="0" borderId="3" xfId="1" applyFont="1" applyBorder="1" applyAlignment="1" applyProtection="1">
      <alignment horizontal="center"/>
    </xf>
    <xf numFmtId="0" fontId="1" fillId="0" borderId="0" xfId="1" applyFont="1" applyAlignment="1" applyProtection="1">
      <alignment horizontal="center"/>
    </xf>
    <xf numFmtId="0" fontId="19" fillId="3" borderId="28" xfId="0" applyFont="1" applyFill="1" applyBorder="1" applyAlignment="1" applyProtection="1">
      <alignment horizontal="center" vertical="center"/>
      <protection locked="0" hidden="1"/>
    </xf>
    <xf numFmtId="0" fontId="19" fillId="3" borderId="69" xfId="0" applyFont="1" applyFill="1" applyBorder="1" applyAlignment="1" applyProtection="1">
      <alignment horizontal="center" vertical="center"/>
      <protection locked="0" hidden="1"/>
    </xf>
    <xf numFmtId="0" fontId="19" fillId="3" borderId="70" xfId="0" applyFont="1" applyFill="1" applyBorder="1" applyAlignment="1" applyProtection="1">
      <alignment horizontal="center" vertical="center"/>
      <protection locked="0" hidden="1"/>
    </xf>
    <xf numFmtId="0" fontId="24" fillId="0" borderId="46" xfId="0" applyFont="1" applyBorder="1" applyAlignment="1" applyProtection="1">
      <alignment horizontal="center" vertical="center" textRotation="90" wrapText="1"/>
    </xf>
    <xf numFmtId="0" fontId="24" fillId="0" borderId="68" xfId="0" applyFont="1" applyBorder="1" applyAlignment="1" applyProtection="1">
      <alignment horizontal="center" vertical="center" textRotation="90" wrapText="1"/>
    </xf>
    <xf numFmtId="0" fontId="1" fillId="0" borderId="0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9" fillId="0" borderId="0" xfId="0" applyFont="1" applyAlignment="1">
      <alignment horizontal="center"/>
    </xf>
    <xf numFmtId="0" fontId="24" fillId="0" borderId="46" xfId="0" applyFont="1" applyBorder="1" applyAlignment="1" applyProtection="1">
      <alignment horizontal="center" vertical="center" wrapText="1"/>
    </xf>
    <xf numFmtId="0" fontId="24" fillId="0" borderId="75" xfId="0" applyFont="1" applyBorder="1" applyAlignment="1" applyProtection="1">
      <alignment horizontal="center" vertical="center" wrapText="1"/>
    </xf>
    <xf numFmtId="0" fontId="24" fillId="0" borderId="68" xfId="0" applyFont="1" applyBorder="1" applyAlignment="1" applyProtection="1">
      <alignment horizontal="center" vertical="center" wrapText="1"/>
    </xf>
    <xf numFmtId="0" fontId="19" fillId="3" borderId="65" xfId="0" applyFont="1" applyFill="1" applyBorder="1" applyAlignment="1" applyProtection="1">
      <alignment horizontal="center" vertical="center"/>
      <protection locked="0" hidden="1"/>
    </xf>
    <xf numFmtId="0" fontId="19" fillId="3" borderId="66" xfId="0" applyFont="1" applyFill="1" applyBorder="1" applyAlignment="1" applyProtection="1">
      <alignment horizontal="center" vertical="center"/>
      <protection locked="0" hidden="1"/>
    </xf>
    <xf numFmtId="0" fontId="19" fillId="3" borderId="67" xfId="0" applyFont="1" applyFill="1" applyBorder="1" applyAlignment="1" applyProtection="1">
      <alignment horizontal="center" vertical="center"/>
      <protection locked="0" hidden="1"/>
    </xf>
    <xf numFmtId="0" fontId="47" fillId="0" borderId="36" xfId="0" applyNumberFormat="1" applyFont="1" applyBorder="1" applyAlignment="1">
      <alignment horizontal="center" vertical="center" wrapText="1"/>
    </xf>
    <xf numFmtId="0" fontId="47" fillId="0" borderId="4" xfId="0" applyNumberFormat="1" applyFont="1" applyBorder="1" applyAlignment="1">
      <alignment horizontal="center" vertical="center" wrapText="1"/>
    </xf>
    <xf numFmtId="0" fontId="47" fillId="0" borderId="37" xfId="0" applyNumberFormat="1" applyFont="1" applyBorder="1" applyAlignment="1">
      <alignment horizontal="center" vertical="center" wrapText="1"/>
    </xf>
    <xf numFmtId="0" fontId="47" fillId="0" borderId="40" xfId="0" applyNumberFormat="1" applyFont="1" applyBorder="1" applyAlignment="1">
      <alignment horizontal="center" vertical="center" wrapText="1"/>
    </xf>
    <xf numFmtId="0" fontId="46" fillId="0" borderId="30" xfId="0" applyNumberFormat="1" applyFont="1" applyBorder="1" applyAlignment="1">
      <alignment horizontal="center" vertical="center" wrapText="1"/>
    </xf>
    <xf numFmtId="0" fontId="46" fillId="0" borderId="59" xfId="0" applyNumberFormat="1" applyFont="1" applyBorder="1" applyAlignment="1">
      <alignment horizontal="center" vertical="center" wrapText="1"/>
    </xf>
    <xf numFmtId="0" fontId="47" fillId="0" borderId="44" xfId="0" applyNumberFormat="1" applyFont="1" applyBorder="1" applyAlignment="1">
      <alignment horizontal="center" vertical="center" wrapText="1"/>
    </xf>
    <xf numFmtId="0" fontId="47" fillId="0" borderId="45" xfId="0" applyNumberFormat="1" applyFont="1" applyBorder="1" applyAlignment="1">
      <alignment horizontal="center" vertical="center" wrapText="1"/>
    </xf>
    <xf numFmtId="0" fontId="46" fillId="0" borderId="58" xfId="0" applyNumberFormat="1" applyFont="1" applyBorder="1" applyAlignment="1">
      <alignment horizontal="center" vertical="center" wrapText="1"/>
    </xf>
    <xf numFmtId="0" fontId="46" fillId="0" borderId="36" xfId="0" applyNumberFormat="1" applyFont="1" applyBorder="1" applyAlignment="1">
      <alignment horizontal="center" vertical="center" wrapText="1"/>
    </xf>
    <xf numFmtId="0" fontId="3" fillId="0" borderId="63" xfId="0" applyNumberFormat="1" applyFont="1" applyBorder="1" applyAlignment="1">
      <alignment horizontal="center" vertical="center" wrapText="1"/>
    </xf>
    <xf numFmtId="0" fontId="3" fillId="0" borderId="64" xfId="0" applyNumberFormat="1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37" xfId="4" applyNumberFormat="1" applyFont="1" applyBorder="1" applyAlignment="1">
      <alignment horizontal="center" vertical="center" wrapText="1"/>
    </xf>
    <xf numFmtId="0" fontId="3" fillId="0" borderId="40" xfId="4" applyNumberFormat="1" applyFont="1" applyBorder="1" applyAlignment="1">
      <alignment horizontal="center" vertical="center" wrapText="1"/>
    </xf>
    <xf numFmtId="0" fontId="6" fillId="0" borderId="36" xfId="4" applyNumberFormat="1" applyFont="1" applyBorder="1" applyAlignment="1">
      <alignment horizontal="center" vertical="center" wrapText="1"/>
    </xf>
    <xf numFmtId="0" fontId="6" fillId="0" borderId="4" xfId="4" applyNumberFormat="1" applyFont="1" applyBorder="1" applyAlignment="1">
      <alignment horizontal="center" vertical="center" wrapText="1"/>
    </xf>
    <xf numFmtId="0" fontId="3" fillId="0" borderId="36" xfId="4" applyNumberFormat="1" applyFont="1" applyBorder="1" applyAlignment="1">
      <alignment horizontal="center" vertical="center" wrapText="1"/>
    </xf>
    <xf numFmtId="0" fontId="3" fillId="0" borderId="4" xfId="4" applyNumberFormat="1" applyFont="1" applyBorder="1" applyAlignment="1">
      <alignment horizontal="center" vertical="center" wrapText="1"/>
    </xf>
    <xf numFmtId="0" fontId="37" fillId="0" borderId="35" xfId="4" applyNumberFormat="1" applyFont="1" applyBorder="1" applyAlignment="1">
      <alignment horizontal="center" vertical="center" wrapText="1"/>
    </xf>
    <xf numFmtId="0" fontId="37" fillId="0" borderId="39" xfId="4" applyNumberFormat="1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 wrapText="1"/>
    </xf>
    <xf numFmtId="0" fontId="3" fillId="0" borderId="55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54" xfId="4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56" xfId="4" applyFont="1" applyBorder="1" applyAlignment="1">
      <alignment horizontal="center" vertical="center" wrapText="1"/>
    </xf>
    <xf numFmtId="0" fontId="3" fillId="0" borderId="63" xfId="4" applyFont="1" applyBorder="1" applyAlignment="1">
      <alignment horizontal="center" vertical="center" wrapText="1"/>
    </xf>
    <xf numFmtId="0" fontId="3" fillId="0" borderId="51" xfId="4" applyFont="1" applyBorder="1" applyAlignment="1">
      <alignment horizontal="center" vertical="center" wrapText="1"/>
    </xf>
    <xf numFmtId="0" fontId="3" fillId="0" borderId="64" xfId="4" applyFont="1" applyBorder="1" applyAlignment="1">
      <alignment horizontal="center" vertical="center" wrapText="1"/>
    </xf>
    <xf numFmtId="0" fontId="3" fillId="0" borderId="53" xfId="4" applyFont="1" applyBorder="1" applyAlignment="1">
      <alignment horizontal="center" vertical="center" wrapText="1"/>
    </xf>
    <xf numFmtId="0" fontId="3" fillId="0" borderId="19" xfId="4" applyNumberFormat="1" applyFont="1" applyBorder="1" applyAlignment="1">
      <alignment horizontal="center" vertical="center" wrapText="1"/>
    </xf>
    <xf numFmtId="0" fontId="3" fillId="0" borderId="55" xfId="4" applyNumberFormat="1" applyFont="1" applyBorder="1" applyAlignment="1">
      <alignment horizontal="center" vertical="center" wrapText="1"/>
    </xf>
    <xf numFmtId="0" fontId="3" fillId="0" borderId="26" xfId="4" applyNumberFormat="1" applyFont="1" applyBorder="1" applyAlignment="1">
      <alignment horizontal="center" vertical="center" wrapText="1"/>
    </xf>
    <xf numFmtId="0" fontId="3" fillId="0" borderId="54" xfId="4" applyNumberFormat="1" applyFont="1" applyBorder="1" applyAlignment="1">
      <alignment horizontal="center" vertical="center" wrapText="1"/>
    </xf>
    <xf numFmtId="0" fontId="1" fillId="0" borderId="7" xfId="4" applyNumberFormat="1" applyBorder="1" applyAlignment="1">
      <alignment horizontal="center"/>
    </xf>
    <xf numFmtId="0" fontId="3" fillId="0" borderId="35" xfId="4" applyNumberFormat="1" applyFont="1" applyBorder="1" applyAlignment="1">
      <alignment horizontal="center" vertical="center" wrapText="1"/>
    </xf>
    <xf numFmtId="0" fontId="3" fillId="0" borderId="39" xfId="4" applyNumberFormat="1" applyFont="1" applyBorder="1" applyAlignment="1">
      <alignment horizontal="center" vertical="center" wrapText="1"/>
    </xf>
    <xf numFmtId="0" fontId="3" fillId="0" borderId="11" xfId="4" applyNumberFormat="1" applyFont="1" applyBorder="1" applyAlignment="1">
      <alignment horizontal="center" vertical="center" wrapText="1"/>
    </xf>
    <xf numFmtId="0" fontId="3" fillId="0" borderId="56" xfId="4" applyNumberFormat="1" applyFont="1" applyBorder="1" applyAlignment="1">
      <alignment horizontal="center" vertical="center" wrapText="1"/>
    </xf>
    <xf numFmtId="0" fontId="3" fillId="0" borderId="34" xfId="4" applyFont="1" applyBorder="1" applyAlignment="1">
      <alignment horizontal="center" vertical="center" wrapText="1"/>
    </xf>
    <xf numFmtId="0" fontId="3" fillId="0" borderId="42" xfId="4" applyFont="1" applyBorder="1" applyAlignment="1">
      <alignment horizontal="center" vertical="center" wrapText="1"/>
    </xf>
    <xf numFmtId="0" fontId="3" fillId="0" borderId="34" xfId="4" applyNumberFormat="1" applyFont="1" applyBorder="1" applyAlignment="1">
      <alignment horizontal="center" vertical="center" wrapText="1"/>
    </xf>
    <xf numFmtId="0" fontId="3" fillId="0" borderId="42" xfId="4" applyNumberFormat="1" applyFont="1" applyBorder="1" applyAlignment="1">
      <alignment horizontal="center" vertical="center" wrapText="1"/>
    </xf>
    <xf numFmtId="0" fontId="3" fillId="0" borderId="50" xfId="4" applyNumberFormat="1" applyFont="1" applyBorder="1" applyAlignment="1">
      <alignment horizontal="center" vertical="center" wrapText="1"/>
    </xf>
    <xf numFmtId="0" fontId="3" fillId="0" borderId="51" xfId="4" applyNumberFormat="1" applyFont="1" applyBorder="1" applyAlignment="1">
      <alignment horizontal="center" vertical="center" wrapText="1"/>
    </xf>
    <xf numFmtId="0" fontId="3" fillId="0" borderId="52" xfId="4" applyNumberFormat="1" applyFont="1" applyBorder="1" applyAlignment="1">
      <alignment horizontal="center" vertical="center" wrapText="1"/>
    </xf>
    <xf numFmtId="0" fontId="3" fillId="0" borderId="53" xfId="4" applyNumberFormat="1" applyFont="1" applyBorder="1" applyAlignment="1">
      <alignment horizontal="center" vertical="center" wrapText="1"/>
    </xf>
    <xf numFmtId="0" fontId="3" fillId="0" borderId="45" xfId="4" applyNumberFormat="1" applyFont="1" applyBorder="1" applyAlignment="1">
      <alignment horizontal="center" vertical="center" wrapText="1"/>
    </xf>
    <xf numFmtId="0" fontId="6" fillId="0" borderId="44" xfId="4" applyNumberFormat="1" applyFont="1" applyBorder="1" applyAlignment="1">
      <alignment horizontal="center" vertical="center" wrapText="1"/>
    </xf>
    <xf numFmtId="0" fontId="3" fillId="0" borderId="44" xfId="4" applyNumberFormat="1" applyFont="1" applyBorder="1" applyAlignment="1">
      <alignment horizontal="center" vertical="center" wrapText="1"/>
    </xf>
    <xf numFmtId="0" fontId="37" fillId="0" borderId="43" xfId="4" applyNumberFormat="1" applyFont="1" applyBorder="1" applyAlignment="1">
      <alignment horizontal="center" vertical="center" wrapText="1"/>
    </xf>
    <xf numFmtId="0" fontId="3" fillId="0" borderId="43" xfId="4" applyNumberFormat="1" applyFont="1" applyBorder="1" applyAlignment="1">
      <alignment horizontal="center" vertical="center" wrapText="1"/>
    </xf>
    <xf numFmtId="0" fontId="24" fillId="0" borderId="36" xfId="4" applyNumberFormat="1" applyFont="1" applyBorder="1" applyAlignment="1">
      <alignment horizontal="center" vertical="center" wrapText="1"/>
    </xf>
    <xf numFmtId="0" fontId="24" fillId="0" borderId="4" xfId="4" applyNumberFormat="1" applyFont="1" applyBorder="1" applyAlignment="1">
      <alignment horizontal="center" vertical="center" wrapText="1"/>
    </xf>
    <xf numFmtId="0" fontId="6" fillId="0" borderId="58" xfId="4" applyNumberFormat="1" applyFont="1" applyBorder="1" applyAlignment="1">
      <alignment horizontal="center" vertical="center" wrapText="1"/>
    </xf>
    <xf numFmtId="0" fontId="6" fillId="0" borderId="30" xfId="4" applyNumberFormat="1" applyFont="1" applyBorder="1" applyAlignment="1">
      <alignment horizontal="center" vertical="center" wrapText="1"/>
    </xf>
    <xf numFmtId="0" fontId="6" fillId="0" borderId="59" xfId="4" applyNumberFormat="1" applyFont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17" xfId="1" applyFont="1" applyFill="1" applyBorder="1" applyAlignment="1" applyProtection="1">
      <alignment horizontal="left" vertical="center" wrapText="1"/>
    </xf>
    <xf numFmtId="0" fontId="1" fillId="0" borderId="16" xfId="1" applyFont="1" applyFill="1" applyBorder="1" applyAlignment="1" applyProtection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0" borderId="4" xfId="1" applyFont="1" applyFill="1" applyBorder="1" applyAlignment="1" applyProtection="1">
      <alignment horizontal="left" vertical="center" wrapText="1"/>
    </xf>
    <xf numFmtId="0" fontId="3" fillId="0" borderId="17" xfId="0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0" fontId="1" fillId="0" borderId="4" xfId="1" applyFont="1" applyBorder="1" applyAlignment="1" applyProtection="1">
      <alignment horizontal="center" vertical="center" wrapText="1"/>
    </xf>
    <xf numFmtId="0" fontId="9" fillId="0" borderId="0" xfId="1" applyNumberFormat="1" applyFont="1" applyAlignment="1" applyProtection="1">
      <alignment horizontal="center"/>
    </xf>
    <xf numFmtId="0" fontId="9" fillId="0" borderId="0" xfId="1" applyFont="1" applyBorder="1" applyAlignment="1" applyProtection="1">
      <alignment horizontal="center"/>
    </xf>
    <xf numFmtId="0" fontId="58" fillId="0" borderId="0" xfId="4" applyFont="1" applyAlignment="1">
      <alignment horizontal="center"/>
    </xf>
    <xf numFmtId="0" fontId="1" fillId="0" borderId="0" xfId="4" applyBorder="1" applyAlignment="1">
      <alignment horizontal="center"/>
    </xf>
    <xf numFmtId="0" fontId="61" fillId="0" borderId="0" xfId="4" applyFont="1" applyAlignment="1">
      <alignment horizontal="right" vertical="center"/>
    </xf>
    <xf numFmtId="0" fontId="60" fillId="0" borderId="0" xfId="4" applyFont="1" applyAlignment="1">
      <alignment horizontal="center" vertical="center"/>
    </xf>
    <xf numFmtId="0" fontId="58" fillId="0" borderId="0" xfId="4" applyFont="1" applyAlignment="1">
      <alignment horizontal="center" wrapText="1"/>
    </xf>
    <xf numFmtId="0" fontId="60" fillId="0" borderId="0" xfId="4" applyFont="1" applyAlignment="1">
      <alignment horizontal="center" vertical="center" wrapText="1"/>
    </xf>
  </cellXfs>
  <cellStyles count="5">
    <cellStyle name="Гиперссылка" xfId="1" builtinId="8"/>
    <cellStyle name="Обычный" xfId="0" builtinId="0"/>
    <cellStyle name="Обычный 2" xfId="2"/>
    <cellStyle name="Обычный 3" xfId="4"/>
    <cellStyle name="Финансовый" xfId="3" builtinId="3"/>
  </cellStyles>
  <dxfs count="84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</dxf>
    <dxf>
      <font>
        <color theme="0"/>
      </font>
    </dxf>
    <dxf>
      <font>
        <color theme="3" tint="0.59996337778862885"/>
      </font>
    </dxf>
    <dxf>
      <font>
        <color rgb="FFFF000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jpeg"/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2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0165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5362" name="Button 2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3" name="Button 3" hidden="1">
              <a:extLst>
                <a:ext uri="{63B3BB69-23CF-44E3-9099-C40C66FF867C}">
                  <a14:compatExt spid="_x0000_s15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6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2070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5364" name="Button 4" hidden="1">
              <a:extLst>
                <a:ext uri="{63B3BB69-23CF-44E3-9099-C40C66FF867C}">
                  <a14:compatExt spid="_x0000_s15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5365" name="Button 5" hidden="1">
              <a:extLst>
                <a:ext uri="{63B3BB69-23CF-44E3-9099-C40C66FF867C}">
                  <a14:compatExt spid="_x0000_s15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6" name="Button 6" hidden="1">
              <a:extLst>
                <a:ext uri="{63B3BB69-23CF-44E3-9099-C40C66FF867C}">
                  <a14:compatExt spid="_x0000_s15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6350</xdr:rowOff>
    </xdr:from>
    <xdr:to>
      <xdr:col>10</xdr:col>
      <xdr:colOff>0</xdr:colOff>
      <xdr:row>2</xdr:row>
      <xdr:rowOff>0</xdr:rowOff>
    </xdr:to>
    <xdr:pic>
      <xdr:nvPicPr>
        <xdr:cNvPr id="14426" name="Picture 9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311150"/>
          <a:ext cx="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81430</xdr:colOff>
      <xdr:row>0</xdr:row>
      <xdr:rowOff>46317</xdr:rowOff>
    </xdr:from>
    <xdr:to>
      <xdr:col>2</xdr:col>
      <xdr:colOff>313765</xdr:colOff>
      <xdr:row>1</xdr:row>
      <xdr:rowOff>235323</xdr:rowOff>
    </xdr:to>
    <xdr:pic>
      <xdr:nvPicPr>
        <xdr:cNvPr id="14428" name="Picture 8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283" y="46317"/>
          <a:ext cx="501276" cy="491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12700</xdr:colOff>
          <xdr:row>0</xdr:row>
          <xdr:rowOff>69850</xdr:rowOff>
        </xdr:from>
        <xdr:to>
          <xdr:col>49</xdr:col>
          <xdr:colOff>0</xdr:colOff>
          <xdr:row>0</xdr:row>
          <xdr:rowOff>298450</xdr:rowOff>
        </xdr:to>
        <xdr:sp macro="" textlink="">
          <xdr:nvSpPr>
            <xdr:cNvPr id="1925" name="Button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31750</xdr:colOff>
          <xdr:row>0</xdr:row>
          <xdr:rowOff>69850</xdr:rowOff>
        </xdr:from>
        <xdr:to>
          <xdr:col>50</xdr:col>
          <xdr:colOff>31750</xdr:colOff>
          <xdr:row>0</xdr:row>
          <xdr:rowOff>298450</xdr:rowOff>
        </xdr:to>
        <xdr:sp macro="" textlink="">
          <xdr:nvSpPr>
            <xdr:cNvPr id="1950" name="Button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50</xdr:col>
          <xdr:colOff>31750</xdr:colOff>
          <xdr:row>0</xdr:row>
          <xdr:rowOff>69850</xdr:rowOff>
        </xdr:from>
        <xdr:to>
          <xdr:col>50</xdr:col>
          <xdr:colOff>260350</xdr:colOff>
          <xdr:row>0</xdr:row>
          <xdr:rowOff>298450</xdr:rowOff>
        </xdr:to>
        <xdr:sp macro="" textlink="">
          <xdr:nvSpPr>
            <xdr:cNvPr id="1970" name="Button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38100</xdr:colOff>
          <xdr:row>0</xdr:row>
          <xdr:rowOff>76200</xdr:rowOff>
        </xdr:from>
        <xdr:to>
          <xdr:col>51</xdr:col>
          <xdr:colOff>260350</xdr:colOff>
          <xdr:row>0</xdr:row>
          <xdr:rowOff>298450</xdr:rowOff>
        </xdr:to>
        <xdr:sp macro="" textlink="">
          <xdr:nvSpPr>
            <xdr:cNvPr id="1977" name="Button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38100</xdr:colOff>
          <xdr:row>0</xdr:row>
          <xdr:rowOff>107950</xdr:rowOff>
        </xdr:from>
        <xdr:to>
          <xdr:col>53</xdr:col>
          <xdr:colOff>38100</xdr:colOff>
          <xdr:row>0</xdr:row>
          <xdr:rowOff>298450</xdr:rowOff>
        </xdr:to>
        <xdr:sp macro="" textlink="">
          <xdr:nvSpPr>
            <xdr:cNvPr id="14344" name="Button 1032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184150</xdr:colOff>
          <xdr:row>0</xdr:row>
          <xdr:rowOff>107950</xdr:rowOff>
        </xdr:from>
        <xdr:to>
          <xdr:col>54</xdr:col>
          <xdr:colOff>184150</xdr:colOff>
          <xdr:row>1</xdr:row>
          <xdr:rowOff>0</xdr:rowOff>
        </xdr:to>
        <xdr:sp macro="" textlink="">
          <xdr:nvSpPr>
            <xdr:cNvPr id="14348" name="Button 1036" hidden="1">
              <a:extLst>
                <a:ext uri="{63B3BB69-23CF-44E3-9099-C40C66FF867C}">
                  <a14:compatExt spid="_x0000_s14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190500</xdr:colOff>
          <xdr:row>0</xdr:row>
          <xdr:rowOff>107950</xdr:rowOff>
        </xdr:from>
        <xdr:to>
          <xdr:col>56</xdr:col>
          <xdr:colOff>0</xdr:colOff>
          <xdr:row>1</xdr:row>
          <xdr:rowOff>0</xdr:rowOff>
        </xdr:to>
        <xdr:sp macro="" textlink="">
          <xdr:nvSpPr>
            <xdr:cNvPr id="14349" name="Button 1037" hidden="1">
              <a:extLst>
                <a:ext uri="{63B3BB69-23CF-44E3-9099-C40C66FF867C}">
                  <a14:compatExt spid="_x0000_s14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0</xdr:row>
          <xdr:rowOff>88900</xdr:rowOff>
        </xdr:from>
        <xdr:to>
          <xdr:col>57</xdr:col>
          <xdr:colOff>31750</xdr:colOff>
          <xdr:row>0</xdr:row>
          <xdr:rowOff>298450</xdr:rowOff>
        </xdr:to>
        <xdr:sp macro="" textlink="">
          <xdr:nvSpPr>
            <xdr:cNvPr id="14353" name="Button 1041" hidden="1">
              <a:extLst>
                <a:ext uri="{63B3BB69-23CF-44E3-9099-C40C66FF867C}">
                  <a14:compatExt spid="_x0000_s14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50800</xdr:colOff>
          <xdr:row>0</xdr:row>
          <xdr:rowOff>107950</xdr:rowOff>
        </xdr:from>
        <xdr:to>
          <xdr:col>58</xdr:col>
          <xdr:colOff>31750</xdr:colOff>
          <xdr:row>0</xdr:row>
          <xdr:rowOff>298450</xdr:rowOff>
        </xdr:to>
        <xdr:sp macro="" textlink="">
          <xdr:nvSpPr>
            <xdr:cNvPr id="14360" name="Button 1048" hidden="1">
              <a:extLst>
                <a:ext uri="{63B3BB69-23CF-44E3-9099-C40C66FF867C}">
                  <a14:compatExt spid="_x0000_s14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12700</xdr:colOff>
          <xdr:row>0</xdr:row>
          <xdr:rowOff>50800</xdr:rowOff>
        </xdr:from>
        <xdr:to>
          <xdr:col>47</xdr:col>
          <xdr:colOff>0</xdr:colOff>
          <xdr:row>0</xdr:row>
          <xdr:rowOff>260350</xdr:rowOff>
        </xdr:to>
        <xdr:sp macro="" textlink="">
          <xdr:nvSpPr>
            <xdr:cNvPr id="14374" name="Button 1062" hidden="1">
              <a:extLst>
                <a:ext uri="{63B3BB69-23CF-44E3-9099-C40C66FF867C}">
                  <a14:compatExt spid="_x0000_s14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черн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69850</xdr:colOff>
          <xdr:row>0</xdr:row>
          <xdr:rowOff>107950</xdr:rowOff>
        </xdr:from>
        <xdr:to>
          <xdr:col>59</xdr:col>
          <xdr:colOff>69850</xdr:colOff>
          <xdr:row>0</xdr:row>
          <xdr:rowOff>298450</xdr:rowOff>
        </xdr:to>
        <xdr:sp macro="" textlink="">
          <xdr:nvSpPr>
            <xdr:cNvPr id="14387" name="Button 1075" hidden="1">
              <a:extLst>
                <a:ext uri="{63B3BB69-23CF-44E3-9099-C40C66FF867C}">
                  <a14:compatExt spid="_x0000_s14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69850</xdr:colOff>
          <xdr:row>0</xdr:row>
          <xdr:rowOff>107950</xdr:rowOff>
        </xdr:from>
        <xdr:to>
          <xdr:col>60</xdr:col>
          <xdr:colOff>69850</xdr:colOff>
          <xdr:row>0</xdr:row>
          <xdr:rowOff>298450</xdr:rowOff>
        </xdr:to>
        <xdr:sp macro="" textlink="">
          <xdr:nvSpPr>
            <xdr:cNvPr id="14397" name="Button 1085" hidden="1">
              <a:extLst>
                <a:ext uri="{63B3BB69-23CF-44E3-9099-C40C66FF867C}">
                  <a14:compatExt spid="_x0000_s14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60</xdr:col>
          <xdr:colOff>76200</xdr:colOff>
          <xdr:row>0</xdr:row>
          <xdr:rowOff>107950</xdr:rowOff>
        </xdr:from>
        <xdr:to>
          <xdr:col>61</xdr:col>
          <xdr:colOff>88900</xdr:colOff>
          <xdr:row>0</xdr:row>
          <xdr:rowOff>298450</xdr:rowOff>
        </xdr:to>
        <xdr:sp macro="" textlink="">
          <xdr:nvSpPr>
            <xdr:cNvPr id="14407" name="Button 1095" hidden="1">
              <a:extLst>
                <a:ext uri="{63B3BB69-23CF-44E3-9099-C40C66FF867C}">
                  <a14:compatExt spid="_x0000_s14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31750</xdr:colOff>
          <xdr:row>1</xdr:row>
          <xdr:rowOff>31750</xdr:rowOff>
        </xdr:from>
        <xdr:to>
          <xdr:col>49</xdr:col>
          <xdr:colOff>31750</xdr:colOff>
          <xdr:row>1</xdr:row>
          <xdr:rowOff>241300</xdr:rowOff>
        </xdr:to>
        <xdr:sp macro="" textlink="">
          <xdr:nvSpPr>
            <xdr:cNvPr id="14410" name="Button 1098" hidden="1">
              <a:extLst>
                <a:ext uri="{63B3BB69-23CF-44E3-9099-C40C66FF867C}">
                  <a14:compatExt spid="_x0000_s14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69850</xdr:colOff>
          <xdr:row>1</xdr:row>
          <xdr:rowOff>31750</xdr:rowOff>
        </xdr:from>
        <xdr:to>
          <xdr:col>50</xdr:col>
          <xdr:colOff>69850</xdr:colOff>
          <xdr:row>1</xdr:row>
          <xdr:rowOff>241300</xdr:rowOff>
        </xdr:to>
        <xdr:sp macro="" textlink="">
          <xdr:nvSpPr>
            <xdr:cNvPr id="14411" name="Button 1099" hidden="1">
              <a:extLst>
                <a:ext uri="{63B3BB69-23CF-44E3-9099-C40C66FF867C}">
                  <a14:compatExt spid="_x0000_s14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88900</xdr:colOff>
          <xdr:row>1</xdr:row>
          <xdr:rowOff>31750</xdr:rowOff>
        </xdr:from>
        <xdr:to>
          <xdr:col>51</xdr:col>
          <xdr:colOff>107950</xdr:colOff>
          <xdr:row>1</xdr:row>
          <xdr:rowOff>241300</xdr:rowOff>
        </xdr:to>
        <xdr:sp macro="" textlink="">
          <xdr:nvSpPr>
            <xdr:cNvPr id="14412" name="Button 1100" hidden="1">
              <a:extLst>
                <a:ext uri="{63B3BB69-23CF-44E3-9099-C40C66FF867C}">
                  <a14:compatExt spid="_x0000_s14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114300</xdr:colOff>
          <xdr:row>1</xdr:row>
          <xdr:rowOff>31750</xdr:rowOff>
        </xdr:from>
        <xdr:to>
          <xdr:col>53</xdr:col>
          <xdr:colOff>0</xdr:colOff>
          <xdr:row>1</xdr:row>
          <xdr:rowOff>241300</xdr:rowOff>
        </xdr:to>
        <xdr:sp macro="" textlink="">
          <xdr:nvSpPr>
            <xdr:cNvPr id="14413" name="Button 1101" hidden="1">
              <a:extLst>
                <a:ext uri="{63B3BB69-23CF-44E3-9099-C40C66FF867C}">
                  <a14:compatExt spid="_x0000_s14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12700</xdr:colOff>
          <xdr:row>1</xdr:row>
          <xdr:rowOff>31750</xdr:rowOff>
        </xdr:from>
        <xdr:to>
          <xdr:col>54</xdr:col>
          <xdr:colOff>31750</xdr:colOff>
          <xdr:row>1</xdr:row>
          <xdr:rowOff>241300</xdr:rowOff>
        </xdr:to>
        <xdr:sp macro="" textlink="">
          <xdr:nvSpPr>
            <xdr:cNvPr id="14414" name="Button 1102" hidden="1">
              <a:extLst>
                <a:ext uri="{63B3BB69-23CF-44E3-9099-C40C66FF867C}">
                  <a14:compatExt spid="_x0000_s14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50800</xdr:colOff>
          <xdr:row>1</xdr:row>
          <xdr:rowOff>31750</xdr:rowOff>
        </xdr:from>
        <xdr:to>
          <xdr:col>55</xdr:col>
          <xdr:colOff>50800</xdr:colOff>
          <xdr:row>1</xdr:row>
          <xdr:rowOff>241300</xdr:rowOff>
        </xdr:to>
        <xdr:sp macro="" textlink="">
          <xdr:nvSpPr>
            <xdr:cNvPr id="14415" name="Button 1103" hidden="1">
              <a:extLst>
                <a:ext uri="{63B3BB69-23CF-44E3-9099-C40C66FF867C}">
                  <a14:compatExt spid="_x0000_s14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69850</xdr:colOff>
          <xdr:row>1</xdr:row>
          <xdr:rowOff>31750</xdr:rowOff>
        </xdr:from>
        <xdr:to>
          <xdr:col>56</xdr:col>
          <xdr:colOff>69850</xdr:colOff>
          <xdr:row>1</xdr:row>
          <xdr:rowOff>241300</xdr:rowOff>
        </xdr:to>
        <xdr:sp macro="" textlink="">
          <xdr:nvSpPr>
            <xdr:cNvPr id="14416" name="Button 1104" hidden="1">
              <a:extLst>
                <a:ext uri="{63B3BB69-23CF-44E3-9099-C40C66FF867C}">
                  <a14:compatExt spid="_x0000_s14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76200</xdr:colOff>
          <xdr:row>1</xdr:row>
          <xdr:rowOff>31750</xdr:rowOff>
        </xdr:from>
        <xdr:to>
          <xdr:col>57</xdr:col>
          <xdr:colOff>76200</xdr:colOff>
          <xdr:row>1</xdr:row>
          <xdr:rowOff>228600</xdr:rowOff>
        </xdr:to>
        <xdr:sp macro="" textlink="">
          <xdr:nvSpPr>
            <xdr:cNvPr id="14417" name="Button 1105" hidden="1">
              <a:extLst>
                <a:ext uri="{63B3BB69-23CF-44E3-9099-C40C66FF867C}">
                  <a14:compatExt spid="_x0000_s14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31750</xdr:rowOff>
        </xdr:from>
        <xdr:to>
          <xdr:col>58</xdr:col>
          <xdr:colOff>69850</xdr:colOff>
          <xdr:row>1</xdr:row>
          <xdr:rowOff>228600</xdr:rowOff>
        </xdr:to>
        <xdr:sp macro="" textlink="">
          <xdr:nvSpPr>
            <xdr:cNvPr id="14418" name="Button 1106" hidden="1">
              <a:extLst>
                <a:ext uri="{63B3BB69-23CF-44E3-9099-C40C66FF867C}">
                  <a14:compatExt spid="_x0000_s14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76200</xdr:colOff>
          <xdr:row>1</xdr:row>
          <xdr:rowOff>12700</xdr:rowOff>
        </xdr:from>
        <xdr:to>
          <xdr:col>59</xdr:col>
          <xdr:colOff>69850</xdr:colOff>
          <xdr:row>1</xdr:row>
          <xdr:rowOff>222250</xdr:rowOff>
        </xdr:to>
        <xdr:sp macro="" textlink="">
          <xdr:nvSpPr>
            <xdr:cNvPr id="14419" name="Button 1107" hidden="1">
              <a:extLst>
                <a:ext uri="{63B3BB69-23CF-44E3-9099-C40C66FF867C}">
                  <a14:compatExt spid="_x0000_s14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12700</xdr:rowOff>
        </xdr:from>
        <xdr:to>
          <xdr:col>60</xdr:col>
          <xdr:colOff>107950</xdr:colOff>
          <xdr:row>1</xdr:row>
          <xdr:rowOff>222250</xdr:rowOff>
        </xdr:to>
        <xdr:sp macro="" textlink="">
          <xdr:nvSpPr>
            <xdr:cNvPr id="14420" name="Button 1108" hidden="1">
              <a:extLst>
                <a:ext uri="{63B3BB69-23CF-44E3-9099-C40C66FF867C}">
                  <a14:compatExt spid="_x0000_s14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12700</xdr:rowOff>
        </xdr:from>
        <xdr:to>
          <xdr:col>61</xdr:col>
          <xdr:colOff>107950</xdr:colOff>
          <xdr:row>1</xdr:row>
          <xdr:rowOff>222250</xdr:rowOff>
        </xdr:to>
        <xdr:sp macro="" textlink="">
          <xdr:nvSpPr>
            <xdr:cNvPr id="14421" name="Button 1109" hidden="1">
              <a:extLst>
                <a:ext uri="{63B3BB69-23CF-44E3-9099-C40C66FF867C}">
                  <a14:compatExt spid="_x0000_s14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260350</xdr:rowOff>
        </xdr:from>
        <xdr:to>
          <xdr:col>49</xdr:col>
          <xdr:colOff>31750</xdr:colOff>
          <xdr:row>1</xdr:row>
          <xdr:rowOff>450850</xdr:rowOff>
        </xdr:to>
        <xdr:sp macro="" textlink="">
          <xdr:nvSpPr>
            <xdr:cNvPr id="14422" name="Button 1110" hidden="1">
              <a:extLst>
                <a:ext uri="{63B3BB69-23CF-44E3-9099-C40C66FF867C}">
                  <a14:compatExt spid="_x0000_s14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38100</xdr:colOff>
          <xdr:row>1</xdr:row>
          <xdr:rowOff>260350</xdr:rowOff>
        </xdr:from>
        <xdr:to>
          <xdr:col>50</xdr:col>
          <xdr:colOff>38100</xdr:colOff>
          <xdr:row>1</xdr:row>
          <xdr:rowOff>450850</xdr:rowOff>
        </xdr:to>
        <xdr:sp macro="" textlink="">
          <xdr:nvSpPr>
            <xdr:cNvPr id="14423" name="Button 1111" hidden="1">
              <a:extLst>
                <a:ext uri="{63B3BB69-23CF-44E3-9099-C40C66FF867C}">
                  <a14:compatExt spid="_x0000_s14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69850</xdr:colOff>
          <xdr:row>1</xdr:row>
          <xdr:rowOff>260350</xdr:rowOff>
        </xdr:from>
        <xdr:to>
          <xdr:col>51</xdr:col>
          <xdr:colOff>69850</xdr:colOff>
          <xdr:row>1</xdr:row>
          <xdr:rowOff>450850</xdr:rowOff>
        </xdr:to>
        <xdr:sp macro="" textlink="">
          <xdr:nvSpPr>
            <xdr:cNvPr id="14424" name="Button 1112" hidden="1">
              <a:extLst>
                <a:ext uri="{63B3BB69-23CF-44E3-9099-C40C66FF867C}">
                  <a14:compatExt spid="_x0000_s14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31750</xdr:colOff>
          <xdr:row>1</xdr:row>
          <xdr:rowOff>457200</xdr:rowOff>
        </xdr:from>
        <xdr:to>
          <xdr:col>50</xdr:col>
          <xdr:colOff>31750</xdr:colOff>
          <xdr:row>1</xdr:row>
          <xdr:rowOff>679450</xdr:rowOff>
        </xdr:to>
        <xdr:sp macro="" textlink="">
          <xdr:nvSpPr>
            <xdr:cNvPr id="14425" name="Button 1113" hidden="1">
              <a:extLst>
                <a:ext uri="{63B3BB69-23CF-44E3-9099-C40C66FF867C}">
                  <a14:compatExt spid="_x0000_s14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228600</xdr:rowOff>
        </xdr:from>
        <xdr:to>
          <xdr:col>60</xdr:col>
          <xdr:colOff>107950</xdr:colOff>
          <xdr:row>1</xdr:row>
          <xdr:rowOff>431800</xdr:rowOff>
        </xdr:to>
        <xdr:sp macro="" textlink="">
          <xdr:nvSpPr>
            <xdr:cNvPr id="2" name="Button 1114" hidden="1">
              <a:extLst>
                <a:ext uri="{63B3BB69-23CF-44E3-9099-C40C66FF867C}">
                  <a14:compatExt spid="_x0000_s14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76200</xdr:colOff>
          <xdr:row>1</xdr:row>
          <xdr:rowOff>260350</xdr:rowOff>
        </xdr:from>
        <xdr:to>
          <xdr:col>53</xdr:col>
          <xdr:colOff>222250</xdr:colOff>
          <xdr:row>1</xdr:row>
          <xdr:rowOff>450850</xdr:rowOff>
        </xdr:to>
        <xdr:sp macro="" textlink="">
          <xdr:nvSpPr>
            <xdr:cNvPr id="14427" name="Button 1115" hidden="1">
              <a:extLst>
                <a:ext uri="{63B3BB69-23CF-44E3-9099-C40C66FF867C}">
                  <a14:compatExt spid="_x0000_s14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450850</xdr:rowOff>
        </xdr:from>
        <xdr:to>
          <xdr:col>61</xdr:col>
          <xdr:colOff>114300</xdr:colOff>
          <xdr:row>1</xdr:row>
          <xdr:rowOff>660400</xdr:rowOff>
        </xdr:to>
        <xdr:sp macro="" textlink="">
          <xdr:nvSpPr>
            <xdr:cNvPr id="3" name="Button 1116" hidden="1">
              <a:extLst>
                <a:ext uri="{63B3BB69-23CF-44E3-9099-C40C66FF867C}">
                  <a14:compatExt spid="_x0000_s14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76200</xdr:colOff>
          <xdr:row>1</xdr:row>
          <xdr:rowOff>450850</xdr:rowOff>
        </xdr:from>
        <xdr:to>
          <xdr:col>60</xdr:col>
          <xdr:colOff>88900</xdr:colOff>
          <xdr:row>1</xdr:row>
          <xdr:rowOff>660400</xdr:rowOff>
        </xdr:to>
        <xdr:sp macro="" textlink="">
          <xdr:nvSpPr>
            <xdr:cNvPr id="14429" name="Button 1117" hidden="1">
              <a:extLst>
                <a:ext uri="{63B3BB69-23CF-44E3-9099-C40C66FF867C}">
                  <a14:compatExt spid="_x0000_s14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69850</xdr:colOff>
          <xdr:row>1</xdr:row>
          <xdr:rowOff>450850</xdr:rowOff>
        </xdr:from>
        <xdr:to>
          <xdr:col>59</xdr:col>
          <xdr:colOff>69850</xdr:colOff>
          <xdr:row>1</xdr:row>
          <xdr:rowOff>660400</xdr:rowOff>
        </xdr:to>
        <xdr:sp macro="" textlink="">
          <xdr:nvSpPr>
            <xdr:cNvPr id="14430" name="Button 1118" hidden="1">
              <a:extLst>
                <a:ext uri="{63B3BB69-23CF-44E3-9099-C40C66FF867C}">
                  <a14:compatExt spid="_x0000_s14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76200</xdr:colOff>
          <xdr:row>1</xdr:row>
          <xdr:rowOff>266700</xdr:rowOff>
        </xdr:from>
        <xdr:to>
          <xdr:col>52</xdr:col>
          <xdr:colOff>69850</xdr:colOff>
          <xdr:row>1</xdr:row>
          <xdr:rowOff>450850</xdr:rowOff>
        </xdr:to>
        <xdr:sp macro="" textlink="">
          <xdr:nvSpPr>
            <xdr:cNvPr id="14431" name="Button 1119" hidden="1">
              <a:extLst>
                <a:ext uri="{63B3BB69-23CF-44E3-9099-C40C66FF867C}">
                  <a14:compatExt spid="_x0000_s14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222250</xdr:colOff>
          <xdr:row>1</xdr:row>
          <xdr:rowOff>488950</xdr:rowOff>
        </xdr:from>
        <xdr:to>
          <xdr:col>55</xdr:col>
          <xdr:colOff>31750</xdr:colOff>
          <xdr:row>1</xdr:row>
          <xdr:rowOff>679450</xdr:rowOff>
        </xdr:to>
        <xdr:sp macro="" textlink="">
          <xdr:nvSpPr>
            <xdr:cNvPr id="14432" name="Button 1120" hidden="1">
              <a:extLst>
                <a:ext uri="{63B3BB69-23CF-44E3-9099-C40C66FF867C}">
                  <a14:compatExt spid="_x0000_s14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469900</xdr:rowOff>
        </xdr:from>
        <xdr:to>
          <xdr:col>56</xdr:col>
          <xdr:colOff>38100</xdr:colOff>
          <xdr:row>1</xdr:row>
          <xdr:rowOff>679450</xdr:rowOff>
        </xdr:to>
        <xdr:sp macro="" textlink="">
          <xdr:nvSpPr>
            <xdr:cNvPr id="14433" name="Button 1121" hidden="1">
              <a:extLst>
                <a:ext uri="{63B3BB69-23CF-44E3-9099-C40C66FF867C}">
                  <a14:compatExt spid="_x0000_s14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69850</xdr:colOff>
          <xdr:row>1</xdr:row>
          <xdr:rowOff>488950</xdr:rowOff>
        </xdr:from>
        <xdr:to>
          <xdr:col>53</xdr:col>
          <xdr:colOff>203200</xdr:colOff>
          <xdr:row>1</xdr:row>
          <xdr:rowOff>679450</xdr:rowOff>
        </xdr:to>
        <xdr:sp macro="" textlink="">
          <xdr:nvSpPr>
            <xdr:cNvPr id="14434" name="Button 1122" hidden="1">
              <a:extLst>
                <a:ext uri="{63B3BB69-23CF-44E3-9099-C40C66FF867C}">
                  <a14:compatExt spid="_x0000_s14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0</xdr:colOff>
          <xdr:row>1</xdr:row>
          <xdr:rowOff>260350</xdr:rowOff>
        </xdr:from>
        <xdr:to>
          <xdr:col>55</xdr:col>
          <xdr:colOff>31750</xdr:colOff>
          <xdr:row>1</xdr:row>
          <xdr:rowOff>457200</xdr:rowOff>
        </xdr:to>
        <xdr:sp macro="" textlink="">
          <xdr:nvSpPr>
            <xdr:cNvPr id="14435" name="Button 1123" hidden="1">
              <a:extLst>
                <a:ext uri="{63B3BB69-23CF-44E3-9099-C40C66FF867C}">
                  <a14:compatExt spid="_x0000_s14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88900</xdr:colOff>
          <xdr:row>1</xdr:row>
          <xdr:rowOff>228600</xdr:rowOff>
        </xdr:from>
        <xdr:to>
          <xdr:col>59</xdr:col>
          <xdr:colOff>107950</xdr:colOff>
          <xdr:row>1</xdr:row>
          <xdr:rowOff>431800</xdr:rowOff>
        </xdr:to>
        <xdr:sp macro="" textlink="">
          <xdr:nvSpPr>
            <xdr:cNvPr id="14436" name="Button 1124" hidden="1">
              <a:extLst>
                <a:ext uri="{63B3BB69-23CF-44E3-9099-C40C66FF867C}">
                  <a14:compatExt spid="_x0000_s14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450850</xdr:rowOff>
        </xdr:from>
        <xdr:to>
          <xdr:col>58</xdr:col>
          <xdr:colOff>69850</xdr:colOff>
          <xdr:row>1</xdr:row>
          <xdr:rowOff>660400</xdr:rowOff>
        </xdr:to>
        <xdr:sp macro="" textlink="">
          <xdr:nvSpPr>
            <xdr:cNvPr id="14437" name="Button 1125" hidden="1">
              <a:extLst>
                <a:ext uri="{63B3BB69-23CF-44E3-9099-C40C66FF867C}">
                  <a14:compatExt spid="_x0000_s14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69850</xdr:colOff>
          <xdr:row>1</xdr:row>
          <xdr:rowOff>469900</xdr:rowOff>
        </xdr:from>
        <xdr:to>
          <xdr:col>57</xdr:col>
          <xdr:colOff>69850</xdr:colOff>
          <xdr:row>1</xdr:row>
          <xdr:rowOff>679450</xdr:rowOff>
        </xdr:to>
        <xdr:sp macro="" textlink="">
          <xdr:nvSpPr>
            <xdr:cNvPr id="14438" name="Button 1126" hidden="1">
              <a:extLst>
                <a:ext uri="{63B3BB69-23CF-44E3-9099-C40C66FF867C}">
                  <a14:compatExt spid="_x0000_s14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50800</xdr:colOff>
          <xdr:row>1</xdr:row>
          <xdr:rowOff>469900</xdr:rowOff>
        </xdr:from>
        <xdr:to>
          <xdr:col>51</xdr:col>
          <xdr:colOff>38100</xdr:colOff>
          <xdr:row>1</xdr:row>
          <xdr:rowOff>679450</xdr:rowOff>
        </xdr:to>
        <xdr:sp macro="" textlink="">
          <xdr:nvSpPr>
            <xdr:cNvPr id="14439" name="Button 1127" hidden="1">
              <a:extLst>
                <a:ext uri="{63B3BB69-23CF-44E3-9099-C40C66FF867C}">
                  <a14:compatExt spid="_x0000_s14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50800</xdr:colOff>
          <xdr:row>1</xdr:row>
          <xdr:rowOff>469900</xdr:rowOff>
        </xdr:from>
        <xdr:to>
          <xdr:col>52</xdr:col>
          <xdr:colOff>38100</xdr:colOff>
          <xdr:row>1</xdr:row>
          <xdr:rowOff>685800</xdr:rowOff>
        </xdr:to>
        <xdr:sp macro="" textlink="">
          <xdr:nvSpPr>
            <xdr:cNvPr id="14440" name="Button 1128" hidden="1">
              <a:extLst>
                <a:ext uri="{63B3BB69-23CF-44E3-9099-C40C66FF867C}">
                  <a14:compatExt spid="_x0000_s14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241300</xdr:rowOff>
        </xdr:from>
        <xdr:to>
          <xdr:col>58</xdr:col>
          <xdr:colOff>76200</xdr:colOff>
          <xdr:row>1</xdr:row>
          <xdr:rowOff>450850</xdr:rowOff>
        </xdr:to>
        <xdr:sp macro="" textlink="">
          <xdr:nvSpPr>
            <xdr:cNvPr id="14441" name="Button 1129" hidden="1">
              <a:extLst>
                <a:ext uri="{63B3BB69-23CF-44E3-9099-C40C66FF867C}">
                  <a14:compatExt spid="_x0000_s14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469900</xdr:rowOff>
        </xdr:from>
        <xdr:to>
          <xdr:col>49</xdr:col>
          <xdr:colOff>12700</xdr:colOff>
          <xdr:row>1</xdr:row>
          <xdr:rowOff>679450</xdr:rowOff>
        </xdr:to>
        <xdr:sp macro="" textlink="">
          <xdr:nvSpPr>
            <xdr:cNvPr id="14442" name="Button 1130" hidden="1">
              <a:extLst>
                <a:ext uri="{63B3BB69-23CF-44E3-9099-C40C66FF867C}">
                  <a14:compatExt spid="_x0000_s14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114300</xdr:colOff>
          <xdr:row>1</xdr:row>
          <xdr:rowOff>228600</xdr:rowOff>
        </xdr:from>
        <xdr:to>
          <xdr:col>61</xdr:col>
          <xdr:colOff>114300</xdr:colOff>
          <xdr:row>1</xdr:row>
          <xdr:rowOff>431800</xdr:rowOff>
        </xdr:to>
        <xdr:sp macro="" textlink="">
          <xdr:nvSpPr>
            <xdr:cNvPr id="14443" name="Button 1131" hidden="1">
              <a:extLst>
                <a:ext uri="{63B3BB69-23CF-44E3-9099-C40C66FF867C}">
                  <a14:compatExt spid="_x0000_s14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50800</xdr:colOff>
          <xdr:row>1</xdr:row>
          <xdr:rowOff>241300</xdr:rowOff>
        </xdr:from>
        <xdr:to>
          <xdr:col>57</xdr:col>
          <xdr:colOff>76200</xdr:colOff>
          <xdr:row>1</xdr:row>
          <xdr:rowOff>450850</xdr:rowOff>
        </xdr:to>
        <xdr:sp macro="" textlink="">
          <xdr:nvSpPr>
            <xdr:cNvPr id="14444" name="Button 1132" hidden="1">
              <a:extLst>
                <a:ext uri="{63B3BB69-23CF-44E3-9099-C40C66FF867C}">
                  <a14:compatExt spid="_x0000_s14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260350</xdr:rowOff>
        </xdr:from>
        <xdr:to>
          <xdr:col>56</xdr:col>
          <xdr:colOff>38100</xdr:colOff>
          <xdr:row>1</xdr:row>
          <xdr:rowOff>457200</xdr:rowOff>
        </xdr:to>
        <xdr:sp macro="" textlink="">
          <xdr:nvSpPr>
            <xdr:cNvPr id="14445" name="Button 1133" hidden="1">
              <a:extLst>
                <a:ext uri="{63B3BB69-23CF-44E3-9099-C40C66FF867C}">
                  <a14:compatExt spid="_x0000_s14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12700</xdr:colOff>
          <xdr:row>2</xdr:row>
          <xdr:rowOff>31750</xdr:rowOff>
        </xdr:from>
        <xdr:to>
          <xdr:col>53</xdr:col>
          <xdr:colOff>203200</xdr:colOff>
          <xdr:row>2</xdr:row>
          <xdr:rowOff>228600</xdr:rowOff>
        </xdr:to>
        <xdr:sp macro="" textlink="">
          <xdr:nvSpPr>
            <xdr:cNvPr id="14446" name="Button 1134" hidden="1">
              <a:extLst>
                <a:ext uri="{63B3BB69-23CF-44E3-9099-C40C66FF867C}">
                  <a14:compatExt spid="_x0000_s14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222250</xdr:colOff>
          <xdr:row>2</xdr:row>
          <xdr:rowOff>31750</xdr:rowOff>
        </xdr:from>
        <xdr:to>
          <xdr:col>54</xdr:col>
          <xdr:colOff>222250</xdr:colOff>
          <xdr:row>2</xdr:row>
          <xdr:rowOff>228600</xdr:rowOff>
        </xdr:to>
        <xdr:sp macro="" textlink="">
          <xdr:nvSpPr>
            <xdr:cNvPr id="14447" name="Button 1135" hidden="1">
              <a:extLst>
                <a:ext uri="{63B3BB69-23CF-44E3-9099-C40C66FF867C}">
                  <a14:compatExt spid="_x0000_s14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0</xdr:colOff>
          <xdr:row>2</xdr:row>
          <xdr:rowOff>31750</xdr:rowOff>
        </xdr:from>
        <xdr:to>
          <xdr:col>56</xdr:col>
          <xdr:colOff>0</xdr:colOff>
          <xdr:row>2</xdr:row>
          <xdr:rowOff>228600</xdr:rowOff>
        </xdr:to>
        <xdr:sp macro="" textlink="">
          <xdr:nvSpPr>
            <xdr:cNvPr id="14449" name="Button 1137" hidden="1">
              <a:extLst>
                <a:ext uri="{63B3BB69-23CF-44E3-9099-C40C66FF867C}">
                  <a14:compatExt spid="_x0000_s14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2</xdr:row>
          <xdr:rowOff>31750</xdr:rowOff>
        </xdr:from>
        <xdr:to>
          <xdr:col>56</xdr:col>
          <xdr:colOff>222250</xdr:colOff>
          <xdr:row>2</xdr:row>
          <xdr:rowOff>222250</xdr:rowOff>
        </xdr:to>
        <xdr:sp macro="" textlink="">
          <xdr:nvSpPr>
            <xdr:cNvPr id="14450" name="Button 1138" hidden="1">
              <a:extLst>
                <a:ext uri="{63B3BB69-23CF-44E3-9099-C40C66FF867C}">
                  <a14:compatExt spid="_x0000_s14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0</xdr:colOff>
          <xdr:row>2</xdr:row>
          <xdr:rowOff>31750</xdr:rowOff>
        </xdr:from>
        <xdr:to>
          <xdr:col>57</xdr:col>
          <xdr:colOff>184150</xdr:colOff>
          <xdr:row>2</xdr:row>
          <xdr:rowOff>222250</xdr:rowOff>
        </xdr:to>
        <xdr:sp macro="" textlink="">
          <xdr:nvSpPr>
            <xdr:cNvPr id="14451" name="Button 1139" hidden="1">
              <a:extLst>
                <a:ext uri="{63B3BB69-23CF-44E3-9099-C40C66FF867C}">
                  <a14:compatExt spid="_x0000_s14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190500</xdr:colOff>
          <xdr:row>2</xdr:row>
          <xdr:rowOff>31750</xdr:rowOff>
        </xdr:from>
        <xdr:to>
          <xdr:col>58</xdr:col>
          <xdr:colOff>114300</xdr:colOff>
          <xdr:row>2</xdr:row>
          <xdr:rowOff>222250</xdr:rowOff>
        </xdr:to>
        <xdr:sp macro="" textlink="">
          <xdr:nvSpPr>
            <xdr:cNvPr id="14452" name="Button 1140" hidden="1">
              <a:extLst>
                <a:ext uri="{63B3BB69-23CF-44E3-9099-C40C66FF867C}">
                  <a14:compatExt spid="_x0000_s14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127000</xdr:colOff>
          <xdr:row>2</xdr:row>
          <xdr:rowOff>31750</xdr:rowOff>
        </xdr:from>
        <xdr:to>
          <xdr:col>59</xdr:col>
          <xdr:colOff>88900</xdr:colOff>
          <xdr:row>2</xdr:row>
          <xdr:rowOff>222250</xdr:rowOff>
        </xdr:to>
        <xdr:sp macro="" textlink="">
          <xdr:nvSpPr>
            <xdr:cNvPr id="14453" name="Button 1141" hidden="1">
              <a:extLst>
                <a:ext uri="{63B3BB69-23CF-44E3-9099-C40C66FF867C}">
                  <a14:compatExt spid="_x0000_s14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107950</xdr:colOff>
          <xdr:row>2</xdr:row>
          <xdr:rowOff>12700</xdr:rowOff>
        </xdr:from>
        <xdr:to>
          <xdr:col>60</xdr:col>
          <xdr:colOff>69850</xdr:colOff>
          <xdr:row>2</xdr:row>
          <xdr:rowOff>222250</xdr:rowOff>
        </xdr:to>
        <xdr:sp macro="" textlink="">
          <xdr:nvSpPr>
            <xdr:cNvPr id="14455" name="Button 1143" hidden="1">
              <a:extLst>
                <a:ext uri="{63B3BB69-23CF-44E3-9099-C40C66FF867C}">
                  <a14:compatExt spid="_x0000_s14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0</xdr:colOff>
      <xdr:row>0</xdr:row>
      <xdr:rowOff>0</xdr:rowOff>
    </xdr:from>
    <xdr:to>
      <xdr:col>1</xdr:col>
      <xdr:colOff>73</xdr:colOff>
      <xdr:row>2</xdr:row>
      <xdr:rowOff>246922</xdr:rowOff>
    </xdr:to>
    <xdr:pic>
      <xdr:nvPicPr>
        <xdr:cNvPr id="62" name="Рисунок 61" descr="https://gerbu.ru/wp-content/uploads/2018/11/2000px-Coat_of_Arms_of_Yekaterinburg_Sverdlovsk_oblast.svg_.pn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588" y="0"/>
          <a:ext cx="73" cy="12928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418353</xdr:colOff>
      <xdr:row>0</xdr:row>
      <xdr:rowOff>0</xdr:rowOff>
    </xdr:from>
    <xdr:to>
      <xdr:col>2</xdr:col>
      <xdr:colOff>980054</xdr:colOff>
      <xdr:row>1</xdr:row>
      <xdr:rowOff>179294</xdr:rowOff>
    </xdr:to>
    <xdr:pic>
      <xdr:nvPicPr>
        <xdr:cNvPr id="64" name="Рисунок 63" descr="https://gerbu.ru/wp-content/uploads/2018/11/2000px-Coat_of_Arms_of_Yekaterinburg_Sverdlovsk_oblast.svg_.png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9353" y="0"/>
          <a:ext cx="561701" cy="4855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292099</xdr:colOff>
      <xdr:row>0</xdr:row>
      <xdr:rowOff>41274</xdr:rowOff>
    </xdr:from>
    <xdr:to>
      <xdr:col>2</xdr:col>
      <xdr:colOff>552450</xdr:colOff>
      <xdr:row>0</xdr:row>
      <xdr:rowOff>298244</xdr:rowOff>
    </xdr:to>
    <xdr:pic>
      <xdr:nvPicPr>
        <xdr:cNvPr id="379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999" y="41274"/>
          <a:ext cx="260351" cy="256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501650</xdr:colOff>
      <xdr:row>0</xdr:row>
      <xdr:rowOff>50800</xdr:rowOff>
    </xdr:from>
    <xdr:to>
      <xdr:col>7</xdr:col>
      <xdr:colOff>228600</xdr:colOff>
      <xdr:row>0</xdr:row>
      <xdr:rowOff>292100</xdr:rowOff>
    </xdr:to>
    <xdr:pic>
      <xdr:nvPicPr>
        <xdr:cNvPr id="3795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8500" y="50800"/>
          <a:ext cx="2476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254001</xdr:colOff>
      <xdr:row>0</xdr:row>
      <xdr:rowOff>0</xdr:rowOff>
    </xdr:from>
    <xdr:to>
      <xdr:col>2</xdr:col>
      <xdr:colOff>7547</xdr:colOff>
      <xdr:row>1</xdr:row>
      <xdr:rowOff>101600</xdr:rowOff>
    </xdr:to>
    <xdr:pic>
      <xdr:nvPicPr>
        <xdr:cNvPr id="7" name="Рисунок 6" descr="https://gerbu.ru/wp-content/uploads/2018/11/2000px-Coat_of_Arms_of_Yekaterinburg_Sverdlovsk_oblast.svg_.pn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1" y="0"/>
          <a:ext cx="477446" cy="412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1056;&#1060;%20&#1087;&#1088;&#1086;&#1090;&#1086;&#1082;&#1086;&#1083;&#1099;\13-14&#1083;\&#1076;&#1077;&#1074;13-14&#1083;\65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1084;\Desktop\&#1054;&#1084;&#1089;&#1082;\&#1056;&#1060;%20&#1087;&#1088;&#1086;&#1090;&#1086;&#1082;&#1086;&#1083;&#1099;\&#1054;&#1084;&#1089;&#1082;%20&#1055;&#1091;&#1096;&#1085;&#1080;&#1094;&#1072;%2017&#1075;\&#1055;&#1088;%206&#1096;&#1090;.7&#1082;&#1088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1048;&#1075;&#1086;&#1088;&#1100;\Desktop\&#1063;&#1077;&#1084;&#1072;&#1083;%2017&#1075;\&#1063;&#1077;&#1084;&#1072;&#1083;%2017&#1075;\&#1055;&#1088;.%206&#1096;&#1090;.%201&#1089;&#1090;&#1088;.&#1085;&#1086;&#1074;\&#1055;&#1088;.%206&#1096;&#1090;.%201&#1089;&#1090;&#1088;.&#1085;&#1086;&#1074;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78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м (2)"/>
      <sheetName val="3м"/>
      <sheetName val="2м"/>
      <sheetName val="1м"/>
      <sheetName val="пр.взв"/>
      <sheetName val="кр1"/>
      <sheetName val="кр2"/>
      <sheetName val="НАГР ЛИСТ"/>
      <sheetName val="пр.хода"/>
      <sheetName val="ит.пр"/>
      <sheetName val="кр3"/>
      <sheetName val="кр4"/>
      <sheetName val="кр5"/>
      <sheetName val="кр6"/>
      <sheetName val="кр7"/>
      <sheetName val="п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>
            <v>1</v>
          </cell>
          <cell r="CP6">
            <v>1</v>
          </cell>
          <cell r="CU6">
            <v>1</v>
          </cell>
          <cell r="CV6">
            <v>1</v>
          </cell>
        </row>
        <row r="7">
          <cell r="BZ7">
            <v>4</v>
          </cell>
          <cell r="CB7">
            <v>5</v>
          </cell>
          <cell r="CC7">
            <v>5</v>
          </cell>
          <cell r="CD7">
            <v>5</v>
          </cell>
          <cell r="CI7" t="str">
            <v xml:space="preserve"> </v>
          </cell>
          <cell r="CJ7">
            <v>6</v>
          </cell>
          <cell r="CO7" t="str">
            <v xml:space="preserve"> </v>
          </cell>
          <cell r="CP7">
            <v>6</v>
          </cell>
          <cell r="CU7" t="str">
            <v xml:space="preserve"> </v>
          </cell>
          <cell r="CV7">
            <v>6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4</v>
          </cell>
          <cell r="CI8" t="str">
            <v xml:space="preserve"> </v>
          </cell>
          <cell r="CJ8">
            <v>0</v>
          </cell>
          <cell r="CO8" t="str">
            <v xml:space="preserve"> </v>
          </cell>
          <cell r="CP8">
            <v>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6</v>
          </cell>
          <cell r="CI9" t="str">
            <v xml:space="preserve"> </v>
          </cell>
          <cell r="CJ9">
            <v>0</v>
          </cell>
          <cell r="CO9" t="str">
            <v xml:space="preserve"> </v>
          </cell>
          <cell r="CP9">
            <v>0</v>
          </cell>
          <cell r="CU9" t="str">
            <v xml:space="preserve"> </v>
          </cell>
          <cell r="CV9">
            <v>0</v>
          </cell>
        </row>
        <row r="10">
          <cell r="BZ10" t="str">
            <v xml:space="preserve"> </v>
          </cell>
          <cell r="CB10">
            <v>0</v>
          </cell>
          <cell r="CC10" t="str">
            <v xml:space="preserve"> </v>
          </cell>
          <cell r="CD10">
            <v>0</v>
          </cell>
          <cell r="CI10" t="str">
            <v xml:space="preserve"> </v>
          </cell>
          <cell r="CJ10">
            <v>10</v>
          </cell>
          <cell r="CO10" t="str">
            <v xml:space="preserve"> </v>
          </cell>
          <cell r="CP10">
            <v>10</v>
          </cell>
          <cell r="CU10" t="str">
            <v xml:space="preserve"> </v>
          </cell>
          <cell r="CV10">
            <v>10</v>
          </cell>
        </row>
        <row r="11">
          <cell r="BZ11" t="str">
            <v xml:space="preserve"> </v>
          </cell>
          <cell r="CB11">
            <v>0</v>
          </cell>
          <cell r="CC11" t="str">
            <v xml:space="preserve"> </v>
          </cell>
          <cell r="CD11">
            <v>0</v>
          </cell>
          <cell r="CI11" t="str">
            <v xml:space="preserve"> </v>
          </cell>
          <cell r="CJ11">
            <v>12</v>
          </cell>
          <cell r="CO11" t="str">
            <v xml:space="preserve"> </v>
          </cell>
          <cell r="CP11">
            <v>12</v>
          </cell>
          <cell r="CU11" t="str">
            <v xml:space="preserve"> </v>
          </cell>
          <cell r="CV11">
            <v>12</v>
          </cell>
        </row>
        <row r="12">
          <cell r="BZ12" t="str">
            <v xml:space="preserve"> </v>
          </cell>
          <cell r="CB12">
            <v>4</v>
          </cell>
          <cell r="CC12">
            <v>4</v>
          </cell>
          <cell r="CD12">
            <v>10</v>
          </cell>
          <cell r="CI12" t="str">
            <v xml:space="preserve"> </v>
          </cell>
          <cell r="CJ12">
            <v>14</v>
          </cell>
          <cell r="CO12" t="str">
            <v xml:space="preserve"> </v>
          </cell>
          <cell r="CP12">
            <v>14</v>
          </cell>
          <cell r="CU12" t="str">
            <v xml:space="preserve"> </v>
          </cell>
          <cell r="CV12">
            <v>14</v>
          </cell>
        </row>
        <row r="13">
          <cell r="BZ13" t="str">
            <v xml:space="preserve"> </v>
          </cell>
          <cell r="CB13">
            <v>6</v>
          </cell>
          <cell r="CC13">
            <v>6</v>
          </cell>
          <cell r="CD13">
            <v>14</v>
          </cell>
          <cell r="CI13" t="str">
            <v xml:space="preserve"> </v>
          </cell>
          <cell r="CJ13">
            <v>15</v>
          </cell>
          <cell r="CO13" t="str">
            <v xml:space="preserve"> </v>
          </cell>
          <cell r="CP13">
            <v>15</v>
          </cell>
          <cell r="CU13" t="str">
            <v xml:space="preserve"> </v>
          </cell>
          <cell r="CV13">
            <v>15</v>
          </cell>
        </row>
        <row r="14">
          <cell r="BZ14">
            <v>5</v>
          </cell>
          <cell r="CB14">
            <v>0</v>
          </cell>
          <cell r="CC14" t="str">
            <v xml:space="preserve"> </v>
          </cell>
          <cell r="CD14">
            <v>15</v>
          </cell>
          <cell r="CI14" t="str">
            <v xml:space="preserve"> </v>
          </cell>
          <cell r="CJ14">
            <v>16</v>
          </cell>
          <cell r="CO14" t="str">
            <v xml:space="preserve"> </v>
          </cell>
          <cell r="CP14">
            <v>16</v>
          </cell>
          <cell r="CU14" t="str">
            <v xml:space="preserve"> </v>
          </cell>
          <cell r="CV14">
            <v>16</v>
          </cell>
        </row>
        <row r="15">
          <cell r="BZ15" t="str">
            <v>св</v>
          </cell>
          <cell r="CB15">
            <v>0</v>
          </cell>
          <cell r="CC15" t="str">
            <v xml:space="preserve"> </v>
          </cell>
          <cell r="CD15">
            <v>16</v>
          </cell>
          <cell r="CI15" t="str">
            <v xml:space="preserve"> </v>
          </cell>
          <cell r="CJ15">
            <v>17</v>
          </cell>
          <cell r="CO15" t="str">
            <v xml:space="preserve"> </v>
          </cell>
          <cell r="CP15">
            <v>17</v>
          </cell>
          <cell r="CU15" t="str">
            <v xml:space="preserve"> </v>
          </cell>
          <cell r="CV15">
            <v>17</v>
          </cell>
        </row>
        <row r="16">
          <cell r="BZ16">
            <v>6</v>
          </cell>
          <cell r="CB16">
            <v>0</v>
          </cell>
          <cell r="CC16" t="str">
            <v xml:space="preserve"> </v>
          </cell>
          <cell r="CD16">
            <v>17</v>
          </cell>
          <cell r="CI16">
            <v>6</v>
          </cell>
          <cell r="CJ16">
            <v>18</v>
          </cell>
          <cell r="CO16">
            <v>6</v>
          </cell>
          <cell r="CP16">
            <v>18</v>
          </cell>
          <cell r="CU16">
            <v>6</v>
          </cell>
          <cell r="CV16">
            <v>18</v>
          </cell>
        </row>
        <row r="17">
          <cell r="BZ17">
            <v>7</v>
          </cell>
          <cell r="CB17">
            <v>0</v>
          </cell>
          <cell r="CC17" t="str">
            <v xml:space="preserve"> </v>
          </cell>
          <cell r="CD17">
            <v>18</v>
          </cell>
          <cell r="CI17" t="str">
            <v xml:space="preserve"> </v>
          </cell>
          <cell r="CJ17">
            <v>19</v>
          </cell>
          <cell r="CO17" t="str">
            <v xml:space="preserve"> </v>
          </cell>
          <cell r="CP17">
            <v>19</v>
          </cell>
          <cell r="CU17" t="str">
            <v xml:space="preserve"> </v>
          </cell>
          <cell r="CV17">
            <v>19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19</v>
          </cell>
          <cell r="CI18" t="str">
            <v xml:space="preserve"> </v>
          </cell>
          <cell r="CJ18">
            <v>20</v>
          </cell>
          <cell r="CO18" t="str">
            <v xml:space="preserve"> </v>
          </cell>
          <cell r="CP18">
            <v>20</v>
          </cell>
          <cell r="CU18" t="str">
            <v xml:space="preserve"> </v>
          </cell>
          <cell r="CV18">
            <v>20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20</v>
          </cell>
          <cell r="CI19" t="str">
            <v xml:space="preserve"> </v>
          </cell>
          <cell r="CJ19">
            <v>21</v>
          </cell>
          <cell r="CO19" t="str">
            <v xml:space="preserve"> </v>
          </cell>
          <cell r="CP19">
            <v>21</v>
          </cell>
          <cell r="CU19" t="str">
            <v xml:space="preserve"> </v>
          </cell>
          <cell r="CV19">
            <v>21</v>
          </cell>
        </row>
        <row r="20">
          <cell r="BZ20">
            <v>21</v>
          </cell>
          <cell r="CC20">
            <v>21</v>
          </cell>
          <cell r="CD20">
            <v>21</v>
          </cell>
          <cell r="CJ20">
            <v>21</v>
          </cell>
        </row>
        <row r="21">
          <cell r="BZ21">
            <v>21</v>
          </cell>
          <cell r="CC21">
            <v>21</v>
          </cell>
          <cell r="CD21">
            <v>21</v>
          </cell>
          <cell r="CJ21">
            <v>21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23</v>
          </cell>
          <cell r="CI22" t="str">
            <v xml:space="preserve"> </v>
          </cell>
          <cell r="CJ22">
            <v>24</v>
          </cell>
          <cell r="CO22" t="str">
            <v xml:space="preserve"> </v>
          </cell>
          <cell r="CP22">
            <v>24</v>
          </cell>
          <cell r="CU22" t="str">
            <v xml:space="preserve"> </v>
          </cell>
          <cell r="CV22">
            <v>24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24</v>
          </cell>
          <cell r="CI23" t="str">
            <v xml:space="preserve"> </v>
          </cell>
          <cell r="CJ23">
            <v>25</v>
          </cell>
          <cell r="CO23" t="str">
            <v xml:space="preserve"> </v>
          </cell>
          <cell r="CP23">
            <v>25</v>
          </cell>
          <cell r="CU23" t="str">
            <v xml:space="preserve"> </v>
          </cell>
          <cell r="CV23">
            <v>25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25</v>
          </cell>
          <cell r="CI24" t="str">
            <v xml:space="preserve"> </v>
          </cell>
          <cell r="CJ24">
            <v>26</v>
          </cell>
          <cell r="CO24" t="str">
            <v xml:space="preserve"> </v>
          </cell>
          <cell r="CP24">
            <v>26</v>
          </cell>
          <cell r="CU24" t="str">
            <v xml:space="preserve"> </v>
          </cell>
          <cell r="CV24">
            <v>26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26</v>
          </cell>
          <cell r="CI25" t="str">
            <v xml:space="preserve"> </v>
          </cell>
          <cell r="CJ25">
            <v>27</v>
          </cell>
          <cell r="CO25" t="str">
            <v xml:space="preserve"> </v>
          </cell>
          <cell r="CP25">
            <v>27</v>
          </cell>
          <cell r="CU25" t="str">
            <v xml:space="preserve"> </v>
          </cell>
          <cell r="CV25">
            <v>27</v>
          </cell>
        </row>
        <row r="26">
          <cell r="BZ26">
            <v>10</v>
          </cell>
          <cell r="CC26">
            <v>10</v>
          </cell>
          <cell r="CD26">
            <v>27</v>
          </cell>
          <cell r="CI26">
            <v>10</v>
          </cell>
          <cell r="CJ26">
            <v>28</v>
          </cell>
          <cell r="CO26">
            <v>10</v>
          </cell>
          <cell r="CP26">
            <v>28</v>
          </cell>
          <cell r="CU26">
            <v>10</v>
          </cell>
          <cell r="CV26">
            <v>28</v>
          </cell>
        </row>
        <row r="27">
          <cell r="BZ27">
            <v>13</v>
          </cell>
          <cell r="CC27" t="str">
            <v xml:space="preserve"> </v>
          </cell>
          <cell r="CD27">
            <v>28</v>
          </cell>
          <cell r="CI27" t="str">
            <v xml:space="preserve"> </v>
          </cell>
          <cell r="CJ27">
            <v>29</v>
          </cell>
          <cell r="CO27" t="str">
            <v xml:space="preserve"> </v>
          </cell>
          <cell r="CP27">
            <v>29</v>
          </cell>
          <cell r="CU27" t="str">
            <v xml:space="preserve"> </v>
          </cell>
          <cell r="CV27">
            <v>29</v>
          </cell>
        </row>
        <row r="28">
          <cell r="BZ28">
            <v>11</v>
          </cell>
          <cell r="CC28" t="str">
            <v xml:space="preserve"> </v>
          </cell>
          <cell r="CD28">
            <v>29</v>
          </cell>
          <cell r="CI28" t="str">
            <v xml:space="preserve"> </v>
          </cell>
          <cell r="CJ28">
            <v>30</v>
          </cell>
          <cell r="CO28" t="str">
            <v xml:space="preserve"> </v>
          </cell>
          <cell r="CP28">
            <v>30</v>
          </cell>
          <cell r="CU28" t="str">
            <v xml:space="preserve"> </v>
          </cell>
          <cell r="CV28">
            <v>30</v>
          </cell>
        </row>
        <row r="29">
          <cell r="BZ29">
            <v>12</v>
          </cell>
          <cell r="CC29" t="str">
            <v xml:space="preserve"> </v>
          </cell>
          <cell r="CD29">
            <v>30</v>
          </cell>
          <cell r="CI29" t="str">
            <v xml:space="preserve"> </v>
          </cell>
          <cell r="CJ29">
            <v>31</v>
          </cell>
          <cell r="CO29" t="str">
            <v xml:space="preserve"> </v>
          </cell>
          <cell r="CP29">
            <v>31</v>
          </cell>
          <cell r="CU29" t="str">
            <v xml:space="preserve"> </v>
          </cell>
          <cell r="CV29">
            <v>31</v>
          </cell>
        </row>
        <row r="30">
          <cell r="BZ30" t="str">
            <v xml:space="preserve"> </v>
          </cell>
          <cell r="CC30" t="str">
            <v xml:space="preserve"> </v>
          </cell>
          <cell r="CD30">
            <v>31</v>
          </cell>
          <cell r="CI30">
            <v>12</v>
          </cell>
          <cell r="CJ30">
            <v>32</v>
          </cell>
          <cell r="CO30">
            <v>12</v>
          </cell>
          <cell r="CP30">
            <v>32</v>
          </cell>
          <cell r="CU30">
            <v>12</v>
          </cell>
          <cell r="CV30">
            <v>32</v>
          </cell>
        </row>
        <row r="31">
          <cell r="BZ31" t="str">
            <v xml:space="preserve"> </v>
          </cell>
          <cell r="CC31" t="str">
            <v xml:space="preserve"> </v>
          </cell>
          <cell r="CD31">
            <v>32</v>
          </cell>
          <cell r="CI31" t="str">
            <v xml:space="preserve"> </v>
          </cell>
          <cell r="CJ31">
            <v>33</v>
          </cell>
          <cell r="CO31" t="str">
            <v xml:space="preserve"> </v>
          </cell>
          <cell r="CP31">
            <v>33</v>
          </cell>
          <cell r="CU31" t="str">
            <v xml:space="preserve"> </v>
          </cell>
          <cell r="CV31">
            <v>33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33</v>
          </cell>
          <cell r="CI32" t="str">
            <v xml:space="preserve"> </v>
          </cell>
          <cell r="CJ32">
            <v>34</v>
          </cell>
          <cell r="CO32" t="str">
            <v xml:space="preserve"> </v>
          </cell>
          <cell r="CP32">
            <v>34</v>
          </cell>
          <cell r="CU32" t="str">
            <v xml:space="preserve"> </v>
          </cell>
          <cell r="CV32">
            <v>34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34</v>
          </cell>
          <cell r="CI33" t="str">
            <v xml:space="preserve"> </v>
          </cell>
          <cell r="CJ33">
            <v>35</v>
          </cell>
          <cell r="CO33" t="str">
            <v xml:space="preserve"> </v>
          </cell>
          <cell r="CP33">
            <v>35</v>
          </cell>
          <cell r="CU33" t="str">
            <v xml:space="preserve"> </v>
          </cell>
          <cell r="CV33">
            <v>35</v>
          </cell>
        </row>
        <row r="34">
          <cell r="BZ34">
            <v>14</v>
          </cell>
          <cell r="CC34">
            <v>14</v>
          </cell>
          <cell r="CD34">
            <v>35</v>
          </cell>
          <cell r="CI34">
            <v>14</v>
          </cell>
          <cell r="CJ34">
            <v>36</v>
          </cell>
          <cell r="CO34">
            <v>14</v>
          </cell>
          <cell r="CP34">
            <v>36</v>
          </cell>
          <cell r="CU34">
            <v>14</v>
          </cell>
          <cell r="CV34">
            <v>36</v>
          </cell>
        </row>
        <row r="35">
          <cell r="BZ35" t="str">
            <v xml:space="preserve"> </v>
          </cell>
          <cell r="CC35" t="str">
            <v xml:space="preserve"> </v>
          </cell>
          <cell r="CD35">
            <v>36</v>
          </cell>
          <cell r="CI35" t="str">
            <v xml:space="preserve"> </v>
          </cell>
          <cell r="CJ35">
            <v>37</v>
          </cell>
          <cell r="CO35" t="str">
            <v xml:space="preserve"> </v>
          </cell>
          <cell r="CP35">
            <v>37</v>
          </cell>
          <cell r="CU35" t="str">
            <v xml:space="preserve"> </v>
          </cell>
          <cell r="CV35">
            <v>37</v>
          </cell>
        </row>
        <row r="36">
          <cell r="BZ36">
            <v>15</v>
          </cell>
          <cell r="CC36">
            <v>15</v>
          </cell>
          <cell r="CD36">
            <v>37</v>
          </cell>
          <cell r="CI36">
            <v>15</v>
          </cell>
          <cell r="CJ36">
            <v>38</v>
          </cell>
          <cell r="CO36">
            <v>15</v>
          </cell>
          <cell r="CP36">
            <v>38</v>
          </cell>
          <cell r="CU36">
            <v>15</v>
          </cell>
          <cell r="CV36">
            <v>38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38</v>
          </cell>
          <cell r="CI37" t="str">
            <v xml:space="preserve"> </v>
          </cell>
          <cell r="CJ37">
            <v>39</v>
          </cell>
          <cell r="CO37" t="str">
            <v xml:space="preserve"> </v>
          </cell>
          <cell r="CP37">
            <v>39</v>
          </cell>
          <cell r="CU37" t="str">
            <v xml:space="preserve"> </v>
          </cell>
          <cell r="CV37">
            <v>39</v>
          </cell>
        </row>
        <row r="38">
          <cell r="BZ38">
            <v>16</v>
          </cell>
          <cell r="CC38">
            <v>16</v>
          </cell>
          <cell r="CD38">
            <v>39</v>
          </cell>
          <cell r="CI38">
            <v>16</v>
          </cell>
          <cell r="CJ38">
            <v>40</v>
          </cell>
          <cell r="CO38">
            <v>16</v>
          </cell>
          <cell r="CP38">
            <v>40</v>
          </cell>
          <cell r="CU38">
            <v>16</v>
          </cell>
          <cell r="CV38">
            <v>40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40</v>
          </cell>
          <cell r="CI39" t="str">
            <v xml:space="preserve"> </v>
          </cell>
          <cell r="CJ39">
            <v>41</v>
          </cell>
          <cell r="CO39" t="str">
            <v xml:space="preserve"> </v>
          </cell>
          <cell r="CP39">
            <v>41</v>
          </cell>
          <cell r="CU39" t="str">
            <v xml:space="preserve"> </v>
          </cell>
          <cell r="CV39">
            <v>41</v>
          </cell>
        </row>
        <row r="40">
          <cell r="BZ40">
            <v>17</v>
          </cell>
          <cell r="CC40">
            <v>17</v>
          </cell>
          <cell r="CD40">
            <v>41</v>
          </cell>
          <cell r="CI40">
            <v>17</v>
          </cell>
          <cell r="CJ40">
            <v>42</v>
          </cell>
          <cell r="CO40">
            <v>17</v>
          </cell>
          <cell r="CP40">
            <v>42</v>
          </cell>
          <cell r="CU40">
            <v>17</v>
          </cell>
          <cell r="CV40">
            <v>42</v>
          </cell>
        </row>
        <row r="41">
          <cell r="BZ41" t="str">
            <v xml:space="preserve"> </v>
          </cell>
          <cell r="CC41" t="str">
            <v xml:space="preserve"> </v>
          </cell>
          <cell r="CD41">
            <v>42</v>
          </cell>
          <cell r="CI41" t="str">
            <v xml:space="preserve"> </v>
          </cell>
          <cell r="CJ41">
            <v>43</v>
          </cell>
          <cell r="CO41" t="str">
            <v xml:space="preserve"> </v>
          </cell>
          <cell r="CP41">
            <v>43</v>
          </cell>
          <cell r="CU41" t="str">
            <v xml:space="preserve"> </v>
          </cell>
          <cell r="CV41">
            <v>43</v>
          </cell>
        </row>
        <row r="42">
          <cell r="BZ42">
            <v>18</v>
          </cell>
          <cell r="CC42">
            <v>18</v>
          </cell>
          <cell r="CD42">
            <v>43</v>
          </cell>
          <cell r="CI42">
            <v>18</v>
          </cell>
          <cell r="CJ42">
            <v>44</v>
          </cell>
          <cell r="CO42">
            <v>18</v>
          </cell>
          <cell r="CP42">
            <v>44</v>
          </cell>
          <cell r="CU42">
            <v>18</v>
          </cell>
          <cell r="CV42">
            <v>44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44</v>
          </cell>
          <cell r="CI43" t="str">
            <v xml:space="preserve"> </v>
          </cell>
          <cell r="CJ43">
            <v>45</v>
          </cell>
          <cell r="CO43" t="str">
            <v xml:space="preserve"> </v>
          </cell>
          <cell r="CP43">
            <v>45</v>
          </cell>
          <cell r="CU43" t="str">
            <v xml:space="preserve"> </v>
          </cell>
          <cell r="CV43">
            <v>45</v>
          </cell>
        </row>
        <row r="44">
          <cell r="BZ44">
            <v>19</v>
          </cell>
          <cell r="CC44">
            <v>19</v>
          </cell>
          <cell r="CD44">
            <v>45</v>
          </cell>
          <cell r="CI44">
            <v>19</v>
          </cell>
          <cell r="CJ44">
            <v>46</v>
          </cell>
          <cell r="CO44">
            <v>19</v>
          </cell>
          <cell r="CP44">
            <v>46</v>
          </cell>
          <cell r="CU44">
            <v>19</v>
          </cell>
          <cell r="CV44">
            <v>46</v>
          </cell>
        </row>
        <row r="45">
          <cell r="BZ45" t="str">
            <v xml:space="preserve"> </v>
          </cell>
          <cell r="CC45" t="str">
            <v xml:space="preserve"> </v>
          </cell>
          <cell r="CD45">
            <v>46</v>
          </cell>
          <cell r="CI45" t="str">
            <v xml:space="preserve"> </v>
          </cell>
          <cell r="CJ45">
            <v>47</v>
          </cell>
          <cell r="CO45" t="str">
            <v xml:space="preserve"> </v>
          </cell>
          <cell r="CP45">
            <v>47</v>
          </cell>
          <cell r="CU45" t="str">
            <v xml:space="preserve"> </v>
          </cell>
          <cell r="CV45">
            <v>47</v>
          </cell>
        </row>
        <row r="46">
          <cell r="BZ46">
            <v>20</v>
          </cell>
          <cell r="CC46">
            <v>20</v>
          </cell>
          <cell r="CD46">
            <v>47</v>
          </cell>
          <cell r="CI46">
            <v>20</v>
          </cell>
          <cell r="CJ46">
            <v>48</v>
          </cell>
          <cell r="CO46">
            <v>20</v>
          </cell>
          <cell r="CP46">
            <v>48</v>
          </cell>
          <cell r="CU46">
            <v>20</v>
          </cell>
          <cell r="CV46">
            <v>48</v>
          </cell>
        </row>
        <row r="47">
          <cell r="BZ47" t="str">
            <v xml:space="preserve"> </v>
          </cell>
          <cell r="CC47" t="str">
            <v xml:space="preserve"> </v>
          </cell>
          <cell r="CD47">
            <v>48</v>
          </cell>
          <cell r="CI47" t="str">
            <v xml:space="preserve"> </v>
          </cell>
          <cell r="CJ47">
            <v>49</v>
          </cell>
          <cell r="CO47" t="str">
            <v xml:space="preserve"> </v>
          </cell>
          <cell r="CP47">
            <v>49</v>
          </cell>
          <cell r="CU47" t="str">
            <v xml:space="preserve"> </v>
          </cell>
          <cell r="CV47">
            <v>49</v>
          </cell>
        </row>
        <row r="48">
          <cell r="BZ48">
            <v>21</v>
          </cell>
          <cell r="CC48">
            <v>21</v>
          </cell>
          <cell r="CD48">
            <v>49</v>
          </cell>
          <cell r="CI48">
            <v>21</v>
          </cell>
          <cell r="CJ48">
            <v>50</v>
          </cell>
          <cell r="CO48">
            <v>21</v>
          </cell>
          <cell r="CP48">
            <v>50</v>
          </cell>
          <cell r="CU48">
            <v>21</v>
          </cell>
          <cell r="CV48">
            <v>50</v>
          </cell>
        </row>
        <row r="49">
          <cell r="BZ49" t="str">
            <v xml:space="preserve"> </v>
          </cell>
          <cell r="CC49" t="str">
            <v xml:space="preserve"> </v>
          </cell>
          <cell r="CD49">
            <v>50</v>
          </cell>
          <cell r="CI49" t="str">
            <v xml:space="preserve"> </v>
          </cell>
          <cell r="CJ49">
            <v>51</v>
          </cell>
          <cell r="CO49" t="str">
            <v xml:space="preserve"> </v>
          </cell>
          <cell r="CP49">
            <v>51</v>
          </cell>
          <cell r="CU49" t="str">
            <v xml:space="preserve"> </v>
          </cell>
          <cell r="CV49">
            <v>51</v>
          </cell>
        </row>
        <row r="50">
          <cell r="BZ50">
            <v>22</v>
          </cell>
          <cell r="CC50">
            <v>22</v>
          </cell>
          <cell r="CD50">
            <v>51</v>
          </cell>
          <cell r="CI50">
            <v>22</v>
          </cell>
          <cell r="CJ50">
            <v>52</v>
          </cell>
          <cell r="CO50">
            <v>22</v>
          </cell>
          <cell r="CP50">
            <v>52</v>
          </cell>
          <cell r="CU50">
            <v>22</v>
          </cell>
          <cell r="CV50">
            <v>52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52</v>
          </cell>
          <cell r="CI51" t="str">
            <v xml:space="preserve"> </v>
          </cell>
          <cell r="CJ51">
            <v>53</v>
          </cell>
          <cell r="CO51" t="str">
            <v xml:space="preserve"> </v>
          </cell>
          <cell r="CP51">
            <v>53</v>
          </cell>
          <cell r="CU51" t="str">
            <v xml:space="preserve"> </v>
          </cell>
          <cell r="CV51">
            <v>53</v>
          </cell>
        </row>
        <row r="52">
          <cell r="BZ52">
            <v>23</v>
          </cell>
          <cell r="CC52">
            <v>23</v>
          </cell>
          <cell r="CD52">
            <v>53</v>
          </cell>
          <cell r="CI52">
            <v>23</v>
          </cell>
          <cell r="CJ52">
            <v>54</v>
          </cell>
          <cell r="CO52">
            <v>23</v>
          </cell>
          <cell r="CP52">
            <v>54</v>
          </cell>
          <cell r="CU52">
            <v>23</v>
          </cell>
          <cell r="CV52">
            <v>54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54</v>
          </cell>
          <cell r="CI53" t="str">
            <v xml:space="preserve"> </v>
          </cell>
          <cell r="CJ53">
            <v>55</v>
          </cell>
          <cell r="CO53" t="str">
            <v xml:space="preserve"> </v>
          </cell>
          <cell r="CP53">
            <v>55</v>
          </cell>
          <cell r="CU53" t="str">
            <v xml:space="preserve"> </v>
          </cell>
          <cell r="CV53">
            <v>55</v>
          </cell>
        </row>
        <row r="54">
          <cell r="BZ54">
            <v>24</v>
          </cell>
          <cell r="CC54">
            <v>24</v>
          </cell>
          <cell r="CD54">
            <v>55</v>
          </cell>
          <cell r="CI54">
            <v>24</v>
          </cell>
          <cell r="CJ54">
            <v>56</v>
          </cell>
          <cell r="CO54">
            <v>24</v>
          </cell>
          <cell r="CP54">
            <v>56</v>
          </cell>
          <cell r="CU54">
            <v>24</v>
          </cell>
          <cell r="CV54">
            <v>56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56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25</v>
          </cell>
          <cell r="CC56">
            <v>25</v>
          </cell>
          <cell r="CD56">
            <v>0</v>
          </cell>
          <cell r="CI56">
            <v>25</v>
          </cell>
          <cell r="CJ56">
            <v>0</v>
          </cell>
          <cell r="CO56">
            <v>25</v>
          </cell>
          <cell r="CP56">
            <v>0</v>
          </cell>
          <cell r="CU56">
            <v>25</v>
          </cell>
          <cell r="CV56">
            <v>0</v>
          </cell>
        </row>
        <row r="57">
          <cell r="BZ57" t="str">
            <v xml:space="preserve"> </v>
          </cell>
          <cell r="CC57" t="str">
            <v xml:space="preserve"> 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>
            <v>26</v>
          </cell>
          <cell r="CC58">
            <v>26</v>
          </cell>
          <cell r="CD58">
            <v>0</v>
          </cell>
          <cell r="CI58">
            <v>26</v>
          </cell>
          <cell r="CJ58">
            <v>0</v>
          </cell>
          <cell r="CO58">
            <v>26</v>
          </cell>
          <cell r="CP58">
            <v>0</v>
          </cell>
          <cell r="CU58">
            <v>26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>
            <v>27</v>
          </cell>
          <cell r="CC60">
            <v>27</v>
          </cell>
          <cell r="CD60">
            <v>0</v>
          </cell>
          <cell r="CI60">
            <v>27</v>
          </cell>
          <cell r="CJ60">
            <v>0</v>
          </cell>
          <cell r="CO60">
            <v>27</v>
          </cell>
          <cell r="CP60">
            <v>0</v>
          </cell>
          <cell r="CU60">
            <v>27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28</v>
          </cell>
          <cell r="CC62">
            <v>28</v>
          </cell>
          <cell r="CD62">
            <v>0</v>
          </cell>
          <cell r="CI62">
            <v>28</v>
          </cell>
          <cell r="CJ62">
            <v>0</v>
          </cell>
          <cell r="CO62">
            <v>28</v>
          </cell>
          <cell r="CP62">
            <v>0</v>
          </cell>
          <cell r="CU62">
            <v>28</v>
          </cell>
          <cell r="CV62">
            <v>0</v>
          </cell>
        </row>
        <row r="63">
          <cell r="BZ63" t="str">
            <v xml:space="preserve"> </v>
          </cell>
          <cell r="CC63" t="str">
            <v xml:space="preserve"> 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>
            <v>30</v>
          </cell>
          <cell r="CV66">
            <v>0</v>
          </cell>
        </row>
        <row r="67">
          <cell r="BZ67" t="str">
            <v xml:space="preserve"> </v>
          </cell>
          <cell r="CC67" t="str">
            <v xml:space="preserve"> </v>
          </cell>
          <cell r="CD67">
            <v>0</v>
          </cell>
          <cell r="CI67" t="str">
            <v xml:space="preserve"> </v>
          </cell>
          <cell r="CJ67">
            <v>0</v>
          </cell>
          <cell r="CO67" t="str">
            <v xml:space="preserve"> 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>
            <v>31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>
            <v>31</v>
          </cell>
          <cell r="CV68">
            <v>0</v>
          </cell>
        </row>
        <row r="69">
          <cell r="BZ69" t="str">
            <v xml:space="preserve"> </v>
          </cell>
          <cell r="CC69" t="str">
            <v xml:space="preserve"> </v>
          </cell>
          <cell r="CD69">
            <v>0</v>
          </cell>
          <cell r="CI69" t="str">
            <v xml:space="preserve"> </v>
          </cell>
          <cell r="CJ69">
            <v>0</v>
          </cell>
          <cell r="CO69" t="str">
            <v xml:space="preserve"> 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 t="str">
            <v xml:space="preserve"> 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>
            <v>33</v>
          </cell>
          <cell r="CC72">
            <v>33</v>
          </cell>
          <cell r="CD72">
            <v>0</v>
          </cell>
          <cell r="CI72">
            <v>33</v>
          </cell>
          <cell r="CJ72">
            <v>0</v>
          </cell>
          <cell r="CO72">
            <v>33</v>
          </cell>
          <cell r="CP72">
            <v>0</v>
          </cell>
          <cell r="CU72">
            <v>33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>
            <v>35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 t="str">
            <v xml:space="preserve"> 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>
            <v>38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 t="str">
            <v xml:space="preserve"> 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 t="str">
            <v xml:space="preserve"> </v>
          </cell>
          <cell r="CC87" t="str">
            <v xml:space="preserve"> 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>
            <v>41</v>
          </cell>
          <cell r="CC88">
            <v>41</v>
          </cell>
          <cell r="CD88">
            <v>0</v>
          </cell>
          <cell r="CI88">
            <v>41</v>
          </cell>
          <cell r="CJ88">
            <v>0</v>
          </cell>
          <cell r="CO88">
            <v>41</v>
          </cell>
          <cell r="CP88">
            <v>0</v>
          </cell>
          <cell r="CU88">
            <v>41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>
            <v>42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>
            <v>43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 t="str">
            <v xml:space="preserve"> </v>
          </cell>
          <cell r="CC93" t="str">
            <v xml:space="preserve"> 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>
            <v>45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>
            <v>46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 t="str">
            <v xml:space="preserve"> 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>
            <v>47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 t="str">
            <v xml:space="preserve"> </v>
          </cell>
          <cell r="CC105" t="str">
            <v xml:space="preserve"> 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 t="str">
            <v xml:space="preserve"> 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>
            <v>52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 xml:space="preserve"> </v>
          </cell>
          <cell r="CD111">
            <v>0</v>
          </cell>
          <cell r="CI111" t="str">
            <v xml:space="preserve"> </v>
          </cell>
          <cell r="CJ111">
            <v>0</v>
          </cell>
          <cell r="CO111" t="str">
            <v xml:space="preserve"> </v>
          </cell>
          <cell r="CP111">
            <v>0</v>
          </cell>
          <cell r="CU111" t="str">
            <v xml:space="preserve"> </v>
          </cell>
          <cell r="CV111">
            <v>0</v>
          </cell>
        </row>
        <row r="112">
          <cell r="BZ112">
            <v>53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>
            <v>56</v>
          </cell>
          <cell r="CD118" t="str">
            <v xml:space="preserve"> </v>
          </cell>
          <cell r="CI118">
            <v>56</v>
          </cell>
          <cell r="CJ118" t="str">
            <v xml:space="preserve"> </v>
          </cell>
          <cell r="CO118">
            <v>56</v>
          </cell>
          <cell r="CP118" t="str">
            <v xml:space="preserve"> </v>
          </cell>
          <cell r="CU118">
            <v>56</v>
          </cell>
          <cell r="CV118" t="str">
            <v xml:space="preserve"> </v>
          </cell>
        </row>
        <row r="119">
          <cell r="BZ119" t="str">
            <v xml:space="preserve"> 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кр7"/>
      <sheetName val="пф"/>
    </sheetNames>
    <sheetDataSet>
      <sheetData sheetId="0">
        <row r="4">
          <cell r="D4" t="str">
            <v>В.к.        кг.</v>
          </cell>
        </row>
      </sheetData>
      <sheetData sheetId="1"/>
      <sheetData sheetId="2"/>
      <sheetData sheetId="3"/>
      <sheetData sheetId="4"/>
      <sheetData sheetId="5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 t="str">
            <v xml:space="preserve"> </v>
          </cell>
          <cell r="CP6">
            <v>11</v>
          </cell>
          <cell r="CU6" t="str">
            <v xml:space="preserve"> </v>
          </cell>
          <cell r="CV6">
            <v>17</v>
          </cell>
        </row>
        <row r="7">
          <cell r="BZ7">
            <v>4</v>
          </cell>
          <cell r="CB7">
            <v>8</v>
          </cell>
          <cell r="CC7">
            <v>8</v>
          </cell>
          <cell r="CD7">
            <v>8</v>
          </cell>
          <cell r="CI7">
            <v>11</v>
          </cell>
          <cell r="CJ7">
            <v>11</v>
          </cell>
          <cell r="CO7" t="str">
            <v xml:space="preserve"> </v>
          </cell>
          <cell r="CP7">
            <v>17</v>
          </cell>
          <cell r="CU7" t="str">
            <v xml:space="preserve"> </v>
          </cell>
          <cell r="CV7">
            <v>22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3</v>
          </cell>
          <cell r="CI8" t="str">
            <v xml:space="preserve"> </v>
          </cell>
          <cell r="CJ8">
            <v>17</v>
          </cell>
          <cell r="CO8" t="str">
            <v xml:space="preserve"> </v>
          </cell>
          <cell r="CP8">
            <v>20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11</v>
          </cell>
          <cell r="CI9" t="str">
            <v xml:space="preserve"> </v>
          </cell>
          <cell r="CJ9">
            <v>22</v>
          </cell>
          <cell r="CO9" t="str">
            <v xml:space="preserve"> </v>
          </cell>
          <cell r="CP9">
            <v>22</v>
          </cell>
          <cell r="CU9" t="str">
            <v xml:space="preserve"> </v>
          </cell>
          <cell r="CV9">
            <v>0</v>
          </cell>
        </row>
        <row r="10">
          <cell r="BZ10">
            <v>3</v>
          </cell>
          <cell r="CB10">
            <v>3</v>
          </cell>
          <cell r="CC10">
            <v>3</v>
          </cell>
          <cell r="CD10">
            <v>13</v>
          </cell>
          <cell r="CI10" t="str">
            <v xml:space="preserve"> </v>
          </cell>
          <cell r="CJ10">
            <v>20</v>
          </cell>
          <cell r="CO10" t="str">
            <v xml:space="preserve"> </v>
          </cell>
          <cell r="CP10">
            <v>0</v>
          </cell>
          <cell r="CU10" t="str">
            <v xml:space="preserve"> </v>
          </cell>
          <cell r="CV10">
            <v>29</v>
          </cell>
        </row>
        <row r="11">
          <cell r="BZ11">
            <v>7</v>
          </cell>
          <cell r="CB11">
            <v>11</v>
          </cell>
          <cell r="CC11">
            <v>11</v>
          </cell>
          <cell r="CD11">
            <v>17</v>
          </cell>
          <cell r="CI11" t="str">
            <v xml:space="preserve"> </v>
          </cell>
          <cell r="CJ11">
            <v>26</v>
          </cell>
          <cell r="CO11" t="str">
            <v xml:space="preserve"> </v>
          </cell>
          <cell r="CP11">
            <v>0</v>
          </cell>
          <cell r="CU11" t="str">
            <v xml:space="preserve"> </v>
          </cell>
          <cell r="CV11">
            <v>32</v>
          </cell>
        </row>
        <row r="12">
          <cell r="BZ12" t="str">
            <v xml:space="preserve"> </v>
          </cell>
          <cell r="CB12">
            <v>0</v>
          </cell>
          <cell r="CC12" t="str">
            <v xml:space="preserve"> </v>
          </cell>
          <cell r="CD12">
            <v>20</v>
          </cell>
          <cell r="CI12" t="str">
            <v xml:space="preserve"> </v>
          </cell>
          <cell r="CJ12">
            <v>0</v>
          </cell>
          <cell r="CO12" t="str">
            <v xml:space="preserve"> </v>
          </cell>
          <cell r="CP12">
            <v>29</v>
          </cell>
          <cell r="CU12" t="str">
            <v xml:space="preserve"> </v>
          </cell>
          <cell r="CV12">
            <v>34</v>
          </cell>
        </row>
        <row r="13">
          <cell r="BZ13" t="str">
            <v xml:space="preserve"> </v>
          </cell>
          <cell r="CB13">
            <v>0</v>
          </cell>
          <cell r="CC13" t="str">
            <v xml:space="preserve"> </v>
          </cell>
          <cell r="CD13">
            <v>21</v>
          </cell>
          <cell r="CI13" t="str">
            <v xml:space="preserve"> </v>
          </cell>
          <cell r="CJ13">
            <v>0</v>
          </cell>
          <cell r="CO13" t="str">
            <v xml:space="preserve"> </v>
          </cell>
          <cell r="CP13">
            <v>30</v>
          </cell>
          <cell r="CU13" t="str">
            <v xml:space="preserve"> </v>
          </cell>
          <cell r="CV13">
            <v>35</v>
          </cell>
        </row>
        <row r="14">
          <cell r="BZ14" t="str">
            <v xml:space="preserve"> </v>
          </cell>
          <cell r="CB14">
            <v>0</v>
          </cell>
          <cell r="CC14" t="str">
            <v xml:space="preserve"> </v>
          </cell>
          <cell r="CD14">
            <v>22</v>
          </cell>
          <cell r="CI14" t="str">
            <v xml:space="preserve"> </v>
          </cell>
          <cell r="CJ14">
            <v>29</v>
          </cell>
          <cell r="CO14" t="str">
            <v xml:space="preserve"> </v>
          </cell>
          <cell r="CP14">
            <v>56</v>
          </cell>
          <cell r="CU14" t="str">
            <v xml:space="preserve"> </v>
          </cell>
          <cell r="CV14">
            <v>36</v>
          </cell>
        </row>
        <row r="15">
          <cell r="BZ15" t="str">
            <v xml:space="preserve"> </v>
          </cell>
          <cell r="CB15">
            <v>0</v>
          </cell>
          <cell r="CC15" t="str">
            <v xml:space="preserve"> </v>
          </cell>
          <cell r="CD15">
            <v>25</v>
          </cell>
          <cell r="CI15" t="str">
            <v xml:space="preserve"> </v>
          </cell>
          <cell r="CJ15">
            <v>30</v>
          </cell>
          <cell r="CO15" t="str">
            <v xml:space="preserve"> </v>
          </cell>
          <cell r="CP15">
            <v>31</v>
          </cell>
          <cell r="CU15" t="str">
            <v xml:space="preserve"> </v>
          </cell>
          <cell r="CV15">
            <v>37</v>
          </cell>
        </row>
        <row r="16">
          <cell r="BZ16" t="str">
            <v xml:space="preserve"> </v>
          </cell>
          <cell r="CB16">
            <v>0</v>
          </cell>
          <cell r="CC16" t="str">
            <v xml:space="preserve"> </v>
          </cell>
          <cell r="CD16">
            <v>26</v>
          </cell>
          <cell r="CI16" t="str">
            <v xml:space="preserve"> </v>
          </cell>
          <cell r="CJ16">
            <v>41</v>
          </cell>
          <cell r="CO16" t="str">
            <v xml:space="preserve"> </v>
          </cell>
          <cell r="CP16">
            <v>41</v>
          </cell>
          <cell r="CU16" t="str">
            <v xml:space="preserve"> </v>
          </cell>
          <cell r="CV16">
            <v>38</v>
          </cell>
        </row>
        <row r="17">
          <cell r="BZ17" t="str">
            <v xml:space="preserve"> </v>
          </cell>
          <cell r="CB17">
            <v>0</v>
          </cell>
          <cell r="CC17" t="str">
            <v xml:space="preserve"> </v>
          </cell>
          <cell r="CD17" t="str">
            <v>св</v>
          </cell>
          <cell r="CI17" t="str">
            <v xml:space="preserve"> </v>
          </cell>
          <cell r="CJ17">
            <v>31</v>
          </cell>
          <cell r="CO17" t="str">
            <v xml:space="preserve"> </v>
          </cell>
          <cell r="CP17">
            <v>32</v>
          </cell>
          <cell r="CU17" t="str">
            <v xml:space="preserve"> </v>
          </cell>
          <cell r="CV17">
            <v>39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0</v>
          </cell>
          <cell r="CI18" t="str">
            <v xml:space="preserve"> </v>
          </cell>
          <cell r="CJ18">
            <v>43</v>
          </cell>
          <cell r="CO18" t="str">
            <v xml:space="preserve"> </v>
          </cell>
          <cell r="CP18">
            <v>34</v>
          </cell>
          <cell r="CU18" t="str">
            <v xml:space="preserve"> </v>
          </cell>
          <cell r="CV18">
            <v>40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0</v>
          </cell>
          <cell r="CI19" t="str">
            <v xml:space="preserve"> </v>
          </cell>
          <cell r="CJ19">
            <v>32</v>
          </cell>
          <cell r="CO19" t="str">
            <v xml:space="preserve"> </v>
          </cell>
          <cell r="CP19">
            <v>35</v>
          </cell>
          <cell r="CU19" t="str">
            <v xml:space="preserve"> </v>
          </cell>
          <cell r="CV19">
            <v>42</v>
          </cell>
        </row>
        <row r="20">
          <cell r="BZ20">
            <v>8</v>
          </cell>
          <cell r="CB20">
            <v>0</v>
          </cell>
          <cell r="CC20" t="str">
            <v xml:space="preserve"> </v>
          </cell>
          <cell r="CD20">
            <v>29</v>
          </cell>
          <cell r="CI20" t="str">
            <v xml:space="preserve"> </v>
          </cell>
          <cell r="CJ20">
            <v>34</v>
          </cell>
          <cell r="CO20" t="str">
            <v xml:space="preserve"> </v>
          </cell>
          <cell r="CP20">
            <v>36</v>
          </cell>
          <cell r="CU20" t="str">
            <v xml:space="preserve"> </v>
          </cell>
          <cell r="CV20">
            <v>43</v>
          </cell>
        </row>
        <row r="21">
          <cell r="BZ21">
            <v>10</v>
          </cell>
          <cell r="CB21">
            <v>0</v>
          </cell>
          <cell r="CC21" t="str">
            <v xml:space="preserve"> </v>
          </cell>
          <cell r="CD21">
            <v>30</v>
          </cell>
          <cell r="CI21" t="str">
            <v xml:space="preserve"> </v>
          </cell>
          <cell r="CJ21">
            <v>35</v>
          </cell>
          <cell r="CO21" t="str">
            <v xml:space="preserve"> </v>
          </cell>
          <cell r="CP21">
            <v>37</v>
          </cell>
          <cell r="CU21" t="str">
            <v xml:space="preserve"> </v>
          </cell>
          <cell r="CV21">
            <v>44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33</v>
          </cell>
          <cell r="CI22" t="str">
            <v xml:space="preserve"> </v>
          </cell>
          <cell r="CJ22">
            <v>36</v>
          </cell>
          <cell r="CO22" t="str">
            <v xml:space="preserve"> </v>
          </cell>
          <cell r="CP22">
            <v>38</v>
          </cell>
          <cell r="CU22" t="str">
            <v xml:space="preserve"> </v>
          </cell>
          <cell r="CV22">
            <v>45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31</v>
          </cell>
          <cell r="CI23" t="str">
            <v xml:space="preserve"> </v>
          </cell>
          <cell r="CJ23">
            <v>37</v>
          </cell>
          <cell r="CO23" t="str">
            <v xml:space="preserve"> </v>
          </cell>
          <cell r="CP23">
            <v>39</v>
          </cell>
          <cell r="CU23" t="str">
            <v xml:space="preserve"> </v>
          </cell>
          <cell r="CV23">
            <v>46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35</v>
          </cell>
          <cell r="CI24" t="str">
            <v xml:space="preserve"> </v>
          </cell>
          <cell r="CJ24">
            <v>38</v>
          </cell>
          <cell r="CO24" t="str">
            <v xml:space="preserve"> </v>
          </cell>
          <cell r="CP24">
            <v>40</v>
          </cell>
          <cell r="CU24" t="str">
            <v xml:space="preserve"> </v>
          </cell>
          <cell r="CV24">
            <v>47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32</v>
          </cell>
          <cell r="CI25" t="str">
            <v xml:space="preserve"> </v>
          </cell>
          <cell r="CJ25">
            <v>39</v>
          </cell>
          <cell r="CO25" t="str">
            <v xml:space="preserve"> </v>
          </cell>
          <cell r="CP25">
            <v>42</v>
          </cell>
          <cell r="CU25" t="str">
            <v xml:space="preserve"> </v>
          </cell>
          <cell r="CV25">
            <v>48</v>
          </cell>
        </row>
        <row r="26">
          <cell r="BZ26">
            <v>11</v>
          </cell>
          <cell r="CC26" t="str">
            <v xml:space="preserve"> </v>
          </cell>
          <cell r="CD26">
            <v>34</v>
          </cell>
          <cell r="CI26" t="str">
            <v xml:space="preserve"> </v>
          </cell>
          <cell r="CJ26">
            <v>40</v>
          </cell>
          <cell r="CO26">
            <v>11</v>
          </cell>
          <cell r="CP26">
            <v>43</v>
          </cell>
          <cell r="CU26" t="str">
            <v xml:space="preserve"> </v>
          </cell>
          <cell r="CV26">
            <v>49</v>
          </cell>
        </row>
        <row r="27">
          <cell r="BZ27">
            <v>13</v>
          </cell>
          <cell r="CC27" t="str">
            <v xml:space="preserve"> </v>
          </cell>
          <cell r="CD27">
            <v>36</v>
          </cell>
          <cell r="CI27" t="str">
            <v xml:space="preserve"> </v>
          </cell>
          <cell r="CJ27">
            <v>42</v>
          </cell>
          <cell r="CO27">
            <v>17</v>
          </cell>
          <cell r="CP27">
            <v>44</v>
          </cell>
          <cell r="CU27" t="str">
            <v xml:space="preserve"> </v>
          </cell>
          <cell r="CV27">
            <v>50</v>
          </cell>
        </row>
        <row r="28">
          <cell r="BZ28" t="str">
            <v xml:space="preserve"> </v>
          </cell>
          <cell r="CC28" t="str">
            <v xml:space="preserve"> </v>
          </cell>
          <cell r="CD28">
            <v>37</v>
          </cell>
          <cell r="CI28" t="str">
            <v xml:space="preserve"> </v>
          </cell>
          <cell r="CJ28">
            <v>44</v>
          </cell>
          <cell r="CO28" t="str">
            <v xml:space="preserve"> </v>
          </cell>
          <cell r="CP28">
            <v>45</v>
          </cell>
          <cell r="CU28" t="str">
            <v xml:space="preserve"> </v>
          </cell>
          <cell r="CV28">
            <v>51</v>
          </cell>
        </row>
        <row r="29">
          <cell r="BZ29" t="str">
            <v xml:space="preserve"> </v>
          </cell>
          <cell r="CC29" t="str">
            <v xml:space="preserve"> </v>
          </cell>
          <cell r="CD29">
            <v>38</v>
          </cell>
          <cell r="CI29" t="str">
            <v xml:space="preserve"> </v>
          </cell>
          <cell r="CJ29">
            <v>45</v>
          </cell>
          <cell r="CO29" t="str">
            <v xml:space="preserve"> </v>
          </cell>
          <cell r="CP29">
            <v>46</v>
          </cell>
          <cell r="CU29" t="str">
            <v xml:space="preserve"> </v>
          </cell>
          <cell r="CV29">
            <v>52</v>
          </cell>
        </row>
        <row r="30">
          <cell r="BZ30" t="str">
            <v xml:space="preserve"> </v>
          </cell>
          <cell r="CC30">
            <v>13</v>
          </cell>
          <cell r="CD30">
            <v>39</v>
          </cell>
          <cell r="CI30" t="str">
            <v xml:space="preserve"> </v>
          </cell>
          <cell r="CJ30">
            <v>46</v>
          </cell>
          <cell r="CO30" t="str">
            <v xml:space="preserve"> </v>
          </cell>
          <cell r="CP30">
            <v>47</v>
          </cell>
          <cell r="CU30" t="str">
            <v xml:space="preserve"> </v>
          </cell>
          <cell r="CV30">
            <v>56</v>
          </cell>
        </row>
        <row r="31">
          <cell r="BZ31" t="str">
            <v xml:space="preserve"> </v>
          </cell>
          <cell r="CC31">
            <v>17</v>
          </cell>
          <cell r="CD31">
            <v>40</v>
          </cell>
          <cell r="CI31" t="str">
            <v xml:space="preserve"> </v>
          </cell>
          <cell r="CJ31">
            <v>47</v>
          </cell>
          <cell r="CO31" t="str">
            <v xml:space="preserve"> </v>
          </cell>
          <cell r="CP31">
            <v>48</v>
          </cell>
          <cell r="CU31" t="str">
            <v xml:space="preserve"> </v>
          </cell>
          <cell r="CV31">
            <v>53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41</v>
          </cell>
          <cell r="CI32" t="str">
            <v xml:space="preserve"> </v>
          </cell>
          <cell r="CJ32">
            <v>48</v>
          </cell>
          <cell r="CO32" t="str">
            <v xml:space="preserve"> </v>
          </cell>
          <cell r="CP32">
            <v>49</v>
          </cell>
          <cell r="CU32" t="str">
            <v xml:space="preserve"> </v>
          </cell>
          <cell r="CV32">
            <v>54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42</v>
          </cell>
          <cell r="CI33" t="str">
            <v xml:space="preserve"> </v>
          </cell>
          <cell r="CJ33">
            <v>49</v>
          </cell>
          <cell r="CO33" t="str">
            <v xml:space="preserve"> </v>
          </cell>
          <cell r="CP33">
            <v>50</v>
          </cell>
          <cell r="CU33" t="str">
            <v xml:space="preserve"> </v>
          </cell>
          <cell r="CV33">
            <v>55</v>
          </cell>
        </row>
        <row r="34">
          <cell r="BZ34">
            <v>15</v>
          </cell>
          <cell r="CC34" t="str">
            <v xml:space="preserve"> </v>
          </cell>
          <cell r="CD34">
            <v>43</v>
          </cell>
          <cell r="CI34" t="str">
            <v xml:space="preserve"> </v>
          </cell>
          <cell r="CJ34">
            <v>50</v>
          </cell>
          <cell r="CO34" t="str">
            <v xml:space="preserve"> </v>
          </cell>
          <cell r="CP34">
            <v>51</v>
          </cell>
          <cell r="CU34" t="str">
            <v xml:space="preserve"> </v>
          </cell>
          <cell r="CV34">
            <v>0</v>
          </cell>
        </row>
        <row r="35">
          <cell r="BZ35">
            <v>17</v>
          </cell>
          <cell r="CC35" t="str">
            <v xml:space="preserve"> </v>
          </cell>
          <cell r="CD35">
            <v>46</v>
          </cell>
          <cell r="CI35" t="str">
            <v xml:space="preserve"> </v>
          </cell>
          <cell r="CJ35">
            <v>51</v>
          </cell>
          <cell r="CO35" t="str">
            <v xml:space="preserve"> </v>
          </cell>
          <cell r="CP35">
            <v>52</v>
          </cell>
          <cell r="CU35" t="str">
            <v xml:space="preserve"> </v>
          </cell>
          <cell r="CV35">
            <v>0</v>
          </cell>
        </row>
        <row r="36">
          <cell r="BZ36" t="str">
            <v xml:space="preserve"> </v>
          </cell>
          <cell r="CC36" t="str">
            <v xml:space="preserve"> </v>
          </cell>
          <cell r="CD36">
            <v>44</v>
          </cell>
          <cell r="CI36" t="str">
            <v xml:space="preserve"> </v>
          </cell>
          <cell r="CJ36">
            <v>52</v>
          </cell>
          <cell r="CO36" t="str">
            <v xml:space="preserve"> </v>
          </cell>
          <cell r="CP36" t="str">
            <v>св</v>
          </cell>
          <cell r="CU36" t="str">
            <v xml:space="preserve"> </v>
          </cell>
          <cell r="CV36">
            <v>0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45</v>
          </cell>
          <cell r="CI37" t="str">
            <v xml:space="preserve"> </v>
          </cell>
          <cell r="CJ37">
            <v>56</v>
          </cell>
          <cell r="CO37" t="str">
            <v xml:space="preserve"> </v>
          </cell>
          <cell r="CP37">
            <v>53</v>
          </cell>
          <cell r="CU37" t="str">
            <v xml:space="preserve"> </v>
          </cell>
          <cell r="CV37">
            <v>0</v>
          </cell>
        </row>
        <row r="38">
          <cell r="BZ38" t="str">
            <v xml:space="preserve"> </v>
          </cell>
          <cell r="CC38" t="str">
            <v xml:space="preserve"> </v>
          </cell>
          <cell r="CD38">
            <v>47</v>
          </cell>
          <cell r="CI38">
            <v>17</v>
          </cell>
          <cell r="CJ38">
            <v>53</v>
          </cell>
          <cell r="CO38" t="str">
            <v xml:space="preserve"> </v>
          </cell>
          <cell r="CP38">
            <v>54</v>
          </cell>
          <cell r="CU38">
            <v>17</v>
          </cell>
          <cell r="CV38">
            <v>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48</v>
          </cell>
          <cell r="CI39">
            <v>22</v>
          </cell>
          <cell r="CJ39">
            <v>54</v>
          </cell>
          <cell r="CO39" t="str">
            <v xml:space="preserve"> </v>
          </cell>
          <cell r="CP39">
            <v>55</v>
          </cell>
          <cell r="CU39" t="str">
            <v xml:space="preserve"> </v>
          </cell>
          <cell r="CV39">
            <v>0</v>
          </cell>
        </row>
        <row r="40">
          <cell r="BZ40">
            <v>18</v>
          </cell>
          <cell r="CC40" t="str">
            <v xml:space="preserve"> </v>
          </cell>
          <cell r="CD40">
            <v>49</v>
          </cell>
          <cell r="CI40" t="str">
            <v xml:space="preserve"> </v>
          </cell>
          <cell r="CJ40">
            <v>55</v>
          </cell>
          <cell r="CO40" t="str">
            <v xml:space="preserve"> </v>
          </cell>
          <cell r="CP40">
            <v>0</v>
          </cell>
          <cell r="CU40" t="str">
            <v xml:space="preserve"> </v>
          </cell>
          <cell r="CV40">
            <v>0</v>
          </cell>
        </row>
        <row r="41">
          <cell r="BZ41">
            <v>20</v>
          </cell>
          <cell r="CC41" t="str">
            <v xml:space="preserve"> </v>
          </cell>
          <cell r="CD41">
            <v>56</v>
          </cell>
          <cell r="CI41" t="str">
            <v xml:space="preserve"> </v>
          </cell>
          <cell r="CJ41">
            <v>0</v>
          </cell>
          <cell r="CO41" t="str">
            <v xml:space="preserve"> </v>
          </cell>
          <cell r="CP41">
            <v>0</v>
          </cell>
          <cell r="CU41" t="str">
            <v xml:space="preserve"> </v>
          </cell>
          <cell r="CV41">
            <v>0</v>
          </cell>
        </row>
        <row r="42">
          <cell r="BZ42" t="str">
            <v xml:space="preserve"> </v>
          </cell>
          <cell r="CC42" t="str">
            <v xml:space="preserve"> </v>
          </cell>
          <cell r="CD42">
            <v>50</v>
          </cell>
          <cell r="CI42" t="str">
            <v xml:space="preserve"> </v>
          </cell>
          <cell r="CJ42">
            <v>0</v>
          </cell>
          <cell r="CO42" t="str">
            <v xml:space="preserve"> </v>
          </cell>
          <cell r="CP42">
            <v>0</v>
          </cell>
          <cell r="CU42" t="str">
            <v xml:space="preserve"> </v>
          </cell>
          <cell r="CV42">
            <v>0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51</v>
          </cell>
          <cell r="CI43" t="str">
            <v xml:space="preserve"> </v>
          </cell>
          <cell r="CJ43">
            <v>0</v>
          </cell>
          <cell r="CO43" t="str">
            <v xml:space="preserve"> </v>
          </cell>
          <cell r="CP43">
            <v>0</v>
          </cell>
          <cell r="CU43" t="str">
            <v xml:space="preserve"> </v>
          </cell>
          <cell r="CV43">
            <v>0</v>
          </cell>
        </row>
        <row r="44">
          <cell r="BZ44" t="str">
            <v xml:space="preserve"> </v>
          </cell>
          <cell r="CC44">
            <v>20</v>
          </cell>
          <cell r="CD44">
            <v>52</v>
          </cell>
          <cell r="CI44">
            <v>20</v>
          </cell>
          <cell r="CJ44">
            <v>0</v>
          </cell>
          <cell r="CO44">
            <v>20</v>
          </cell>
          <cell r="CP44">
            <v>0</v>
          </cell>
          <cell r="CU44" t="str">
            <v xml:space="preserve"> </v>
          </cell>
          <cell r="CV44">
            <v>0</v>
          </cell>
        </row>
        <row r="45">
          <cell r="BZ45" t="str">
            <v xml:space="preserve"> </v>
          </cell>
          <cell r="CC45">
            <v>21</v>
          </cell>
          <cell r="CD45" t="str">
            <v>св</v>
          </cell>
          <cell r="CI45">
            <v>26</v>
          </cell>
          <cell r="CJ45">
            <v>0</v>
          </cell>
          <cell r="CO45">
            <v>22</v>
          </cell>
          <cell r="CP45">
            <v>0</v>
          </cell>
          <cell r="CU45" t="str">
            <v xml:space="preserve"> </v>
          </cell>
          <cell r="CV45">
            <v>0</v>
          </cell>
        </row>
        <row r="46">
          <cell r="BZ46">
            <v>21</v>
          </cell>
          <cell r="CC46" t="str">
            <v xml:space="preserve"> </v>
          </cell>
          <cell r="CD46">
            <v>53</v>
          </cell>
          <cell r="CI46" t="str">
            <v xml:space="preserve"> </v>
          </cell>
          <cell r="CJ46">
            <v>0</v>
          </cell>
          <cell r="CO46" t="str">
            <v xml:space="preserve"> </v>
          </cell>
          <cell r="CP46">
            <v>0</v>
          </cell>
          <cell r="CU46" t="str">
            <v xml:space="preserve"> </v>
          </cell>
          <cell r="CV46">
            <v>0</v>
          </cell>
        </row>
        <row r="47">
          <cell r="BZ47">
            <v>25</v>
          </cell>
          <cell r="CC47" t="str">
            <v xml:space="preserve"> </v>
          </cell>
          <cell r="CD47">
            <v>54</v>
          </cell>
          <cell r="CI47" t="str">
            <v xml:space="preserve"> </v>
          </cell>
          <cell r="CJ47">
            <v>0</v>
          </cell>
          <cell r="CO47" t="str">
            <v xml:space="preserve"> </v>
          </cell>
          <cell r="CP47">
            <v>0</v>
          </cell>
          <cell r="CU47" t="str">
            <v xml:space="preserve"> </v>
          </cell>
          <cell r="CV47">
            <v>0</v>
          </cell>
        </row>
        <row r="48">
          <cell r="BZ48">
            <v>22</v>
          </cell>
          <cell r="CC48">
            <v>22</v>
          </cell>
          <cell r="CD48">
            <v>55</v>
          </cell>
          <cell r="CI48" t="str">
            <v xml:space="preserve"> </v>
          </cell>
          <cell r="CJ48">
            <v>0</v>
          </cell>
          <cell r="CO48" t="str">
            <v xml:space="preserve"> </v>
          </cell>
          <cell r="CP48">
            <v>0</v>
          </cell>
          <cell r="CU48">
            <v>22</v>
          </cell>
          <cell r="CV48">
            <v>0</v>
          </cell>
        </row>
        <row r="49">
          <cell r="BZ49">
            <v>23</v>
          </cell>
          <cell r="CC49">
            <v>25</v>
          </cell>
          <cell r="CD49">
            <v>0</v>
          </cell>
          <cell r="CI49" t="str">
            <v xml:space="preserve"> </v>
          </cell>
          <cell r="CJ49">
            <v>0</v>
          </cell>
          <cell r="CO49" t="str">
            <v xml:space="preserve"> </v>
          </cell>
          <cell r="CP49">
            <v>0</v>
          </cell>
          <cell r="CU49" t="str">
            <v xml:space="preserve"> </v>
          </cell>
          <cell r="CV49">
            <v>0</v>
          </cell>
        </row>
        <row r="50">
          <cell r="BZ50" t="str">
            <v xml:space="preserve"> </v>
          </cell>
          <cell r="CC50" t="str">
            <v xml:space="preserve"> </v>
          </cell>
          <cell r="CD50">
            <v>0</v>
          </cell>
          <cell r="CI50" t="str">
            <v xml:space="preserve"> </v>
          </cell>
          <cell r="CJ50">
            <v>0</v>
          </cell>
          <cell r="CO50" t="str">
            <v xml:space="preserve"> </v>
          </cell>
          <cell r="CP50">
            <v>0</v>
          </cell>
          <cell r="CU50" t="str">
            <v xml:space="preserve"> </v>
          </cell>
          <cell r="CV50">
            <v>0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0</v>
          </cell>
          <cell r="CI51" t="str">
            <v xml:space="preserve"> </v>
          </cell>
          <cell r="CJ51">
            <v>0</v>
          </cell>
          <cell r="CO51" t="str">
            <v xml:space="preserve"> </v>
          </cell>
          <cell r="CP51">
            <v>0</v>
          </cell>
          <cell r="CU51" t="str">
            <v xml:space="preserve"> </v>
          </cell>
          <cell r="CV51">
            <v>0</v>
          </cell>
        </row>
        <row r="52">
          <cell r="BZ52" t="str">
            <v xml:space="preserve"> </v>
          </cell>
          <cell r="CC52" t="str">
            <v xml:space="preserve"> </v>
          </cell>
          <cell r="CD52">
            <v>0</v>
          </cell>
          <cell r="CI52" t="str">
            <v xml:space="preserve"> </v>
          </cell>
          <cell r="CJ52">
            <v>0</v>
          </cell>
          <cell r="CO52" t="str">
            <v xml:space="preserve"> </v>
          </cell>
          <cell r="CP52">
            <v>0</v>
          </cell>
          <cell r="CU52" t="str">
            <v xml:space="preserve"> </v>
          </cell>
          <cell r="CV52">
            <v>0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0</v>
          </cell>
          <cell r="CI53" t="str">
            <v xml:space="preserve"> </v>
          </cell>
          <cell r="CJ53">
            <v>0</v>
          </cell>
          <cell r="CO53" t="str">
            <v xml:space="preserve"> </v>
          </cell>
          <cell r="CP53">
            <v>0</v>
          </cell>
          <cell r="CU53" t="str">
            <v xml:space="preserve"> </v>
          </cell>
          <cell r="CV53">
            <v>0</v>
          </cell>
        </row>
        <row r="54">
          <cell r="BZ54" t="str">
            <v xml:space="preserve"> </v>
          </cell>
          <cell r="CC54" t="str">
            <v xml:space="preserve"> </v>
          </cell>
          <cell r="CD54">
            <v>0</v>
          </cell>
          <cell r="CI54" t="str">
            <v xml:space="preserve"> </v>
          </cell>
          <cell r="CJ54">
            <v>0</v>
          </cell>
          <cell r="CO54" t="str">
            <v xml:space="preserve"> </v>
          </cell>
          <cell r="CP54">
            <v>0</v>
          </cell>
          <cell r="CU54" t="str">
            <v xml:space="preserve"> </v>
          </cell>
          <cell r="CV54">
            <v>0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0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26</v>
          </cell>
          <cell r="CC56">
            <v>26</v>
          </cell>
          <cell r="CD56">
            <v>0</v>
          </cell>
          <cell r="CI56" t="str">
            <v xml:space="preserve"> </v>
          </cell>
          <cell r="CJ56">
            <v>0</v>
          </cell>
          <cell r="CO56" t="str">
            <v xml:space="preserve"> </v>
          </cell>
          <cell r="CP56">
            <v>0</v>
          </cell>
          <cell r="CU56" t="str">
            <v xml:space="preserve"> </v>
          </cell>
          <cell r="CV56">
            <v>0</v>
          </cell>
        </row>
        <row r="57">
          <cell r="BZ57">
            <v>27</v>
          </cell>
          <cell r="CC57" t="str">
            <v>св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 t="str">
            <v xml:space="preserve"> </v>
          </cell>
          <cell r="CC58" t="str">
            <v xml:space="preserve"> </v>
          </cell>
          <cell r="CD58">
            <v>0</v>
          </cell>
          <cell r="CI58" t="str">
            <v xml:space="preserve"> </v>
          </cell>
          <cell r="CJ58">
            <v>0</v>
          </cell>
          <cell r="CO58" t="str">
            <v xml:space="preserve"> </v>
          </cell>
          <cell r="CP58">
            <v>0</v>
          </cell>
          <cell r="CU58" t="str">
            <v xml:space="preserve"> 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 t="str">
            <v xml:space="preserve"> </v>
          </cell>
          <cell r="CC60" t="str">
            <v xml:space="preserve"> </v>
          </cell>
          <cell r="CD60">
            <v>0</v>
          </cell>
          <cell r="CI60" t="str">
            <v xml:space="preserve"> </v>
          </cell>
          <cell r="CJ60">
            <v>0</v>
          </cell>
          <cell r="CO60" t="str">
            <v xml:space="preserve"> </v>
          </cell>
          <cell r="CP60">
            <v>0</v>
          </cell>
          <cell r="CU60" t="str">
            <v xml:space="preserve"> 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0</v>
          </cell>
          <cell r="CC62">
            <v>0</v>
          </cell>
          <cell r="CD62">
            <v>0</v>
          </cell>
          <cell r="CI62">
            <v>29</v>
          </cell>
          <cell r="CJ62">
            <v>0</v>
          </cell>
          <cell r="CO62">
            <v>29</v>
          </cell>
          <cell r="CP62">
            <v>0</v>
          </cell>
          <cell r="CU62">
            <v>29</v>
          </cell>
          <cell r="CV62">
            <v>0</v>
          </cell>
        </row>
        <row r="63">
          <cell r="BZ63">
            <v>0</v>
          </cell>
          <cell r="CC63">
            <v>0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 t="str">
            <v xml:space="preserve"> </v>
          </cell>
          <cell r="CV66">
            <v>0</v>
          </cell>
        </row>
        <row r="67">
          <cell r="BZ67">
            <v>31</v>
          </cell>
          <cell r="CC67">
            <v>33</v>
          </cell>
          <cell r="CD67">
            <v>0</v>
          </cell>
          <cell r="CI67">
            <v>41</v>
          </cell>
          <cell r="CJ67">
            <v>0</v>
          </cell>
          <cell r="CO67">
            <v>56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 t="str">
            <v xml:space="preserve"> 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 t="str">
            <v xml:space="preserve"> </v>
          </cell>
          <cell r="CV68">
            <v>0</v>
          </cell>
        </row>
        <row r="69">
          <cell r="BZ69" t="str">
            <v xml:space="preserve"> </v>
          </cell>
          <cell r="CC69">
            <v>35</v>
          </cell>
          <cell r="CD69">
            <v>0</v>
          </cell>
          <cell r="CI69">
            <v>43</v>
          </cell>
          <cell r="CJ69">
            <v>0</v>
          </cell>
          <cell r="CO69">
            <v>41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>
            <v>33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 t="str">
            <v xml:space="preserve"> </v>
          </cell>
          <cell r="CC72" t="str">
            <v xml:space="preserve"> </v>
          </cell>
          <cell r="CD72">
            <v>0</v>
          </cell>
          <cell r="CI72" t="str">
            <v xml:space="preserve"> </v>
          </cell>
          <cell r="CJ72">
            <v>0</v>
          </cell>
          <cell r="CO72" t="str">
            <v xml:space="preserve"> </v>
          </cell>
          <cell r="CP72">
            <v>0</v>
          </cell>
          <cell r="CU72" t="str">
            <v xml:space="preserve"> 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 t="str">
            <v xml:space="preserve"> 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>
            <v>38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 t="str">
            <v xml:space="preserve"> 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>
            <v>41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>
            <v>42</v>
          </cell>
          <cell r="CC87">
            <v>41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 t="str">
            <v xml:space="preserve"> </v>
          </cell>
          <cell r="CC88" t="str">
            <v xml:space="preserve"> </v>
          </cell>
          <cell r="CD88">
            <v>0</v>
          </cell>
          <cell r="CI88" t="str">
            <v xml:space="preserve"> </v>
          </cell>
          <cell r="CJ88">
            <v>0</v>
          </cell>
          <cell r="CO88" t="str">
            <v xml:space="preserve"> </v>
          </cell>
          <cell r="CP88">
            <v>0</v>
          </cell>
          <cell r="CU88" t="str">
            <v xml:space="preserve"> 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 t="str">
            <v xml:space="preserve"> 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 t="str">
            <v xml:space="preserve"> 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>
            <v>45</v>
          </cell>
          <cell r="CC93">
            <v>46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 t="str">
            <v xml:space="preserve"> 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 t="str">
            <v xml:space="preserve"> 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>
            <v>47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 t="str">
            <v xml:space="preserve"> 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>
            <v>52</v>
          </cell>
          <cell r="CC105">
            <v>56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>
            <v>53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 t="str">
            <v xml:space="preserve"> 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>св</v>
          </cell>
          <cell r="CD111">
            <v>0</v>
          </cell>
          <cell r="CI111">
            <v>56</v>
          </cell>
          <cell r="CJ111">
            <v>0</v>
          </cell>
          <cell r="CO111" t="str">
            <v>св</v>
          </cell>
          <cell r="CP111">
            <v>0</v>
          </cell>
          <cell r="CU111">
            <v>56</v>
          </cell>
          <cell r="CV111">
            <v>0</v>
          </cell>
        </row>
        <row r="112">
          <cell r="BZ112" t="str">
            <v xml:space="preserve"> 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 t="str">
            <v xml:space="preserve"> </v>
          </cell>
          <cell r="CD118" t="str">
            <v xml:space="preserve"> </v>
          </cell>
          <cell r="CI118" t="str">
            <v xml:space="preserve"> </v>
          </cell>
          <cell r="CJ118" t="str">
            <v xml:space="preserve"> </v>
          </cell>
          <cell r="CO118" t="str">
            <v xml:space="preserve"> </v>
          </cell>
          <cell r="CP118" t="str">
            <v xml:space="preserve"> </v>
          </cell>
          <cell r="CU118" t="str">
            <v xml:space="preserve"> </v>
          </cell>
          <cell r="CV118" t="str">
            <v xml:space="preserve"> </v>
          </cell>
        </row>
        <row r="119">
          <cell r="BZ119" t="str">
            <v>св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пф"/>
      <sheetName val="Пр. 6шт. 1стр.нов"/>
    </sheetNames>
    <sheetDataSet>
      <sheetData sheetId="0"/>
      <sheetData sheetId="1"/>
      <sheetData sheetId="2"/>
      <sheetData sheetId="3"/>
      <sheetData sheetId="4"/>
      <sheetData sheetId="5">
        <row r="6">
          <cell r="BQ6">
            <v>1</v>
          </cell>
          <cell r="BS6">
            <v>1</v>
          </cell>
          <cell r="BT6">
            <v>1</v>
          </cell>
          <cell r="BU6">
            <v>1</v>
          </cell>
          <cell r="BZ6">
            <v>1</v>
          </cell>
          <cell r="CA6">
            <v>1</v>
          </cell>
          <cell r="CF6">
            <v>1</v>
          </cell>
          <cell r="CG6">
            <v>1</v>
          </cell>
        </row>
        <row r="7">
          <cell r="BQ7" t="str">
            <v xml:space="preserve"> </v>
          </cell>
          <cell r="BS7" t="str">
            <v xml:space="preserve"> </v>
          </cell>
          <cell r="BT7" t="str">
            <v xml:space="preserve"> </v>
          </cell>
          <cell r="BU7">
            <v>2</v>
          </cell>
          <cell r="BZ7" t="str">
            <v xml:space="preserve"> </v>
          </cell>
          <cell r="CA7">
            <v>2</v>
          </cell>
          <cell r="CF7" t="str">
            <v xml:space="preserve"> </v>
          </cell>
          <cell r="CG7">
            <v>2</v>
          </cell>
        </row>
        <row r="8">
          <cell r="BQ8">
            <v>2</v>
          </cell>
          <cell r="BS8">
            <v>2</v>
          </cell>
          <cell r="BT8">
            <v>2</v>
          </cell>
          <cell r="BU8">
            <v>3</v>
          </cell>
          <cell r="BZ8">
            <v>2</v>
          </cell>
          <cell r="CA8">
            <v>3</v>
          </cell>
          <cell r="CF8">
            <v>2</v>
          </cell>
          <cell r="CG8">
            <v>3</v>
          </cell>
        </row>
        <row r="9">
          <cell r="BQ9" t="str">
            <v xml:space="preserve"> </v>
          </cell>
          <cell r="BS9" t="str">
            <v xml:space="preserve"> </v>
          </cell>
          <cell r="BT9" t="str">
            <v xml:space="preserve"> </v>
          </cell>
          <cell r="BU9">
            <v>4</v>
          </cell>
          <cell r="BZ9" t="str">
            <v xml:space="preserve"> </v>
          </cell>
          <cell r="CA9">
            <v>4</v>
          </cell>
          <cell r="CF9" t="str">
            <v xml:space="preserve"> </v>
          </cell>
          <cell r="CG9">
            <v>4</v>
          </cell>
        </row>
        <row r="10">
          <cell r="BQ10">
            <v>3</v>
          </cell>
          <cell r="BS10">
            <v>3</v>
          </cell>
          <cell r="BT10">
            <v>3</v>
          </cell>
          <cell r="BU10">
            <v>5</v>
          </cell>
          <cell r="BZ10">
            <v>3</v>
          </cell>
          <cell r="CA10">
            <v>5</v>
          </cell>
          <cell r="CF10">
            <v>3</v>
          </cell>
          <cell r="CG10">
            <v>5</v>
          </cell>
        </row>
        <row r="11">
          <cell r="BQ11" t="str">
            <v xml:space="preserve"> </v>
          </cell>
          <cell r="BS11" t="str">
            <v xml:space="preserve"> </v>
          </cell>
          <cell r="BT11" t="str">
            <v xml:space="preserve"> </v>
          </cell>
          <cell r="BU11">
            <v>6</v>
          </cell>
          <cell r="BZ11" t="str">
            <v xml:space="preserve"> </v>
          </cell>
          <cell r="CA11">
            <v>6</v>
          </cell>
          <cell r="CF11" t="str">
            <v xml:space="preserve"> </v>
          </cell>
          <cell r="CG11">
            <v>6</v>
          </cell>
        </row>
        <row r="12">
          <cell r="BQ12">
            <v>4</v>
          </cell>
          <cell r="BS12">
            <v>4</v>
          </cell>
          <cell r="BT12">
            <v>4</v>
          </cell>
          <cell r="BU12">
            <v>7</v>
          </cell>
          <cell r="BZ12">
            <v>4</v>
          </cell>
          <cell r="CA12">
            <v>7</v>
          </cell>
          <cell r="CF12">
            <v>4</v>
          </cell>
          <cell r="CG12">
            <v>7</v>
          </cell>
        </row>
        <row r="13">
          <cell r="BQ13" t="str">
            <v xml:space="preserve"> </v>
          </cell>
          <cell r="BS13" t="str">
            <v xml:space="preserve"> </v>
          </cell>
          <cell r="BT13" t="str">
            <v xml:space="preserve"> </v>
          </cell>
          <cell r="BU13">
            <v>8</v>
          </cell>
          <cell r="BZ13" t="str">
            <v xml:space="preserve"> </v>
          </cell>
          <cell r="CA13">
            <v>8</v>
          </cell>
          <cell r="CF13" t="str">
            <v xml:space="preserve"> </v>
          </cell>
          <cell r="CG13">
            <v>8</v>
          </cell>
        </row>
        <row r="14">
          <cell r="BQ14">
            <v>5</v>
          </cell>
          <cell r="BS14">
            <v>5</v>
          </cell>
          <cell r="BT14">
            <v>5</v>
          </cell>
          <cell r="BU14">
            <v>9</v>
          </cell>
          <cell r="BZ14">
            <v>5</v>
          </cell>
          <cell r="CA14">
            <v>9</v>
          </cell>
          <cell r="CF14">
            <v>5</v>
          </cell>
          <cell r="CG14">
            <v>9</v>
          </cell>
        </row>
        <row r="15">
          <cell r="BQ15" t="str">
            <v xml:space="preserve"> </v>
          </cell>
          <cell r="BS15" t="str">
            <v xml:space="preserve"> </v>
          </cell>
          <cell r="BT15" t="str">
            <v xml:space="preserve"> </v>
          </cell>
          <cell r="BU15">
            <v>10</v>
          </cell>
          <cell r="BZ15" t="str">
            <v xml:space="preserve"> </v>
          </cell>
          <cell r="CA15">
            <v>10</v>
          </cell>
          <cell r="CF15" t="str">
            <v xml:space="preserve"> </v>
          </cell>
          <cell r="CG15">
            <v>10</v>
          </cell>
        </row>
        <row r="16">
          <cell r="BQ16">
            <v>6</v>
          </cell>
          <cell r="BS16">
            <v>6</v>
          </cell>
          <cell r="BT16">
            <v>6</v>
          </cell>
          <cell r="BU16">
            <v>11</v>
          </cell>
          <cell r="BZ16">
            <v>6</v>
          </cell>
          <cell r="CA16">
            <v>11</v>
          </cell>
          <cell r="CF16">
            <v>6</v>
          </cell>
          <cell r="CG16">
            <v>11</v>
          </cell>
        </row>
        <row r="17">
          <cell r="BQ17" t="str">
            <v xml:space="preserve"> </v>
          </cell>
          <cell r="BS17" t="str">
            <v xml:space="preserve"> </v>
          </cell>
          <cell r="BT17" t="str">
            <v xml:space="preserve"> </v>
          </cell>
          <cell r="BU17">
            <v>12</v>
          </cell>
          <cell r="BZ17" t="str">
            <v xml:space="preserve"> </v>
          </cell>
          <cell r="CA17">
            <v>12</v>
          </cell>
          <cell r="CF17" t="str">
            <v xml:space="preserve"> </v>
          </cell>
          <cell r="CG17">
            <v>12</v>
          </cell>
        </row>
        <row r="18">
          <cell r="BQ18">
            <v>7</v>
          </cell>
          <cell r="BS18">
            <v>7</v>
          </cell>
          <cell r="BT18">
            <v>7</v>
          </cell>
          <cell r="BU18">
            <v>13</v>
          </cell>
          <cell r="BZ18">
            <v>7</v>
          </cell>
          <cell r="CA18">
            <v>13</v>
          </cell>
          <cell r="CF18">
            <v>7</v>
          </cell>
          <cell r="CG18">
            <v>13</v>
          </cell>
        </row>
        <row r="19">
          <cell r="BQ19" t="str">
            <v xml:space="preserve"> </v>
          </cell>
          <cell r="BS19" t="str">
            <v xml:space="preserve"> </v>
          </cell>
          <cell r="BT19" t="str">
            <v xml:space="preserve"> </v>
          </cell>
          <cell r="BU19">
            <v>14</v>
          </cell>
          <cell r="BZ19" t="str">
            <v xml:space="preserve"> </v>
          </cell>
          <cell r="CA19">
            <v>14</v>
          </cell>
          <cell r="CF19" t="str">
            <v xml:space="preserve"> </v>
          </cell>
          <cell r="CG19">
            <v>14</v>
          </cell>
        </row>
        <row r="20">
          <cell r="BQ20">
            <v>8</v>
          </cell>
          <cell r="BS20">
            <v>8</v>
          </cell>
          <cell r="BT20">
            <v>8</v>
          </cell>
          <cell r="BU20">
            <v>15</v>
          </cell>
          <cell r="BZ20">
            <v>8</v>
          </cell>
          <cell r="CA20">
            <v>15</v>
          </cell>
          <cell r="CF20">
            <v>8</v>
          </cell>
          <cell r="CG20">
            <v>15</v>
          </cell>
        </row>
        <row r="21">
          <cell r="BQ21" t="str">
            <v xml:space="preserve"> </v>
          </cell>
          <cell r="BS21" t="str">
            <v xml:space="preserve"> </v>
          </cell>
          <cell r="BT21" t="str">
            <v xml:space="preserve"> </v>
          </cell>
          <cell r="BU21">
            <v>16</v>
          </cell>
          <cell r="BZ21" t="str">
            <v xml:space="preserve"> </v>
          </cell>
          <cell r="CA21">
            <v>16</v>
          </cell>
          <cell r="CF21" t="str">
            <v xml:space="preserve"> </v>
          </cell>
          <cell r="CG21">
            <v>16</v>
          </cell>
        </row>
        <row r="22">
          <cell r="BQ22">
            <v>9</v>
          </cell>
          <cell r="BS22">
            <v>9</v>
          </cell>
          <cell r="BT22">
            <v>9</v>
          </cell>
          <cell r="BU22">
            <v>17</v>
          </cell>
          <cell r="BZ22">
            <v>9</v>
          </cell>
          <cell r="CA22">
            <v>17</v>
          </cell>
          <cell r="CF22">
            <v>9</v>
          </cell>
          <cell r="CG22">
            <v>17</v>
          </cell>
        </row>
        <row r="23">
          <cell r="BQ23" t="str">
            <v xml:space="preserve"> </v>
          </cell>
          <cell r="BS23" t="str">
            <v xml:space="preserve"> </v>
          </cell>
          <cell r="BT23" t="str">
            <v xml:space="preserve"> </v>
          </cell>
          <cell r="BU23">
            <v>0</v>
          </cell>
          <cell r="BZ23" t="str">
            <v xml:space="preserve"> </v>
          </cell>
          <cell r="CA23">
            <v>0</v>
          </cell>
          <cell r="CF23" t="str">
            <v xml:space="preserve"> </v>
          </cell>
          <cell r="CG23">
            <v>0</v>
          </cell>
        </row>
        <row r="24">
          <cell r="BQ24">
            <v>10</v>
          </cell>
          <cell r="BT24">
            <v>10</v>
          </cell>
          <cell r="BU24">
            <v>0</v>
          </cell>
          <cell r="BZ24">
            <v>10</v>
          </cell>
          <cell r="CA24">
            <v>0</v>
          </cell>
          <cell r="CF24">
            <v>10</v>
          </cell>
          <cell r="CG24">
            <v>0</v>
          </cell>
        </row>
        <row r="25">
          <cell r="BQ25" t="str">
            <v xml:space="preserve"> </v>
          </cell>
          <cell r="BT25" t="str">
            <v xml:space="preserve"> </v>
          </cell>
          <cell r="BU25">
            <v>18</v>
          </cell>
          <cell r="BZ25" t="str">
            <v xml:space="preserve"> </v>
          </cell>
          <cell r="CA25">
            <v>18</v>
          </cell>
          <cell r="CF25" t="str">
            <v xml:space="preserve"> </v>
          </cell>
          <cell r="CG25">
            <v>18</v>
          </cell>
        </row>
        <row r="26">
          <cell r="BQ26">
            <v>11</v>
          </cell>
          <cell r="BT26">
            <v>11</v>
          </cell>
          <cell r="BU26">
            <v>19</v>
          </cell>
          <cell r="BZ26">
            <v>11</v>
          </cell>
          <cell r="CA26">
            <v>19</v>
          </cell>
          <cell r="CF26">
            <v>11</v>
          </cell>
          <cell r="CG26">
            <v>19</v>
          </cell>
        </row>
        <row r="27">
          <cell r="BQ27" t="str">
            <v xml:space="preserve"> </v>
          </cell>
          <cell r="BT27" t="str">
            <v xml:space="preserve"> </v>
          </cell>
          <cell r="BU27">
            <v>20</v>
          </cell>
          <cell r="BZ27" t="str">
            <v xml:space="preserve"> </v>
          </cell>
          <cell r="CA27">
            <v>20</v>
          </cell>
          <cell r="CF27" t="str">
            <v xml:space="preserve"> </v>
          </cell>
          <cell r="CG27">
            <v>20</v>
          </cell>
        </row>
        <row r="28">
          <cell r="BQ28">
            <v>12</v>
          </cell>
          <cell r="BT28">
            <v>12</v>
          </cell>
          <cell r="BU28">
            <v>21</v>
          </cell>
          <cell r="BZ28">
            <v>12</v>
          </cell>
          <cell r="CA28">
            <v>21</v>
          </cell>
          <cell r="CF28">
            <v>12</v>
          </cell>
          <cell r="CG28">
            <v>21</v>
          </cell>
        </row>
        <row r="29">
          <cell r="BQ29" t="str">
            <v xml:space="preserve"> </v>
          </cell>
          <cell r="BT29" t="str">
            <v xml:space="preserve"> </v>
          </cell>
          <cell r="BU29">
            <v>22</v>
          </cell>
          <cell r="BZ29" t="str">
            <v xml:space="preserve"> </v>
          </cell>
          <cell r="CA29">
            <v>22</v>
          </cell>
          <cell r="CF29" t="str">
            <v xml:space="preserve"> </v>
          </cell>
          <cell r="CG29">
            <v>22</v>
          </cell>
        </row>
        <row r="30">
          <cell r="BQ30">
            <v>13</v>
          </cell>
          <cell r="BT30">
            <v>13</v>
          </cell>
          <cell r="BU30">
            <v>23</v>
          </cell>
          <cell r="BZ30">
            <v>13</v>
          </cell>
          <cell r="CA30">
            <v>23</v>
          </cell>
          <cell r="CF30">
            <v>13</v>
          </cell>
          <cell r="CG30">
            <v>23</v>
          </cell>
        </row>
        <row r="31">
          <cell r="BQ31" t="str">
            <v xml:space="preserve"> </v>
          </cell>
          <cell r="BT31" t="str">
            <v xml:space="preserve"> </v>
          </cell>
          <cell r="BU31">
            <v>24</v>
          </cell>
          <cell r="BZ31" t="str">
            <v xml:space="preserve"> </v>
          </cell>
          <cell r="CA31">
            <v>24</v>
          </cell>
          <cell r="CF31" t="str">
            <v xml:space="preserve"> </v>
          </cell>
          <cell r="CG31">
            <v>24</v>
          </cell>
        </row>
        <row r="32">
          <cell r="BQ32">
            <v>14</v>
          </cell>
          <cell r="BT32">
            <v>14</v>
          </cell>
          <cell r="BU32">
            <v>25</v>
          </cell>
          <cell r="BZ32">
            <v>14</v>
          </cell>
          <cell r="CA32">
            <v>25</v>
          </cell>
          <cell r="CF32">
            <v>14</v>
          </cell>
          <cell r="CG32">
            <v>25</v>
          </cell>
        </row>
        <row r="33">
          <cell r="BQ33" t="str">
            <v xml:space="preserve"> </v>
          </cell>
          <cell r="BT33" t="str">
            <v xml:space="preserve"> </v>
          </cell>
          <cell r="BU33">
            <v>26</v>
          </cell>
          <cell r="BZ33" t="str">
            <v xml:space="preserve"> </v>
          </cell>
          <cell r="CA33">
            <v>26</v>
          </cell>
          <cell r="CF33" t="str">
            <v xml:space="preserve"> </v>
          </cell>
          <cell r="CG33">
            <v>26</v>
          </cell>
        </row>
        <row r="34">
          <cell r="BQ34">
            <v>15</v>
          </cell>
          <cell r="BT34">
            <v>15</v>
          </cell>
          <cell r="BU34">
            <v>27</v>
          </cell>
          <cell r="BZ34">
            <v>15</v>
          </cell>
          <cell r="CA34">
            <v>27</v>
          </cell>
          <cell r="CF34">
            <v>15</v>
          </cell>
          <cell r="CG34">
            <v>27</v>
          </cell>
        </row>
        <row r="35">
          <cell r="BQ35" t="str">
            <v xml:space="preserve"> </v>
          </cell>
          <cell r="BT35" t="str">
            <v xml:space="preserve"> </v>
          </cell>
          <cell r="BU35">
            <v>28</v>
          </cell>
          <cell r="BZ35" t="str">
            <v xml:space="preserve"> </v>
          </cell>
          <cell r="CA35">
            <v>28</v>
          </cell>
          <cell r="CF35" t="str">
            <v xml:space="preserve"> </v>
          </cell>
          <cell r="CG35">
            <v>28</v>
          </cell>
        </row>
        <row r="36">
          <cell r="BQ36">
            <v>16</v>
          </cell>
          <cell r="BT36">
            <v>16</v>
          </cell>
          <cell r="BU36">
            <v>29</v>
          </cell>
          <cell r="BZ36">
            <v>16</v>
          </cell>
          <cell r="CA36">
            <v>29</v>
          </cell>
          <cell r="CF36">
            <v>16</v>
          </cell>
          <cell r="CG36">
            <v>29</v>
          </cell>
        </row>
        <row r="37">
          <cell r="BQ37" t="str">
            <v xml:space="preserve"> </v>
          </cell>
          <cell r="BT37" t="str">
            <v xml:space="preserve"> </v>
          </cell>
          <cell r="BU37">
            <v>30</v>
          </cell>
          <cell r="BZ37" t="str">
            <v xml:space="preserve"> </v>
          </cell>
          <cell r="CA37">
            <v>30</v>
          </cell>
          <cell r="CF37" t="str">
            <v xml:space="preserve"> </v>
          </cell>
          <cell r="CG37">
            <v>30</v>
          </cell>
        </row>
        <row r="38">
          <cell r="BQ38">
            <v>17</v>
          </cell>
          <cell r="BT38">
            <v>17</v>
          </cell>
          <cell r="BU38">
            <v>31</v>
          </cell>
          <cell r="BZ38">
            <v>17</v>
          </cell>
          <cell r="CA38">
            <v>31</v>
          </cell>
          <cell r="CF38">
            <v>17</v>
          </cell>
          <cell r="CG38">
            <v>31</v>
          </cell>
        </row>
        <row r="39">
          <cell r="BQ39" t="str">
            <v xml:space="preserve"> </v>
          </cell>
          <cell r="BT39" t="str">
            <v xml:space="preserve"> </v>
          </cell>
          <cell r="BU39">
            <v>32</v>
          </cell>
          <cell r="BZ39" t="str">
            <v xml:space="preserve"> </v>
          </cell>
          <cell r="CA39">
            <v>32</v>
          </cell>
          <cell r="CF39" t="str">
            <v xml:space="preserve"> </v>
          </cell>
          <cell r="CG39">
            <v>32</v>
          </cell>
        </row>
        <row r="40">
          <cell r="BQ40">
            <v>0</v>
          </cell>
          <cell r="BT40">
            <v>0</v>
          </cell>
          <cell r="BU40">
            <v>0</v>
          </cell>
          <cell r="BZ40">
            <v>18</v>
          </cell>
          <cell r="CA40">
            <v>0</v>
          </cell>
          <cell r="CF40">
            <v>18</v>
          </cell>
          <cell r="CG40">
            <v>35</v>
          </cell>
        </row>
        <row r="41">
          <cell r="BQ41">
            <v>0</v>
          </cell>
          <cell r="BT41">
            <v>0</v>
          </cell>
          <cell r="BU41">
            <v>0</v>
          </cell>
          <cell r="BZ41" t="str">
            <v xml:space="preserve"> </v>
          </cell>
          <cell r="CA41">
            <v>0</v>
          </cell>
          <cell r="CF41" t="str">
            <v xml:space="preserve"> </v>
          </cell>
          <cell r="CG41">
            <v>36</v>
          </cell>
        </row>
        <row r="42">
          <cell r="BQ42">
            <v>18</v>
          </cell>
          <cell r="BT42">
            <v>18</v>
          </cell>
          <cell r="BU42">
            <v>35</v>
          </cell>
          <cell r="BZ42">
            <v>18</v>
          </cell>
          <cell r="CA42">
            <v>35</v>
          </cell>
          <cell r="CF42">
            <v>18</v>
          </cell>
          <cell r="CG42">
            <v>35</v>
          </cell>
        </row>
        <row r="43">
          <cell r="BQ43" t="str">
            <v xml:space="preserve"> </v>
          </cell>
          <cell r="BT43" t="str">
            <v xml:space="preserve"> </v>
          </cell>
          <cell r="BU43">
            <v>36</v>
          </cell>
          <cell r="BZ43" t="str">
            <v xml:space="preserve"> </v>
          </cell>
          <cell r="CA43">
            <v>36</v>
          </cell>
          <cell r="CF43" t="str">
            <v xml:space="preserve"> </v>
          </cell>
          <cell r="CG43">
            <v>36</v>
          </cell>
        </row>
        <row r="44">
          <cell r="BQ44">
            <v>19</v>
          </cell>
          <cell r="BT44">
            <v>19</v>
          </cell>
          <cell r="BU44">
            <v>37</v>
          </cell>
          <cell r="BZ44">
            <v>19</v>
          </cell>
          <cell r="CA44">
            <v>37</v>
          </cell>
          <cell r="CF44">
            <v>19</v>
          </cell>
          <cell r="CG44">
            <v>37</v>
          </cell>
        </row>
        <row r="45">
          <cell r="BQ45" t="str">
            <v xml:space="preserve"> </v>
          </cell>
          <cell r="BT45" t="str">
            <v xml:space="preserve"> </v>
          </cell>
          <cell r="BU45">
            <v>38</v>
          </cell>
          <cell r="BZ45" t="str">
            <v xml:space="preserve"> </v>
          </cell>
          <cell r="CA45">
            <v>38</v>
          </cell>
          <cell r="CF45" t="str">
            <v xml:space="preserve"> </v>
          </cell>
          <cell r="CG45">
            <v>38</v>
          </cell>
        </row>
        <row r="46">
          <cell r="BQ46">
            <v>20</v>
          </cell>
          <cell r="BT46">
            <v>20</v>
          </cell>
          <cell r="BU46">
            <v>39</v>
          </cell>
          <cell r="BZ46">
            <v>20</v>
          </cell>
          <cell r="CA46">
            <v>39</v>
          </cell>
          <cell r="CF46">
            <v>20</v>
          </cell>
          <cell r="CG46">
            <v>39</v>
          </cell>
        </row>
        <row r="47">
          <cell r="BQ47" t="str">
            <v xml:space="preserve"> </v>
          </cell>
          <cell r="BT47" t="str">
            <v xml:space="preserve"> </v>
          </cell>
          <cell r="BU47">
            <v>40</v>
          </cell>
          <cell r="BZ47" t="str">
            <v xml:space="preserve"> </v>
          </cell>
          <cell r="CA47">
            <v>40</v>
          </cell>
          <cell r="CF47" t="str">
            <v xml:space="preserve"> </v>
          </cell>
          <cell r="CG47">
            <v>40</v>
          </cell>
        </row>
        <row r="48">
          <cell r="BQ48">
            <v>21</v>
          </cell>
          <cell r="BT48">
            <v>21</v>
          </cell>
          <cell r="BU48">
            <v>41</v>
          </cell>
          <cell r="BZ48">
            <v>21</v>
          </cell>
          <cell r="CA48">
            <v>41</v>
          </cell>
          <cell r="CF48">
            <v>21</v>
          </cell>
          <cell r="CG48">
            <v>41</v>
          </cell>
        </row>
        <row r="49">
          <cell r="BQ49" t="str">
            <v xml:space="preserve"> </v>
          </cell>
          <cell r="BT49" t="str">
            <v xml:space="preserve"> </v>
          </cell>
          <cell r="BU49">
            <v>42</v>
          </cell>
          <cell r="BZ49" t="str">
            <v xml:space="preserve"> </v>
          </cell>
          <cell r="CA49">
            <v>42</v>
          </cell>
          <cell r="CF49" t="str">
            <v xml:space="preserve"> </v>
          </cell>
          <cell r="CG49">
            <v>42</v>
          </cell>
        </row>
        <row r="50">
          <cell r="BQ50">
            <v>22</v>
          </cell>
          <cell r="BT50">
            <v>22</v>
          </cell>
          <cell r="BU50">
            <v>43</v>
          </cell>
          <cell r="BZ50">
            <v>22</v>
          </cell>
          <cell r="CA50">
            <v>43</v>
          </cell>
          <cell r="CF50">
            <v>22</v>
          </cell>
          <cell r="CG50">
            <v>43</v>
          </cell>
        </row>
        <row r="51">
          <cell r="BQ51" t="str">
            <v xml:space="preserve"> </v>
          </cell>
          <cell r="BT51" t="str">
            <v xml:space="preserve"> </v>
          </cell>
          <cell r="BU51">
            <v>44</v>
          </cell>
          <cell r="BZ51" t="str">
            <v xml:space="preserve"> </v>
          </cell>
          <cell r="CA51">
            <v>44</v>
          </cell>
          <cell r="CF51" t="str">
            <v xml:space="preserve"> </v>
          </cell>
          <cell r="CG51">
            <v>44</v>
          </cell>
        </row>
        <row r="52">
          <cell r="BQ52">
            <v>23</v>
          </cell>
          <cell r="BT52">
            <v>23</v>
          </cell>
          <cell r="BU52">
            <v>45</v>
          </cell>
          <cell r="BZ52">
            <v>23</v>
          </cell>
          <cell r="CA52">
            <v>45</v>
          </cell>
          <cell r="CF52">
            <v>23</v>
          </cell>
          <cell r="CG52">
            <v>45</v>
          </cell>
        </row>
        <row r="53">
          <cell r="BQ53" t="str">
            <v xml:space="preserve"> </v>
          </cell>
          <cell r="BT53" t="str">
            <v xml:space="preserve"> </v>
          </cell>
          <cell r="BU53">
            <v>46</v>
          </cell>
          <cell r="BZ53" t="str">
            <v xml:space="preserve"> </v>
          </cell>
          <cell r="CA53">
            <v>46</v>
          </cell>
          <cell r="CF53" t="str">
            <v xml:space="preserve"> </v>
          </cell>
          <cell r="CG53">
            <v>46</v>
          </cell>
        </row>
        <row r="54">
          <cell r="BQ54">
            <v>24</v>
          </cell>
          <cell r="BT54">
            <v>24</v>
          </cell>
          <cell r="BU54">
            <v>47</v>
          </cell>
          <cell r="BZ54">
            <v>24</v>
          </cell>
          <cell r="CA54">
            <v>47</v>
          </cell>
          <cell r="CF54">
            <v>24</v>
          </cell>
          <cell r="CG54">
            <v>47</v>
          </cell>
        </row>
        <row r="55">
          <cell r="BQ55" t="str">
            <v xml:space="preserve"> </v>
          </cell>
          <cell r="BT55" t="str">
            <v xml:space="preserve"> </v>
          </cell>
          <cell r="BU55">
            <v>48</v>
          </cell>
          <cell r="BZ55" t="str">
            <v xml:space="preserve"> </v>
          </cell>
          <cell r="CA55">
            <v>48</v>
          </cell>
          <cell r="CF55" t="str">
            <v xml:space="preserve"> </v>
          </cell>
          <cell r="CG55">
            <v>48</v>
          </cell>
        </row>
        <row r="56">
          <cell r="BQ56">
            <v>25</v>
          </cell>
          <cell r="BT56">
            <v>25</v>
          </cell>
          <cell r="BU56">
            <v>49</v>
          </cell>
          <cell r="BZ56">
            <v>25</v>
          </cell>
          <cell r="CA56">
            <v>49</v>
          </cell>
          <cell r="CF56">
            <v>25</v>
          </cell>
          <cell r="CG56">
            <v>49</v>
          </cell>
        </row>
        <row r="57">
          <cell r="BQ57" t="str">
            <v xml:space="preserve"> </v>
          </cell>
          <cell r="BT57" t="str">
            <v xml:space="preserve"> </v>
          </cell>
          <cell r="BU57">
            <v>50</v>
          </cell>
          <cell r="BZ57" t="str">
            <v xml:space="preserve"> </v>
          </cell>
          <cell r="CA57">
            <v>50</v>
          </cell>
          <cell r="CF57" t="str">
            <v xml:space="preserve"> </v>
          </cell>
          <cell r="CG57">
            <v>50</v>
          </cell>
        </row>
        <row r="58">
          <cell r="BQ58">
            <v>26</v>
          </cell>
          <cell r="BT58">
            <v>26</v>
          </cell>
          <cell r="BU58">
            <v>51</v>
          </cell>
          <cell r="BZ58">
            <v>26</v>
          </cell>
          <cell r="CA58">
            <v>51</v>
          </cell>
          <cell r="CF58">
            <v>26</v>
          </cell>
          <cell r="CG58">
            <v>51</v>
          </cell>
        </row>
        <row r="59">
          <cell r="BQ59" t="str">
            <v xml:space="preserve"> </v>
          </cell>
          <cell r="BT59" t="str">
            <v xml:space="preserve"> </v>
          </cell>
          <cell r="BU59">
            <v>52</v>
          </cell>
          <cell r="BZ59" t="str">
            <v xml:space="preserve"> </v>
          </cell>
          <cell r="CA59">
            <v>52</v>
          </cell>
          <cell r="CF59" t="str">
            <v xml:space="preserve"> </v>
          </cell>
          <cell r="CG59">
            <v>52</v>
          </cell>
        </row>
        <row r="60">
          <cell r="BQ60">
            <v>27</v>
          </cell>
          <cell r="BT60">
            <v>27</v>
          </cell>
          <cell r="BU60">
            <v>53</v>
          </cell>
          <cell r="BZ60">
            <v>27</v>
          </cell>
          <cell r="CA60">
            <v>53</v>
          </cell>
          <cell r="CF60">
            <v>27</v>
          </cell>
          <cell r="CG60">
            <v>53</v>
          </cell>
        </row>
        <row r="61">
          <cell r="BQ61" t="str">
            <v xml:space="preserve"> </v>
          </cell>
          <cell r="BT61" t="str">
            <v xml:space="preserve"> </v>
          </cell>
          <cell r="BU61">
            <v>54</v>
          </cell>
          <cell r="BZ61" t="str">
            <v xml:space="preserve"> </v>
          </cell>
          <cell r="CA61">
            <v>54</v>
          </cell>
          <cell r="CF61" t="str">
            <v xml:space="preserve"> </v>
          </cell>
          <cell r="CG61">
            <v>54</v>
          </cell>
        </row>
        <row r="62">
          <cell r="BQ62">
            <v>28</v>
          </cell>
          <cell r="BT62">
            <v>28</v>
          </cell>
          <cell r="BU62">
            <v>55</v>
          </cell>
          <cell r="BZ62">
            <v>28</v>
          </cell>
          <cell r="CA62">
            <v>55</v>
          </cell>
          <cell r="CF62">
            <v>28</v>
          </cell>
          <cell r="CG62">
            <v>55</v>
          </cell>
        </row>
        <row r="63">
          <cell r="BQ63" t="str">
            <v xml:space="preserve"> </v>
          </cell>
          <cell r="BT63" t="str">
            <v xml:space="preserve"> </v>
          </cell>
          <cell r="BU63">
            <v>56</v>
          </cell>
          <cell r="BZ63" t="str">
            <v xml:space="preserve"> </v>
          </cell>
          <cell r="CA63">
            <v>56</v>
          </cell>
          <cell r="CF63" t="str">
            <v xml:space="preserve"> </v>
          </cell>
          <cell r="CG63">
            <v>56</v>
          </cell>
        </row>
        <row r="64">
          <cell r="BQ64">
            <v>29</v>
          </cell>
          <cell r="BT64">
            <v>29</v>
          </cell>
          <cell r="BU64">
            <v>0</v>
          </cell>
          <cell r="BZ64">
            <v>29</v>
          </cell>
          <cell r="CA64">
            <v>0</v>
          </cell>
          <cell r="CF64">
            <v>29</v>
          </cell>
          <cell r="CG64">
            <v>0</v>
          </cell>
        </row>
        <row r="65">
          <cell r="BQ65" t="str">
            <v xml:space="preserve"> </v>
          </cell>
          <cell r="BT65" t="str">
            <v xml:space="preserve"> </v>
          </cell>
          <cell r="BU65">
            <v>0</v>
          </cell>
          <cell r="BZ65" t="str">
            <v xml:space="preserve"> </v>
          </cell>
          <cell r="CA65">
            <v>0</v>
          </cell>
          <cell r="CF65" t="str">
            <v xml:space="preserve"> </v>
          </cell>
          <cell r="CG65">
            <v>0</v>
          </cell>
        </row>
        <row r="66">
          <cell r="BQ66">
            <v>30</v>
          </cell>
          <cell r="BT66">
            <v>30</v>
          </cell>
          <cell r="BU66">
            <v>0</v>
          </cell>
          <cell r="BZ66">
            <v>30</v>
          </cell>
          <cell r="CA66">
            <v>0</v>
          </cell>
          <cell r="CF66">
            <v>30</v>
          </cell>
          <cell r="CG66">
            <v>0</v>
          </cell>
        </row>
        <row r="67">
          <cell r="BQ67" t="str">
            <v xml:space="preserve"> </v>
          </cell>
          <cell r="BT67" t="str">
            <v xml:space="preserve"> </v>
          </cell>
          <cell r="BU67">
            <v>0</v>
          </cell>
          <cell r="BZ67" t="str">
            <v xml:space="preserve"> </v>
          </cell>
          <cell r="CA67">
            <v>0</v>
          </cell>
          <cell r="CF67" t="str">
            <v xml:space="preserve"> </v>
          </cell>
          <cell r="CG67">
            <v>0</v>
          </cell>
        </row>
        <row r="68">
          <cell r="BQ68">
            <v>31</v>
          </cell>
          <cell r="BT68">
            <v>31</v>
          </cell>
          <cell r="BU68">
            <v>0</v>
          </cell>
          <cell r="BZ68">
            <v>31</v>
          </cell>
          <cell r="CA68">
            <v>0</v>
          </cell>
          <cell r="CF68">
            <v>31</v>
          </cell>
          <cell r="CG68">
            <v>0</v>
          </cell>
        </row>
        <row r="69">
          <cell r="BQ69" t="str">
            <v xml:space="preserve"> </v>
          </cell>
          <cell r="BT69" t="str">
            <v xml:space="preserve"> </v>
          </cell>
          <cell r="BU69">
            <v>0</v>
          </cell>
          <cell r="BZ69" t="str">
            <v xml:space="preserve"> </v>
          </cell>
          <cell r="CA69">
            <v>0</v>
          </cell>
          <cell r="CF69" t="str">
            <v xml:space="preserve"> </v>
          </cell>
          <cell r="CG69">
            <v>0</v>
          </cell>
        </row>
        <row r="70">
          <cell r="BQ70">
            <v>32</v>
          </cell>
          <cell r="BT70">
            <v>32</v>
          </cell>
          <cell r="BU70">
            <v>0</v>
          </cell>
          <cell r="BZ70">
            <v>32</v>
          </cell>
          <cell r="CA70">
            <v>0</v>
          </cell>
          <cell r="CF70">
            <v>32</v>
          </cell>
          <cell r="CG70">
            <v>0</v>
          </cell>
        </row>
        <row r="71">
          <cell r="BQ71" t="str">
            <v xml:space="preserve"> </v>
          </cell>
          <cell r="BT71" t="str">
            <v xml:space="preserve"> </v>
          </cell>
          <cell r="BU71">
            <v>0</v>
          </cell>
          <cell r="BZ71" t="str">
            <v xml:space="preserve"> </v>
          </cell>
          <cell r="CA71">
            <v>0</v>
          </cell>
          <cell r="CF71" t="str">
            <v xml:space="preserve"> </v>
          </cell>
          <cell r="CG71">
            <v>0</v>
          </cell>
        </row>
        <row r="72">
          <cell r="BQ72">
            <v>33</v>
          </cell>
          <cell r="BT72">
            <v>33</v>
          </cell>
          <cell r="BU72">
            <v>0</v>
          </cell>
          <cell r="BZ72">
            <v>33</v>
          </cell>
          <cell r="CA72">
            <v>0</v>
          </cell>
          <cell r="CF72">
            <v>33</v>
          </cell>
          <cell r="CG72">
            <v>0</v>
          </cell>
        </row>
        <row r="73">
          <cell r="BQ73" t="str">
            <v xml:space="preserve"> </v>
          </cell>
          <cell r="BT73" t="str">
            <v xml:space="preserve"> </v>
          </cell>
          <cell r="BU73">
            <v>0</v>
          </cell>
          <cell r="BZ73" t="str">
            <v xml:space="preserve"> </v>
          </cell>
          <cell r="CA73">
            <v>0</v>
          </cell>
          <cell r="CF73" t="str">
            <v xml:space="preserve"> </v>
          </cell>
          <cell r="CG73">
            <v>0</v>
          </cell>
        </row>
        <row r="74">
          <cell r="BQ74">
            <v>34</v>
          </cell>
          <cell r="BT74">
            <v>34</v>
          </cell>
          <cell r="BU74">
            <v>0</v>
          </cell>
          <cell r="BZ74">
            <v>34</v>
          </cell>
          <cell r="CA74">
            <v>0</v>
          </cell>
          <cell r="CF74">
            <v>34</v>
          </cell>
          <cell r="CG74">
            <v>0</v>
          </cell>
        </row>
        <row r="75">
          <cell r="BQ75" t="str">
            <v xml:space="preserve"> </v>
          </cell>
          <cell r="BT75" t="str">
            <v xml:space="preserve"> </v>
          </cell>
          <cell r="BU75">
            <v>0</v>
          </cell>
          <cell r="BZ75" t="str">
            <v xml:space="preserve"> </v>
          </cell>
          <cell r="CA75">
            <v>0</v>
          </cell>
          <cell r="CF75" t="str">
            <v xml:space="preserve"> </v>
          </cell>
          <cell r="CG75">
            <v>0</v>
          </cell>
        </row>
        <row r="76">
          <cell r="BQ76">
            <v>35</v>
          </cell>
          <cell r="BT76">
            <v>35</v>
          </cell>
          <cell r="BU76">
            <v>0</v>
          </cell>
          <cell r="BZ76">
            <v>35</v>
          </cell>
          <cell r="CA76">
            <v>0</v>
          </cell>
          <cell r="CF76">
            <v>35</v>
          </cell>
          <cell r="CG76">
            <v>0</v>
          </cell>
        </row>
        <row r="77">
          <cell r="BQ77" t="str">
            <v xml:space="preserve"> </v>
          </cell>
          <cell r="BT77" t="str">
            <v xml:space="preserve"> </v>
          </cell>
          <cell r="BU77">
            <v>0</v>
          </cell>
          <cell r="BZ77" t="str">
            <v xml:space="preserve"> </v>
          </cell>
          <cell r="CA77">
            <v>0</v>
          </cell>
          <cell r="CF77" t="str">
            <v xml:space="preserve"> </v>
          </cell>
          <cell r="CG77">
            <v>0</v>
          </cell>
        </row>
        <row r="78">
          <cell r="BQ78">
            <v>36</v>
          </cell>
          <cell r="BT78">
            <v>36</v>
          </cell>
          <cell r="BU78">
            <v>0</v>
          </cell>
          <cell r="BZ78">
            <v>36</v>
          </cell>
          <cell r="CA78">
            <v>0</v>
          </cell>
          <cell r="CF78">
            <v>36</v>
          </cell>
          <cell r="CG78">
            <v>0</v>
          </cell>
        </row>
        <row r="79">
          <cell r="BQ79" t="str">
            <v xml:space="preserve"> </v>
          </cell>
          <cell r="BT79" t="str">
            <v xml:space="preserve"> </v>
          </cell>
          <cell r="BU79">
            <v>0</v>
          </cell>
          <cell r="BZ79" t="str">
            <v xml:space="preserve"> </v>
          </cell>
          <cell r="CA79">
            <v>0</v>
          </cell>
          <cell r="CF79" t="str">
            <v xml:space="preserve"> </v>
          </cell>
          <cell r="CG79">
            <v>0</v>
          </cell>
        </row>
        <row r="80">
          <cell r="BQ80">
            <v>37</v>
          </cell>
          <cell r="BT80">
            <v>37</v>
          </cell>
          <cell r="BU80">
            <v>0</v>
          </cell>
          <cell r="BZ80">
            <v>37</v>
          </cell>
          <cell r="CA80">
            <v>0</v>
          </cell>
          <cell r="CF80">
            <v>37</v>
          </cell>
          <cell r="CG80">
            <v>0</v>
          </cell>
        </row>
        <row r="81">
          <cell r="BQ81" t="str">
            <v xml:space="preserve"> </v>
          </cell>
          <cell r="BT81" t="str">
            <v xml:space="preserve"> </v>
          </cell>
          <cell r="BU81">
            <v>0</v>
          </cell>
          <cell r="BZ81" t="str">
            <v xml:space="preserve"> </v>
          </cell>
          <cell r="CA81">
            <v>0</v>
          </cell>
          <cell r="CF81" t="str">
            <v xml:space="preserve"> </v>
          </cell>
          <cell r="CG81">
            <v>0</v>
          </cell>
        </row>
        <row r="82">
          <cell r="BQ82">
            <v>38</v>
          </cell>
          <cell r="BT82">
            <v>38</v>
          </cell>
          <cell r="BU82">
            <v>0</v>
          </cell>
          <cell r="BZ82">
            <v>38</v>
          </cell>
          <cell r="CA82">
            <v>0</v>
          </cell>
          <cell r="CF82">
            <v>38</v>
          </cell>
          <cell r="CG82">
            <v>0</v>
          </cell>
        </row>
        <row r="83">
          <cell r="BQ83" t="str">
            <v xml:space="preserve"> </v>
          </cell>
          <cell r="BT83" t="str">
            <v xml:space="preserve"> </v>
          </cell>
          <cell r="BU83">
            <v>0</v>
          </cell>
          <cell r="BZ83" t="str">
            <v xml:space="preserve"> </v>
          </cell>
          <cell r="CA83">
            <v>0</v>
          </cell>
          <cell r="CF83" t="str">
            <v xml:space="preserve"> </v>
          </cell>
          <cell r="CG83">
            <v>0</v>
          </cell>
        </row>
        <row r="84">
          <cell r="BQ84">
            <v>39</v>
          </cell>
          <cell r="BT84">
            <v>39</v>
          </cell>
          <cell r="BU84">
            <v>0</v>
          </cell>
          <cell r="BZ84">
            <v>39</v>
          </cell>
          <cell r="CA84">
            <v>0</v>
          </cell>
          <cell r="CF84">
            <v>39</v>
          </cell>
          <cell r="CG84">
            <v>0</v>
          </cell>
        </row>
        <row r="85">
          <cell r="BQ85" t="str">
            <v xml:space="preserve"> </v>
          </cell>
          <cell r="BT85" t="str">
            <v xml:space="preserve"> </v>
          </cell>
          <cell r="BU85">
            <v>0</v>
          </cell>
          <cell r="BZ85" t="str">
            <v xml:space="preserve"> </v>
          </cell>
          <cell r="CA85">
            <v>0</v>
          </cell>
          <cell r="CF85" t="str">
            <v xml:space="preserve"> </v>
          </cell>
          <cell r="CG85">
            <v>0</v>
          </cell>
        </row>
        <row r="86">
          <cell r="BQ86">
            <v>40</v>
          </cell>
          <cell r="BT86">
            <v>40</v>
          </cell>
          <cell r="BU86">
            <v>0</v>
          </cell>
          <cell r="BZ86">
            <v>40</v>
          </cell>
          <cell r="CA86">
            <v>0</v>
          </cell>
          <cell r="CF86">
            <v>40</v>
          </cell>
          <cell r="CG86">
            <v>0</v>
          </cell>
        </row>
        <row r="87">
          <cell r="BQ87" t="str">
            <v xml:space="preserve"> </v>
          </cell>
          <cell r="BT87" t="str">
            <v xml:space="preserve"> </v>
          </cell>
          <cell r="BU87">
            <v>0</v>
          </cell>
          <cell r="BZ87" t="str">
            <v xml:space="preserve"> </v>
          </cell>
          <cell r="CA87">
            <v>0</v>
          </cell>
          <cell r="CF87" t="str">
            <v xml:space="preserve"> </v>
          </cell>
          <cell r="CG87">
            <v>0</v>
          </cell>
        </row>
        <row r="88">
          <cell r="BQ88">
            <v>41</v>
          </cell>
          <cell r="BT88">
            <v>41</v>
          </cell>
          <cell r="BU88">
            <v>0</v>
          </cell>
          <cell r="BZ88">
            <v>41</v>
          </cell>
          <cell r="CA88">
            <v>0</v>
          </cell>
          <cell r="CF88">
            <v>41</v>
          </cell>
          <cell r="CG88">
            <v>0</v>
          </cell>
        </row>
        <row r="89">
          <cell r="BQ89" t="str">
            <v xml:space="preserve"> </v>
          </cell>
          <cell r="BT89" t="str">
            <v xml:space="preserve"> </v>
          </cell>
          <cell r="BU89">
            <v>0</v>
          </cell>
          <cell r="BZ89" t="str">
            <v xml:space="preserve"> </v>
          </cell>
          <cell r="CA89">
            <v>0</v>
          </cell>
          <cell r="CF89" t="str">
            <v xml:space="preserve"> </v>
          </cell>
          <cell r="CG89">
            <v>0</v>
          </cell>
        </row>
        <row r="90">
          <cell r="BQ90">
            <v>42</v>
          </cell>
          <cell r="BT90">
            <v>42</v>
          </cell>
          <cell r="BU90">
            <v>0</v>
          </cell>
          <cell r="BZ90">
            <v>42</v>
          </cell>
          <cell r="CA90">
            <v>0</v>
          </cell>
          <cell r="CF90">
            <v>42</v>
          </cell>
          <cell r="CG90">
            <v>0</v>
          </cell>
        </row>
        <row r="91">
          <cell r="BQ91" t="str">
            <v xml:space="preserve"> </v>
          </cell>
          <cell r="BT91" t="str">
            <v xml:space="preserve"> </v>
          </cell>
          <cell r="BU91">
            <v>0</v>
          </cell>
          <cell r="BZ91" t="str">
            <v xml:space="preserve"> </v>
          </cell>
          <cell r="CA91">
            <v>0</v>
          </cell>
          <cell r="CF91" t="str">
            <v xml:space="preserve"> </v>
          </cell>
          <cell r="CG91">
            <v>0</v>
          </cell>
        </row>
        <row r="92">
          <cell r="BQ92">
            <v>43</v>
          </cell>
          <cell r="BT92">
            <v>43</v>
          </cell>
          <cell r="BU92">
            <v>0</v>
          </cell>
          <cell r="BZ92">
            <v>43</v>
          </cell>
          <cell r="CA92">
            <v>0</v>
          </cell>
          <cell r="CF92">
            <v>43</v>
          </cell>
          <cell r="CG92">
            <v>0</v>
          </cell>
        </row>
        <row r="93">
          <cell r="BQ93" t="str">
            <v xml:space="preserve"> </v>
          </cell>
          <cell r="BT93" t="str">
            <v xml:space="preserve"> </v>
          </cell>
          <cell r="BU93">
            <v>0</v>
          </cell>
          <cell r="BZ93" t="str">
            <v xml:space="preserve"> </v>
          </cell>
          <cell r="CA93">
            <v>0</v>
          </cell>
          <cell r="CF93" t="str">
            <v xml:space="preserve"> </v>
          </cell>
          <cell r="CG93">
            <v>0</v>
          </cell>
        </row>
        <row r="94">
          <cell r="BQ94">
            <v>44</v>
          </cell>
          <cell r="BT94">
            <v>44</v>
          </cell>
          <cell r="BU94">
            <v>0</v>
          </cell>
          <cell r="BZ94">
            <v>44</v>
          </cell>
          <cell r="CA94">
            <v>0</v>
          </cell>
          <cell r="CF94">
            <v>44</v>
          </cell>
          <cell r="CG94">
            <v>0</v>
          </cell>
        </row>
        <row r="95">
          <cell r="BQ95" t="str">
            <v xml:space="preserve"> </v>
          </cell>
          <cell r="BT95" t="str">
            <v xml:space="preserve"> </v>
          </cell>
          <cell r="BU95">
            <v>0</v>
          </cell>
          <cell r="BZ95" t="str">
            <v xml:space="preserve"> </v>
          </cell>
          <cell r="CA95">
            <v>0</v>
          </cell>
          <cell r="CF95" t="str">
            <v xml:space="preserve"> </v>
          </cell>
          <cell r="CG95">
            <v>0</v>
          </cell>
        </row>
        <row r="96">
          <cell r="BQ96">
            <v>45</v>
          </cell>
          <cell r="BT96">
            <v>45</v>
          </cell>
          <cell r="BU96">
            <v>0</v>
          </cell>
          <cell r="BZ96">
            <v>45</v>
          </cell>
          <cell r="CA96">
            <v>0</v>
          </cell>
          <cell r="CF96">
            <v>45</v>
          </cell>
          <cell r="CG96">
            <v>0</v>
          </cell>
        </row>
        <row r="97">
          <cell r="BQ97" t="str">
            <v xml:space="preserve"> </v>
          </cell>
          <cell r="BT97" t="str">
            <v xml:space="preserve"> </v>
          </cell>
          <cell r="BU97">
            <v>0</v>
          </cell>
          <cell r="BZ97" t="str">
            <v xml:space="preserve"> </v>
          </cell>
          <cell r="CA97">
            <v>0</v>
          </cell>
          <cell r="CF97" t="str">
            <v xml:space="preserve"> </v>
          </cell>
          <cell r="CG97">
            <v>0</v>
          </cell>
        </row>
        <row r="98">
          <cell r="BQ98">
            <v>46</v>
          </cell>
          <cell r="BT98">
            <v>46</v>
          </cell>
          <cell r="BU98">
            <v>0</v>
          </cell>
          <cell r="BZ98">
            <v>46</v>
          </cell>
          <cell r="CA98">
            <v>0</v>
          </cell>
          <cell r="CF98">
            <v>46</v>
          </cell>
          <cell r="CG98">
            <v>0</v>
          </cell>
        </row>
        <row r="99">
          <cell r="BQ99" t="str">
            <v xml:space="preserve"> </v>
          </cell>
          <cell r="BT99" t="str">
            <v xml:space="preserve"> </v>
          </cell>
          <cell r="BU99">
            <v>0</v>
          </cell>
          <cell r="BZ99" t="str">
            <v xml:space="preserve"> </v>
          </cell>
          <cell r="CA99">
            <v>0</v>
          </cell>
          <cell r="CF99" t="str">
            <v xml:space="preserve"> </v>
          </cell>
          <cell r="CG99">
            <v>0</v>
          </cell>
        </row>
        <row r="100">
          <cell r="BQ100">
            <v>47</v>
          </cell>
          <cell r="BT100">
            <v>47</v>
          </cell>
          <cell r="BU100">
            <v>0</v>
          </cell>
          <cell r="BZ100">
            <v>47</v>
          </cell>
          <cell r="CA100">
            <v>0</v>
          </cell>
          <cell r="CF100">
            <v>47</v>
          </cell>
          <cell r="CG100">
            <v>0</v>
          </cell>
        </row>
        <row r="101">
          <cell r="BQ101" t="str">
            <v xml:space="preserve"> </v>
          </cell>
          <cell r="BT101" t="str">
            <v xml:space="preserve"> </v>
          </cell>
          <cell r="BU101">
            <v>0</v>
          </cell>
          <cell r="BZ101" t="str">
            <v xml:space="preserve"> </v>
          </cell>
          <cell r="CA101">
            <v>0</v>
          </cell>
          <cell r="CF101" t="str">
            <v xml:space="preserve"> </v>
          </cell>
          <cell r="CG101">
            <v>0</v>
          </cell>
        </row>
        <row r="102">
          <cell r="BQ102">
            <v>48</v>
          </cell>
          <cell r="BT102">
            <v>48</v>
          </cell>
          <cell r="BU102">
            <v>0</v>
          </cell>
          <cell r="BZ102">
            <v>48</v>
          </cell>
          <cell r="CA102">
            <v>0</v>
          </cell>
          <cell r="CF102">
            <v>48</v>
          </cell>
          <cell r="CG102">
            <v>0</v>
          </cell>
        </row>
        <row r="103">
          <cell r="BQ103" t="str">
            <v xml:space="preserve"> </v>
          </cell>
          <cell r="BT103" t="str">
            <v xml:space="preserve"> </v>
          </cell>
          <cell r="BU103">
            <v>0</v>
          </cell>
          <cell r="BZ103" t="str">
            <v xml:space="preserve"> </v>
          </cell>
          <cell r="CA103">
            <v>0</v>
          </cell>
          <cell r="CF103" t="str">
            <v xml:space="preserve"> </v>
          </cell>
          <cell r="CG103">
            <v>0</v>
          </cell>
        </row>
        <row r="104">
          <cell r="BQ104">
            <v>49</v>
          </cell>
          <cell r="BT104">
            <v>49</v>
          </cell>
          <cell r="BU104">
            <v>0</v>
          </cell>
          <cell r="BZ104">
            <v>49</v>
          </cell>
          <cell r="CA104">
            <v>0</v>
          </cell>
          <cell r="CF104">
            <v>49</v>
          </cell>
          <cell r="CG104">
            <v>0</v>
          </cell>
        </row>
        <row r="105">
          <cell r="BQ105" t="str">
            <v xml:space="preserve"> </v>
          </cell>
          <cell r="BT105" t="str">
            <v xml:space="preserve"> </v>
          </cell>
          <cell r="BU105">
            <v>0</v>
          </cell>
          <cell r="BZ105" t="str">
            <v xml:space="preserve"> </v>
          </cell>
          <cell r="CA105">
            <v>0</v>
          </cell>
          <cell r="CF105" t="str">
            <v xml:space="preserve"> </v>
          </cell>
          <cell r="CG105">
            <v>0</v>
          </cell>
        </row>
        <row r="106">
          <cell r="BQ106">
            <v>50</v>
          </cell>
          <cell r="BT106">
            <v>50</v>
          </cell>
          <cell r="BU106">
            <v>0</v>
          </cell>
          <cell r="BZ106">
            <v>50</v>
          </cell>
          <cell r="CA106">
            <v>0</v>
          </cell>
          <cell r="CF106">
            <v>50</v>
          </cell>
          <cell r="CG106">
            <v>0</v>
          </cell>
        </row>
        <row r="107">
          <cell r="BQ107" t="str">
            <v xml:space="preserve"> </v>
          </cell>
          <cell r="BT107" t="str">
            <v xml:space="preserve"> </v>
          </cell>
          <cell r="BU107">
            <v>0</v>
          </cell>
          <cell r="BZ107" t="str">
            <v xml:space="preserve"> </v>
          </cell>
          <cell r="CA107">
            <v>0</v>
          </cell>
          <cell r="CF107" t="str">
            <v xml:space="preserve"> </v>
          </cell>
          <cell r="CG107">
            <v>0</v>
          </cell>
        </row>
        <row r="108">
          <cell r="BQ108">
            <v>51</v>
          </cell>
          <cell r="BT108">
            <v>51</v>
          </cell>
          <cell r="BU108">
            <v>0</v>
          </cell>
          <cell r="BZ108">
            <v>51</v>
          </cell>
          <cell r="CA108">
            <v>0</v>
          </cell>
          <cell r="CF108">
            <v>51</v>
          </cell>
          <cell r="CG108">
            <v>0</v>
          </cell>
        </row>
        <row r="109">
          <cell r="BQ109" t="str">
            <v xml:space="preserve"> </v>
          </cell>
          <cell r="BT109" t="str">
            <v xml:space="preserve"> </v>
          </cell>
          <cell r="BU109">
            <v>0</v>
          </cell>
          <cell r="BZ109" t="str">
            <v xml:space="preserve"> </v>
          </cell>
          <cell r="CA109">
            <v>0</v>
          </cell>
          <cell r="CF109" t="str">
            <v xml:space="preserve"> </v>
          </cell>
          <cell r="CG109">
            <v>0</v>
          </cell>
        </row>
        <row r="110">
          <cell r="BQ110">
            <v>52</v>
          </cell>
          <cell r="BT110">
            <v>52</v>
          </cell>
          <cell r="BU110">
            <v>0</v>
          </cell>
          <cell r="BZ110">
            <v>52</v>
          </cell>
          <cell r="CA110">
            <v>0</v>
          </cell>
          <cell r="CF110">
            <v>52</v>
          </cell>
          <cell r="CG110">
            <v>0</v>
          </cell>
        </row>
        <row r="111">
          <cell r="BQ111" t="str">
            <v xml:space="preserve"> </v>
          </cell>
          <cell r="BT111" t="str">
            <v xml:space="preserve"> </v>
          </cell>
          <cell r="BU111">
            <v>0</v>
          </cell>
          <cell r="BZ111" t="str">
            <v xml:space="preserve"> </v>
          </cell>
          <cell r="CA111">
            <v>0</v>
          </cell>
          <cell r="CF111" t="str">
            <v xml:space="preserve"> </v>
          </cell>
          <cell r="CG111">
            <v>0</v>
          </cell>
        </row>
        <row r="112">
          <cell r="BQ112">
            <v>53</v>
          </cell>
          <cell r="BT112">
            <v>53</v>
          </cell>
          <cell r="BU112">
            <v>0</v>
          </cell>
          <cell r="BZ112">
            <v>53</v>
          </cell>
          <cell r="CA112">
            <v>0</v>
          </cell>
          <cell r="CF112">
            <v>53</v>
          </cell>
          <cell r="CG112">
            <v>0</v>
          </cell>
        </row>
        <row r="113">
          <cell r="BQ113" t="str">
            <v xml:space="preserve"> </v>
          </cell>
          <cell r="BT113" t="str">
            <v xml:space="preserve"> </v>
          </cell>
          <cell r="BU113">
            <v>0</v>
          </cell>
          <cell r="BZ113" t="str">
            <v xml:space="preserve"> </v>
          </cell>
          <cell r="CA113">
            <v>0</v>
          </cell>
          <cell r="CF113" t="str">
            <v xml:space="preserve"> </v>
          </cell>
          <cell r="CG113">
            <v>0</v>
          </cell>
        </row>
        <row r="114">
          <cell r="BQ114">
            <v>54</v>
          </cell>
          <cell r="BT114">
            <v>54</v>
          </cell>
          <cell r="BU114">
            <v>0</v>
          </cell>
          <cell r="BZ114">
            <v>54</v>
          </cell>
          <cell r="CA114">
            <v>0</v>
          </cell>
          <cell r="CF114">
            <v>54</v>
          </cell>
          <cell r="CG114">
            <v>0</v>
          </cell>
        </row>
        <row r="115">
          <cell r="BQ115" t="str">
            <v xml:space="preserve"> </v>
          </cell>
          <cell r="BT115" t="str">
            <v xml:space="preserve"> </v>
          </cell>
          <cell r="BU115">
            <v>0</v>
          </cell>
          <cell r="BZ115" t="str">
            <v xml:space="preserve"> </v>
          </cell>
          <cell r="CA115">
            <v>0</v>
          </cell>
          <cell r="CF115" t="str">
            <v xml:space="preserve"> </v>
          </cell>
          <cell r="CG115">
            <v>0</v>
          </cell>
        </row>
        <row r="116">
          <cell r="BQ116">
            <v>55</v>
          </cell>
          <cell r="BT116">
            <v>55</v>
          </cell>
          <cell r="BU116">
            <v>0</v>
          </cell>
          <cell r="BZ116">
            <v>55</v>
          </cell>
          <cell r="CA116">
            <v>0</v>
          </cell>
          <cell r="CF116">
            <v>55</v>
          </cell>
          <cell r="CG116">
            <v>0</v>
          </cell>
        </row>
        <row r="117">
          <cell r="BQ117" t="str">
            <v xml:space="preserve"> </v>
          </cell>
          <cell r="BT117" t="str">
            <v xml:space="preserve"> </v>
          </cell>
          <cell r="BU117">
            <v>0</v>
          </cell>
          <cell r="BZ117" t="str">
            <v xml:space="preserve"> </v>
          </cell>
          <cell r="CA117">
            <v>0</v>
          </cell>
          <cell r="CF117" t="str">
            <v xml:space="preserve"> </v>
          </cell>
          <cell r="CG117">
            <v>0</v>
          </cell>
        </row>
        <row r="118">
          <cell r="BQ118">
            <v>56</v>
          </cell>
          <cell r="BT118">
            <v>56</v>
          </cell>
          <cell r="BU118" t="str">
            <v xml:space="preserve"> </v>
          </cell>
          <cell r="BZ118">
            <v>56</v>
          </cell>
          <cell r="CA118" t="str">
            <v xml:space="preserve"> </v>
          </cell>
          <cell r="CF118">
            <v>56</v>
          </cell>
          <cell r="CG118" t="str">
            <v xml:space="preserve"> </v>
          </cell>
        </row>
        <row r="119">
          <cell r="BQ119" t="str">
            <v xml:space="preserve"> </v>
          </cell>
          <cell r="BT119" t="str">
            <v xml:space="preserve"> </v>
          </cell>
          <cell r="BU119" t="str">
            <v xml:space="preserve"> </v>
          </cell>
          <cell r="BZ119" t="str">
            <v xml:space="preserve"> </v>
          </cell>
          <cell r="CA119" t="str">
            <v xml:space="preserve"> </v>
          </cell>
          <cell r="CF119" t="str">
            <v xml:space="preserve"> </v>
          </cell>
          <cell r="CG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Инструкция"/>
      <sheetName val="реквизиты"/>
      <sheetName val="регистрация"/>
    </sheetNames>
    <sheetDataSet>
      <sheetData sheetId="0" refreshError="1"/>
      <sheetData sheetId="1" refreshError="1"/>
      <sheetData sheetId="2">
        <row r="2">
          <cell r="A2" t="str">
            <v>ВСЕРОССИЙСКИЕ СОРЕВНОВАНИЯ ПО САМБО "ПАМЯТЬ" СРЕДИ МУЖЧИН И ЖЕНЩИН</v>
          </cell>
        </row>
        <row r="3">
          <cell r="A3" t="str">
            <v>29-31 марта  2019 года                          г.Екатеринбург</v>
          </cell>
        </row>
        <row r="6">
          <cell r="A6" t="str">
            <v>Гл. судья, судья ВК</v>
          </cell>
          <cell r="G6" t="str">
            <v>А.С.Тимошин</v>
          </cell>
        </row>
        <row r="7">
          <cell r="G7" t="str">
            <v>/г.Рыбинск/</v>
          </cell>
        </row>
        <row r="8">
          <cell r="A8" t="str">
            <v>Гл. секретарь, судья ВК</v>
          </cell>
          <cell r="G8" t="str">
            <v>Д.П.Сапунов</v>
          </cell>
        </row>
        <row r="9">
          <cell r="G9" t="str">
            <v>/г.Качканар/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6.xml"/><Relationship Id="rId18" Type="http://schemas.openxmlformats.org/officeDocument/2006/relationships/ctrlProp" Target="../ctrlProps/ctrlProp21.xml"/><Relationship Id="rId26" Type="http://schemas.openxmlformats.org/officeDocument/2006/relationships/ctrlProp" Target="../ctrlProps/ctrlProp29.xml"/><Relationship Id="rId39" Type="http://schemas.openxmlformats.org/officeDocument/2006/relationships/ctrlProp" Target="../ctrlProps/ctrlProp42.xml"/><Relationship Id="rId21" Type="http://schemas.openxmlformats.org/officeDocument/2006/relationships/ctrlProp" Target="../ctrlProps/ctrlProp24.xml"/><Relationship Id="rId34" Type="http://schemas.openxmlformats.org/officeDocument/2006/relationships/ctrlProp" Target="../ctrlProps/ctrlProp37.xml"/><Relationship Id="rId42" Type="http://schemas.openxmlformats.org/officeDocument/2006/relationships/ctrlProp" Target="../ctrlProps/ctrlProp45.xml"/><Relationship Id="rId47" Type="http://schemas.openxmlformats.org/officeDocument/2006/relationships/ctrlProp" Target="../ctrlProps/ctrlProp50.xml"/><Relationship Id="rId50" Type="http://schemas.openxmlformats.org/officeDocument/2006/relationships/ctrlProp" Target="../ctrlProps/ctrlProp53.xml"/><Relationship Id="rId55" Type="http://schemas.openxmlformats.org/officeDocument/2006/relationships/ctrlProp" Target="../ctrlProps/ctrlProp58.xml"/><Relationship Id="rId7" Type="http://schemas.openxmlformats.org/officeDocument/2006/relationships/ctrlProp" Target="../ctrlProps/ctrlProp10.xml"/><Relationship Id="rId12" Type="http://schemas.openxmlformats.org/officeDocument/2006/relationships/ctrlProp" Target="../ctrlProps/ctrlProp15.xml"/><Relationship Id="rId17" Type="http://schemas.openxmlformats.org/officeDocument/2006/relationships/ctrlProp" Target="../ctrlProps/ctrlProp20.xml"/><Relationship Id="rId25" Type="http://schemas.openxmlformats.org/officeDocument/2006/relationships/ctrlProp" Target="../ctrlProps/ctrlProp28.xml"/><Relationship Id="rId33" Type="http://schemas.openxmlformats.org/officeDocument/2006/relationships/ctrlProp" Target="../ctrlProps/ctrlProp36.xml"/><Relationship Id="rId38" Type="http://schemas.openxmlformats.org/officeDocument/2006/relationships/ctrlProp" Target="../ctrlProps/ctrlProp41.xml"/><Relationship Id="rId46" Type="http://schemas.openxmlformats.org/officeDocument/2006/relationships/ctrlProp" Target="../ctrlProps/ctrlProp49.xml"/><Relationship Id="rId59" Type="http://schemas.openxmlformats.org/officeDocument/2006/relationships/ctrlProp" Target="../ctrlProps/ctrlProp6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9.xml"/><Relationship Id="rId20" Type="http://schemas.openxmlformats.org/officeDocument/2006/relationships/ctrlProp" Target="../ctrlProps/ctrlProp23.xml"/><Relationship Id="rId29" Type="http://schemas.openxmlformats.org/officeDocument/2006/relationships/ctrlProp" Target="../ctrlProps/ctrlProp32.xml"/><Relationship Id="rId41" Type="http://schemas.openxmlformats.org/officeDocument/2006/relationships/ctrlProp" Target="../ctrlProps/ctrlProp44.xml"/><Relationship Id="rId54" Type="http://schemas.openxmlformats.org/officeDocument/2006/relationships/ctrlProp" Target="../ctrlProps/ctrlProp57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9.xml"/><Relationship Id="rId11" Type="http://schemas.openxmlformats.org/officeDocument/2006/relationships/ctrlProp" Target="../ctrlProps/ctrlProp14.xml"/><Relationship Id="rId24" Type="http://schemas.openxmlformats.org/officeDocument/2006/relationships/ctrlProp" Target="../ctrlProps/ctrlProp27.xml"/><Relationship Id="rId32" Type="http://schemas.openxmlformats.org/officeDocument/2006/relationships/ctrlProp" Target="../ctrlProps/ctrlProp35.xml"/><Relationship Id="rId37" Type="http://schemas.openxmlformats.org/officeDocument/2006/relationships/ctrlProp" Target="../ctrlProps/ctrlProp40.xml"/><Relationship Id="rId40" Type="http://schemas.openxmlformats.org/officeDocument/2006/relationships/ctrlProp" Target="../ctrlProps/ctrlProp43.xml"/><Relationship Id="rId45" Type="http://schemas.openxmlformats.org/officeDocument/2006/relationships/ctrlProp" Target="../ctrlProps/ctrlProp48.xml"/><Relationship Id="rId53" Type="http://schemas.openxmlformats.org/officeDocument/2006/relationships/ctrlProp" Target="../ctrlProps/ctrlProp56.xml"/><Relationship Id="rId58" Type="http://schemas.openxmlformats.org/officeDocument/2006/relationships/ctrlProp" Target="../ctrlProps/ctrlProp61.xml"/><Relationship Id="rId5" Type="http://schemas.openxmlformats.org/officeDocument/2006/relationships/ctrlProp" Target="../ctrlProps/ctrlProp8.xml"/><Relationship Id="rId15" Type="http://schemas.openxmlformats.org/officeDocument/2006/relationships/ctrlProp" Target="../ctrlProps/ctrlProp18.xml"/><Relationship Id="rId23" Type="http://schemas.openxmlformats.org/officeDocument/2006/relationships/ctrlProp" Target="../ctrlProps/ctrlProp26.xml"/><Relationship Id="rId28" Type="http://schemas.openxmlformats.org/officeDocument/2006/relationships/ctrlProp" Target="../ctrlProps/ctrlProp31.xml"/><Relationship Id="rId36" Type="http://schemas.openxmlformats.org/officeDocument/2006/relationships/ctrlProp" Target="../ctrlProps/ctrlProp39.xml"/><Relationship Id="rId49" Type="http://schemas.openxmlformats.org/officeDocument/2006/relationships/ctrlProp" Target="../ctrlProps/ctrlProp52.xml"/><Relationship Id="rId57" Type="http://schemas.openxmlformats.org/officeDocument/2006/relationships/ctrlProp" Target="../ctrlProps/ctrlProp60.xml"/><Relationship Id="rId10" Type="http://schemas.openxmlformats.org/officeDocument/2006/relationships/ctrlProp" Target="../ctrlProps/ctrlProp13.xml"/><Relationship Id="rId19" Type="http://schemas.openxmlformats.org/officeDocument/2006/relationships/ctrlProp" Target="../ctrlProps/ctrlProp22.xml"/><Relationship Id="rId31" Type="http://schemas.openxmlformats.org/officeDocument/2006/relationships/ctrlProp" Target="../ctrlProps/ctrlProp34.xml"/><Relationship Id="rId44" Type="http://schemas.openxmlformats.org/officeDocument/2006/relationships/ctrlProp" Target="../ctrlProps/ctrlProp47.xml"/><Relationship Id="rId52" Type="http://schemas.openxmlformats.org/officeDocument/2006/relationships/ctrlProp" Target="../ctrlProps/ctrlProp55.xml"/><Relationship Id="rId60" Type="http://schemas.openxmlformats.org/officeDocument/2006/relationships/ctrlProp" Target="../ctrlProps/ctrlProp63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Relationship Id="rId14" Type="http://schemas.openxmlformats.org/officeDocument/2006/relationships/ctrlProp" Target="../ctrlProps/ctrlProp17.xml"/><Relationship Id="rId22" Type="http://schemas.openxmlformats.org/officeDocument/2006/relationships/ctrlProp" Target="../ctrlProps/ctrlProp25.xml"/><Relationship Id="rId27" Type="http://schemas.openxmlformats.org/officeDocument/2006/relationships/ctrlProp" Target="../ctrlProps/ctrlProp30.xml"/><Relationship Id="rId30" Type="http://schemas.openxmlformats.org/officeDocument/2006/relationships/ctrlProp" Target="../ctrlProps/ctrlProp33.xml"/><Relationship Id="rId35" Type="http://schemas.openxmlformats.org/officeDocument/2006/relationships/ctrlProp" Target="../ctrlProps/ctrlProp38.xml"/><Relationship Id="rId43" Type="http://schemas.openxmlformats.org/officeDocument/2006/relationships/ctrlProp" Target="../ctrlProps/ctrlProp46.xml"/><Relationship Id="rId48" Type="http://schemas.openxmlformats.org/officeDocument/2006/relationships/ctrlProp" Target="../ctrlProps/ctrlProp51.xml"/><Relationship Id="rId56" Type="http://schemas.openxmlformats.org/officeDocument/2006/relationships/ctrlProp" Target="../ctrlProps/ctrlProp59.xml"/><Relationship Id="rId8" Type="http://schemas.openxmlformats.org/officeDocument/2006/relationships/ctrlProp" Target="../ctrlProps/ctrlProp11.xml"/><Relationship Id="rId51" Type="http://schemas.openxmlformats.org/officeDocument/2006/relationships/ctrlProp" Target="../ctrlProps/ctrlProp54.xml"/><Relationship Id="rId3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2">
    <tabColor indexed="17"/>
  </sheetPr>
  <dimension ref="A1:AL84"/>
  <sheetViews>
    <sheetView topLeftCell="A4" zoomScaleNormal="100" workbookViewId="0">
      <selection activeCell="G77" sqref="G77"/>
    </sheetView>
  </sheetViews>
  <sheetFormatPr defaultColWidth="8.81640625" defaultRowHeight="12.5"/>
  <cols>
    <col min="1" max="2" width="5.1796875" style="131" customWidth="1"/>
    <col min="3" max="3" width="24.453125" style="131" customWidth="1"/>
    <col min="4" max="4" width="13.81640625" style="131" customWidth="1"/>
    <col min="5" max="5" width="6.1796875" style="131" customWidth="1"/>
    <col min="6" max="6" width="15.54296875" style="131" customWidth="1"/>
    <col min="7" max="7" width="10" style="131" customWidth="1"/>
    <col min="8" max="8" width="17.81640625" style="131" customWidth="1"/>
    <col min="9" max="9" width="2.1796875" style="131" customWidth="1"/>
    <col min="10" max="11" width="4.1796875" style="131" hidden="1" customWidth="1"/>
    <col min="12" max="12" width="13.453125" style="131" hidden="1" customWidth="1"/>
    <col min="13" max="15" width="4.1796875" style="131" hidden="1" customWidth="1"/>
    <col min="16" max="16" width="10.81640625" style="131" hidden="1" customWidth="1"/>
    <col min="17" max="19" width="4.1796875" style="131" hidden="1" customWidth="1"/>
    <col min="20" max="20" width="5.1796875" style="131" hidden="1" customWidth="1"/>
    <col min="21" max="24" width="4.1796875" style="131" hidden="1" customWidth="1"/>
    <col min="25" max="25" width="17.1796875" style="131" customWidth="1"/>
    <col min="26" max="26" width="4.1796875" style="131" customWidth="1"/>
    <col min="27" max="27" width="4.453125" style="131" customWidth="1"/>
    <col min="28" max="33" width="4.81640625" style="131" customWidth="1"/>
    <col min="34" max="34" width="4.1796875" style="131" customWidth="1"/>
    <col min="35" max="35" width="2.54296875" style="131" customWidth="1"/>
    <col min="36" max="38" width="4.1796875" style="131" customWidth="1"/>
    <col min="39" max="16384" width="8.81640625" style="131"/>
  </cols>
  <sheetData>
    <row r="1" spans="1:35" ht="21" customHeight="1">
      <c r="A1" s="262" t="s">
        <v>157</v>
      </c>
      <c r="B1" s="262"/>
      <c r="C1" s="262"/>
      <c r="D1" s="262"/>
      <c r="E1" s="262"/>
      <c r="F1" s="262"/>
      <c r="G1" s="262"/>
      <c r="H1" s="262"/>
    </row>
    <row r="2" spans="1:35" ht="41.25" customHeight="1">
      <c r="A2" s="272" t="str">
        <f>[4]реквизиты!$A$2:$K$2</f>
        <v>ВСЕРОССИЙСКИЕ СОРЕВНОВАНИЯ ПО САМБО "ПАМЯТЬ" СРЕДИ МУЖЧИН И ЖЕНЩИН</v>
      </c>
      <c r="B2" s="272"/>
      <c r="C2" s="272"/>
      <c r="D2" s="272"/>
      <c r="E2" s="272"/>
      <c r="F2" s="272"/>
      <c r="G2" s="272"/>
      <c r="H2" s="272"/>
      <c r="I2" s="132"/>
      <c r="J2" s="132"/>
      <c r="K2" s="132"/>
    </row>
    <row r="3" spans="1:35" ht="15" customHeight="1">
      <c r="A3" s="263" t="str">
        <f>[4]реквизиты!$A$3:$K$3</f>
        <v>29-31 марта  2019 года                          г.Екатеринбург</v>
      </c>
      <c r="B3" s="263"/>
      <c r="C3" s="263"/>
      <c r="D3" s="263"/>
      <c r="E3" s="263"/>
      <c r="F3" s="263"/>
      <c r="G3" s="263"/>
      <c r="H3" s="263"/>
    </row>
    <row r="4" spans="1:35" ht="15.75" customHeight="1">
      <c r="D4" s="177" t="s">
        <v>177</v>
      </c>
      <c r="E4" s="133"/>
      <c r="Y4" s="264" t="s">
        <v>104</v>
      </c>
      <c r="Z4" s="264"/>
      <c r="AA4" s="264"/>
      <c r="AB4" s="264"/>
      <c r="AC4" s="264"/>
      <c r="AD4" s="264"/>
      <c r="AE4" s="264"/>
    </row>
    <row r="5" spans="1:35" ht="13.4" customHeight="1" thickBot="1">
      <c r="A5" s="265" t="s">
        <v>1</v>
      </c>
      <c r="B5" s="267" t="s">
        <v>5</v>
      </c>
      <c r="C5" s="265" t="s">
        <v>2</v>
      </c>
      <c r="D5" s="265" t="s">
        <v>3</v>
      </c>
      <c r="E5" s="268" t="s">
        <v>4</v>
      </c>
      <c r="F5" s="269"/>
      <c r="G5" s="265" t="s">
        <v>8</v>
      </c>
      <c r="H5" s="265" t="s">
        <v>9</v>
      </c>
      <c r="Q5" s="261"/>
      <c r="R5" s="261"/>
      <c r="S5" s="261"/>
      <c r="T5" s="134"/>
      <c r="U5" s="134"/>
      <c r="V5" s="134"/>
      <c r="W5" s="134"/>
      <c r="X5" s="134"/>
      <c r="Y5" s="135"/>
      <c r="Z5" s="136"/>
      <c r="AA5" s="136"/>
      <c r="AB5" s="136"/>
      <c r="AC5" s="136"/>
      <c r="AD5" s="136"/>
      <c r="AE5" s="136"/>
    </row>
    <row r="6" spans="1:35" ht="13.4" customHeight="1" thickBot="1">
      <c r="A6" s="266"/>
      <c r="B6" s="266"/>
      <c r="C6" s="266"/>
      <c r="D6" s="266"/>
      <c r="E6" s="270"/>
      <c r="F6" s="271"/>
      <c r="G6" s="266"/>
      <c r="H6" s="266"/>
      <c r="J6" s="137"/>
      <c r="K6" s="137"/>
      <c r="L6" s="137"/>
      <c r="M6" s="137"/>
      <c r="N6" s="137"/>
      <c r="O6" s="137"/>
      <c r="P6" s="138"/>
      <c r="Q6" s="138" t="str">
        <f>N7</f>
        <v>КМС</v>
      </c>
      <c r="R6" s="138" t="str">
        <f>N8</f>
        <v>МС</v>
      </c>
      <c r="S6" s="139" t="str">
        <f>N9</f>
        <v/>
      </c>
      <c r="T6" s="139" t="str">
        <f>N10</f>
        <v/>
      </c>
      <c r="U6" s="139" t="str">
        <f>N11</f>
        <v/>
      </c>
      <c r="V6" s="139" t="str">
        <f>N12</f>
        <v/>
      </c>
      <c r="W6" s="139" t="str">
        <f>N13</f>
        <v/>
      </c>
      <c r="X6" s="140"/>
      <c r="Y6" s="141" t="s">
        <v>103</v>
      </c>
      <c r="Z6" s="142" t="str">
        <f t="shared" ref="Z6:AF6" si="0">Q6</f>
        <v>КМС</v>
      </c>
      <c r="AA6" s="142" t="str">
        <f t="shared" si="0"/>
        <v>МС</v>
      </c>
      <c r="AB6" s="143" t="str">
        <f t="shared" si="0"/>
        <v/>
      </c>
      <c r="AC6" s="143" t="str">
        <f t="shared" si="0"/>
        <v/>
      </c>
      <c r="AD6" s="142" t="str">
        <f t="shared" si="0"/>
        <v/>
      </c>
      <c r="AE6" s="142" t="str">
        <f t="shared" si="0"/>
        <v/>
      </c>
      <c r="AF6" s="142" t="str">
        <f t="shared" si="0"/>
        <v/>
      </c>
    </row>
    <row r="7" spans="1:35" ht="26.15" customHeight="1">
      <c r="A7" s="145" t="s">
        <v>10</v>
      </c>
      <c r="B7" s="146">
        <v>1</v>
      </c>
      <c r="C7" s="147" t="s">
        <v>168</v>
      </c>
      <c r="D7" s="148" t="s">
        <v>169</v>
      </c>
      <c r="E7" s="149" t="s">
        <v>160</v>
      </c>
      <c r="F7" s="226" t="s">
        <v>170</v>
      </c>
      <c r="G7" s="150"/>
      <c r="H7" s="151" t="s">
        <v>171</v>
      </c>
      <c r="I7" s="152"/>
      <c r="J7" s="153">
        <v>1</v>
      </c>
      <c r="K7" s="154" t="str">
        <f>IFERROR(RIGHT(D7,LEN(D7)-FIND("*",SUBSTITUTE(D7," ","*",LEN(D7)-LEN(SUBSTITUTE(D7," ",""))))),D7)</f>
        <v>КМС</v>
      </c>
      <c r="L7" s="154" t="str">
        <f>IFERROR(LEFT(F7,FIND(",",F7)-1),F7)</f>
        <v>Свердловская</v>
      </c>
      <c r="M7" s="155" t="str">
        <f t="array" ref="M7">IFERROR(INDEX(субъект,MATCH(SUM(COUNTIF(M$6:M6,субъект)),COUNTIF(субъект,"&lt;"&amp;субъект),0)),"")</f>
        <v>Курганская</v>
      </c>
      <c r="N7" s="155" t="str">
        <f t="array" ref="N7">IFERROR(INDEX(разряд,MATCH(SUM(COUNTIF(N$6:N6,разряд)),COUNTIF(разряд,"&lt;"&amp;разряд),0)),"")</f>
        <v>КМС</v>
      </c>
      <c r="O7" s="156">
        <v>1</v>
      </c>
      <c r="P7" s="157" t="str">
        <f t="shared" ref="P7:P70" si="1">M7</f>
        <v>Курганская</v>
      </c>
      <c r="Q7" s="158">
        <f t="shared" ref="Q7:Q70" si="2">SUMIFS($J$7:$J$84,$L$7:$L$84,P7,$K$7:$K$84,Q$6)</f>
        <v>0</v>
      </c>
      <c r="R7" s="158">
        <f t="shared" ref="R7:R70" si="3">SUMIFS($J$7:$J$84,$L$7:$L$84,P7,$K$7:$K$84,R$6)</f>
        <v>1</v>
      </c>
      <c r="S7" s="159">
        <f t="shared" ref="S7:S70" si="4">SUMIFS($J$7:$J$84,$L$7:$L$84,P7,$K$7:$K$84,S$6)</f>
        <v>0</v>
      </c>
      <c r="T7" s="160">
        <f t="shared" ref="T7:T70" si="5">SUMIFS($J$7:$J$84,$L$7:$L$84,P7,$K$7:$K$84,T$6)</f>
        <v>0</v>
      </c>
      <c r="U7" s="160">
        <f t="shared" ref="U7:U70" si="6">SUMIFS($J$7:$J$84,$L$7:$L$84,P7,$K$7:$K$84,U$6)</f>
        <v>0</v>
      </c>
      <c r="V7" s="160">
        <f t="shared" ref="V7:V70" si="7">SUMIFS($J$7:$J$84,$L$7:$L$84,P7,$K$7:$K$84,V$6)</f>
        <v>0</v>
      </c>
      <c r="W7" s="160">
        <f t="shared" ref="W7:W70" si="8">SUMIFS($J$7:$J$84,$L$7:$L$84,P7,$K$7:$K$84,W$6)</f>
        <v>0</v>
      </c>
      <c r="X7" s="161"/>
      <c r="Y7" s="179" t="str">
        <f>P7</f>
        <v>Курганская</v>
      </c>
      <c r="Z7" s="162" t="str">
        <f>IF(Q7=0," ",Q7)</f>
        <v xml:space="preserve"> </v>
      </c>
      <c r="AA7" s="162">
        <f>IF(R7=0," ",R7)</f>
        <v>1</v>
      </c>
      <c r="AB7" s="162" t="str">
        <f>IF(S7=0," ",S7)</f>
        <v xml:space="preserve"> </v>
      </c>
      <c r="AC7" s="162" t="str">
        <f>IF(T7=0," ",T7)</f>
        <v xml:space="preserve"> </v>
      </c>
      <c r="AD7" s="162" t="str">
        <f t="shared" ref="AD7:AF22" si="9">IF(U7=0," ",U7)</f>
        <v xml:space="preserve"> </v>
      </c>
      <c r="AE7" s="163" t="str">
        <f t="shared" si="9"/>
        <v xml:space="preserve"> </v>
      </c>
      <c r="AF7" s="163" t="str">
        <f t="shared" si="9"/>
        <v xml:space="preserve"> </v>
      </c>
      <c r="AH7" s="256">
        <f>SUM(Z7:AF70)</f>
        <v>4</v>
      </c>
      <c r="AI7" s="257"/>
    </row>
    <row r="8" spans="1:35" ht="26.15" customHeight="1" thickBot="1">
      <c r="A8" s="145" t="s">
        <v>11</v>
      </c>
      <c r="B8" s="146">
        <v>2</v>
      </c>
      <c r="C8" s="147" t="s">
        <v>164</v>
      </c>
      <c r="D8" s="148" t="s">
        <v>165</v>
      </c>
      <c r="E8" s="149" t="s">
        <v>160</v>
      </c>
      <c r="F8" s="226" t="s">
        <v>166</v>
      </c>
      <c r="G8" s="150"/>
      <c r="H8" s="151" t="s">
        <v>167</v>
      </c>
      <c r="I8" s="152"/>
      <c r="J8" s="153">
        <v>1</v>
      </c>
      <c r="K8" s="154" t="str">
        <f t="shared" ref="K8:K71" si="10">IFERROR(RIGHT(D8,LEN(D8)-FIND("*",SUBSTITUTE(D8," ","*",LEN(D8)-LEN(SUBSTITUTE(D8," ",""))))),D8)</f>
        <v>МС</v>
      </c>
      <c r="L8" s="154" t="str">
        <f t="shared" ref="L8:L22" si="11">IFERROR(LEFT(F8,FIND(",",F8)-1),F8)</f>
        <v>Курганская</v>
      </c>
      <c r="M8" s="155" t="str">
        <f t="array" ref="M8">IFERROR(INDEX(субъект,MATCH(SUM(COUNTIF(M$6:M7,субъект)),COUNTIF(субъект,"&lt;"&amp;субъект),0)),"")</f>
        <v>Свердловская</v>
      </c>
      <c r="N8" s="155" t="str">
        <f t="array" ref="N8">IFERROR(INDEX(разряд,MATCH(SUM(COUNTIF(N$6:N7,разряд)),COUNTIF(разряд,"&lt;"&amp;разряд),0)),"")</f>
        <v>МС</v>
      </c>
      <c r="O8" s="156">
        <v>2</v>
      </c>
      <c r="P8" s="157" t="str">
        <f t="shared" si="1"/>
        <v>Свердловская</v>
      </c>
      <c r="Q8" s="158">
        <f t="shared" si="2"/>
        <v>2</v>
      </c>
      <c r="R8" s="158">
        <f t="shared" si="3"/>
        <v>0</v>
      </c>
      <c r="S8" s="159">
        <f t="shared" si="4"/>
        <v>0</v>
      </c>
      <c r="T8" s="160">
        <f t="shared" si="5"/>
        <v>0</v>
      </c>
      <c r="U8" s="160">
        <f t="shared" si="6"/>
        <v>0</v>
      </c>
      <c r="V8" s="160">
        <f t="shared" si="7"/>
        <v>0</v>
      </c>
      <c r="W8" s="160">
        <f t="shared" si="8"/>
        <v>0</v>
      </c>
      <c r="X8" s="164"/>
      <c r="Y8" s="180" t="str">
        <f t="shared" ref="Y8:Y22" si="12">P8</f>
        <v>Свердловская</v>
      </c>
      <c r="Z8" s="163">
        <f>IF($Y$8=$Y$7," ",IF(Q8=0," ",Q8))</f>
        <v>2</v>
      </c>
      <c r="AA8" s="163" t="str">
        <f>IF($Y$8=$Y$7," ",IF(R8=0," ",R8))</f>
        <v xml:space="preserve"> </v>
      </c>
      <c r="AB8" s="163" t="str">
        <f>IF($Y$8=$Y$7," ",IF(S8=0," ",S8))</f>
        <v xml:space="preserve"> </v>
      </c>
      <c r="AC8" s="163" t="str">
        <f>IF($Y$8=$Y$7," ",IF(T8=0," ",T8))</f>
        <v xml:space="preserve"> </v>
      </c>
      <c r="AD8" s="163" t="str">
        <f t="shared" si="9"/>
        <v xml:space="preserve"> </v>
      </c>
      <c r="AE8" s="163" t="str">
        <f t="shared" si="9"/>
        <v xml:space="preserve"> </v>
      </c>
      <c r="AF8" s="163" t="str">
        <f t="shared" si="9"/>
        <v xml:space="preserve"> </v>
      </c>
      <c r="AH8" s="258"/>
      <c r="AI8" s="259"/>
    </row>
    <row r="9" spans="1:35" ht="26.15" customHeight="1">
      <c r="A9" s="145" t="s">
        <v>12</v>
      </c>
      <c r="B9" s="146">
        <v>3</v>
      </c>
      <c r="C9" s="147" t="s">
        <v>174</v>
      </c>
      <c r="D9" s="148" t="s">
        <v>175</v>
      </c>
      <c r="E9" s="149" t="s">
        <v>160</v>
      </c>
      <c r="F9" s="226" t="s">
        <v>163</v>
      </c>
      <c r="G9" s="150"/>
      <c r="H9" s="151" t="s">
        <v>176</v>
      </c>
      <c r="I9" s="152"/>
      <c r="J9" s="153">
        <v>1</v>
      </c>
      <c r="K9" s="154" t="str">
        <f t="shared" si="10"/>
        <v>КМС</v>
      </c>
      <c r="L9" s="154" t="str">
        <f t="shared" si="11"/>
        <v>Свердловская</v>
      </c>
      <c r="M9" s="155" t="str">
        <f t="array" ref="M9">IFERROR(INDEX(субъект,MATCH(SUM(COUNTIF(M$6:M8,субъект)),COUNTIF(субъект,"&lt;"&amp;субъект),0)),"")</f>
        <v>Челябинская</v>
      </c>
      <c r="N9" s="155" t="str">
        <f t="array" ref="N9">IFERROR(INDEX(разряд,MATCH(SUM(COUNTIF(N$6:N8,разряд)),COUNTIF(разряд,"&lt;"&amp;разряд),0)),"")</f>
        <v/>
      </c>
      <c r="O9" s="156">
        <v>3</v>
      </c>
      <c r="P9" s="157" t="str">
        <f t="shared" si="1"/>
        <v>Челябинская</v>
      </c>
      <c r="Q9" s="158">
        <f t="shared" si="2"/>
        <v>1</v>
      </c>
      <c r="R9" s="158">
        <f t="shared" si="3"/>
        <v>0</v>
      </c>
      <c r="S9" s="159">
        <f t="shared" si="4"/>
        <v>0</v>
      </c>
      <c r="T9" s="160">
        <f t="shared" si="5"/>
        <v>0</v>
      </c>
      <c r="U9" s="160">
        <f t="shared" si="6"/>
        <v>0</v>
      </c>
      <c r="V9" s="160">
        <f t="shared" si="7"/>
        <v>0</v>
      </c>
      <c r="W9" s="160">
        <f t="shared" si="8"/>
        <v>0</v>
      </c>
      <c r="X9" s="164"/>
      <c r="Y9" s="180" t="str">
        <f t="shared" si="12"/>
        <v>Челябинская</v>
      </c>
      <c r="Z9" s="163">
        <f>IF(OR($Y9=$Y7,$Y9=$Y8)," ",IF(Q9=0," ",Q9))</f>
        <v>1</v>
      </c>
      <c r="AA9" s="163" t="str">
        <f>IF(OR($Y9=$Y7,$Y9=$Y8)," ",IF(R9=0," ",R9))</f>
        <v xml:space="preserve"> </v>
      </c>
      <c r="AB9" s="163" t="str">
        <f>IF(OR($Y9=$Y7,$Y9=$Y8)," ",IF(S9=0," ",S9))</f>
        <v xml:space="preserve"> </v>
      </c>
      <c r="AC9" s="163" t="str">
        <f>IF(OR($Y9=$Y7,$Y9=$Y8)," ",IF(T9=0," ",T9))</f>
        <v xml:space="preserve"> </v>
      </c>
      <c r="AD9" s="163" t="str">
        <f t="shared" si="9"/>
        <v xml:space="preserve"> </v>
      </c>
      <c r="AE9" s="163" t="str">
        <f t="shared" si="9"/>
        <v xml:space="preserve"> </v>
      </c>
      <c r="AF9" s="163" t="str">
        <f t="shared" si="9"/>
        <v xml:space="preserve"> </v>
      </c>
    </row>
    <row r="10" spans="1:35" ht="26.15" customHeight="1">
      <c r="A10" s="145" t="s">
        <v>13</v>
      </c>
      <c r="B10" s="146">
        <v>4</v>
      </c>
      <c r="C10" s="147" t="s">
        <v>172</v>
      </c>
      <c r="D10" s="148" t="s">
        <v>173</v>
      </c>
      <c r="E10" s="149" t="s">
        <v>160</v>
      </c>
      <c r="F10" s="226" t="s">
        <v>161</v>
      </c>
      <c r="G10" s="150"/>
      <c r="H10" s="151" t="s">
        <v>162</v>
      </c>
      <c r="I10" s="152"/>
      <c r="J10" s="153">
        <v>1</v>
      </c>
      <c r="K10" s="154" t="str">
        <f t="shared" si="10"/>
        <v>КМС</v>
      </c>
      <c r="L10" s="154" t="str">
        <f t="shared" si="11"/>
        <v>Челябинская</v>
      </c>
      <c r="M10" s="155" t="str">
        <f t="array" ref="M10">IFERROR(INDEX(субъект,MATCH(SUM(COUNTIF(M$6:M9,субъект)),COUNTIF(субъект,"&lt;"&amp;субъект),0)),"")</f>
        <v/>
      </c>
      <c r="N10" s="155" t="str">
        <f t="array" ref="N10">IFERROR(INDEX(разряд,MATCH(SUM(COUNTIF(N$6:N9,разряд)),COUNTIF(разряд,"&lt;"&amp;разряд),0)),"")</f>
        <v/>
      </c>
      <c r="O10" s="156">
        <v>4</v>
      </c>
      <c r="P10" s="157" t="str">
        <f t="shared" si="1"/>
        <v/>
      </c>
      <c r="Q10" s="158">
        <f t="shared" si="2"/>
        <v>0</v>
      </c>
      <c r="R10" s="158">
        <f t="shared" si="3"/>
        <v>0</v>
      </c>
      <c r="S10" s="159">
        <f t="shared" si="4"/>
        <v>0</v>
      </c>
      <c r="T10" s="160">
        <f t="shared" si="5"/>
        <v>0</v>
      </c>
      <c r="U10" s="160">
        <f t="shared" si="6"/>
        <v>0</v>
      </c>
      <c r="V10" s="160">
        <f t="shared" si="7"/>
        <v>0</v>
      </c>
      <c r="W10" s="160">
        <f t="shared" si="8"/>
        <v>0</v>
      </c>
      <c r="X10" s="140"/>
      <c r="Y10" s="180" t="str">
        <f t="shared" si="12"/>
        <v/>
      </c>
      <c r="Z10" s="163" t="str">
        <f>IF(OR($Y10=$Y8,$Y10=$Y9,$Y10=$Y7)," ",IF(Q10=0," ",Q10))</f>
        <v xml:space="preserve"> </v>
      </c>
      <c r="AA10" s="163" t="str">
        <f>IF(OR($Y10=$Y8,$Y10=$Y9,$Y10=$Y7)," ",IF(R10=0," ",R10))</f>
        <v xml:space="preserve"> </v>
      </c>
      <c r="AB10" s="163" t="str">
        <f>IF(OR($Y10=$Y8,$Y10=$Y9,$Y10=$Y7)," ",IF(S10=0," ",S10))</f>
        <v xml:space="preserve"> </v>
      </c>
      <c r="AC10" s="163" t="str">
        <f>IF(OR($Y10=$Y8,$Y10=$Y9,$Y10=$Y7)," ",IF(T10=0," ",T10))</f>
        <v xml:space="preserve"> </v>
      </c>
      <c r="AD10" s="163" t="str">
        <f t="shared" si="9"/>
        <v xml:space="preserve"> </v>
      </c>
      <c r="AE10" s="163" t="str">
        <f t="shared" si="9"/>
        <v xml:space="preserve"> </v>
      </c>
      <c r="AF10" s="163" t="str">
        <f t="shared" si="9"/>
        <v xml:space="preserve"> </v>
      </c>
    </row>
    <row r="11" spans="1:35" ht="26.15" customHeight="1">
      <c r="A11" s="145" t="s">
        <v>14</v>
      </c>
      <c r="B11" s="146"/>
      <c r="C11" s="147"/>
      <c r="D11" s="148"/>
      <c r="E11" s="149"/>
      <c r="F11" s="226"/>
      <c r="G11" s="150"/>
      <c r="H11" s="151"/>
      <c r="I11" s="152"/>
      <c r="J11" s="153">
        <v>1</v>
      </c>
      <c r="K11" s="154">
        <f t="shared" si="10"/>
        <v>0</v>
      </c>
      <c r="L11" s="154">
        <f t="shared" si="11"/>
        <v>0</v>
      </c>
      <c r="M11" s="155" t="str">
        <f t="array" ref="M11">IFERROR(INDEX(субъект,MATCH(SUM(COUNTIF(M$6:M10,субъект)),COUNTIF(субъект,"&lt;"&amp;субъект),0)),"")</f>
        <v/>
      </c>
      <c r="N11" s="155" t="str">
        <f t="array" ref="N11">IFERROR(INDEX(разряд,MATCH(SUM(COUNTIF(N$6:N10,разряд)),COUNTIF(разряд,"&lt;"&amp;разряд),0)),"")</f>
        <v/>
      </c>
      <c r="O11" s="156">
        <v>5</v>
      </c>
      <c r="P11" s="157" t="str">
        <f t="shared" si="1"/>
        <v/>
      </c>
      <c r="Q11" s="158">
        <f t="shared" si="2"/>
        <v>0</v>
      </c>
      <c r="R11" s="158">
        <f t="shared" si="3"/>
        <v>0</v>
      </c>
      <c r="S11" s="159">
        <f t="shared" si="4"/>
        <v>0</v>
      </c>
      <c r="T11" s="160">
        <f t="shared" si="5"/>
        <v>0</v>
      </c>
      <c r="U11" s="160">
        <f t="shared" si="6"/>
        <v>0</v>
      </c>
      <c r="V11" s="160">
        <f t="shared" si="7"/>
        <v>0</v>
      </c>
      <c r="W11" s="160">
        <f t="shared" si="8"/>
        <v>0</v>
      </c>
      <c r="X11" s="164"/>
      <c r="Y11" s="180" t="str">
        <f t="shared" si="12"/>
        <v/>
      </c>
      <c r="Z11" s="163" t="str">
        <f>IF(OR($Y11=$Y9,$Y11=$Y10,$Y11=$Y8,$Y11=$Y7)," ",IF(Q11=0," ",Q11))</f>
        <v xml:space="preserve"> </v>
      </c>
      <c r="AA11" s="163" t="str">
        <f>IF(OR($Y11=$Y9,$Y11=$Y10,$Y11=$Y8,$Y11=$Y7)," ",IF(R11=0," ",R11))</f>
        <v xml:space="preserve"> </v>
      </c>
      <c r="AB11" s="163" t="str">
        <f>IF(OR($Y11=$Y9,$Y11=$Y10,$Y11=$Y8,$Y11=$Y7)," ",IF(S11=0," ",S11))</f>
        <v xml:space="preserve"> </v>
      </c>
      <c r="AC11" s="163" t="str">
        <f>IF(OR($Y11=$Y9,$Y11=$Y10,$Y11=$Y8,$Y11=$Y7)," ",IF(T11=0," ",T11))</f>
        <v xml:space="preserve"> </v>
      </c>
      <c r="AD11" s="163" t="str">
        <f t="shared" si="9"/>
        <v xml:space="preserve"> </v>
      </c>
      <c r="AE11" s="163" t="str">
        <f t="shared" si="9"/>
        <v xml:space="preserve"> </v>
      </c>
      <c r="AF11" s="163" t="str">
        <f t="shared" si="9"/>
        <v xml:space="preserve"> </v>
      </c>
    </row>
    <row r="12" spans="1:35" ht="26.15" customHeight="1">
      <c r="A12" s="145" t="s">
        <v>15</v>
      </c>
      <c r="B12" s="146"/>
      <c r="C12" s="147"/>
      <c r="D12" s="148"/>
      <c r="E12" s="149"/>
      <c r="F12" s="226"/>
      <c r="G12" s="150"/>
      <c r="H12" s="151"/>
      <c r="I12" s="152"/>
      <c r="J12" s="153">
        <v>1</v>
      </c>
      <c r="K12" s="154">
        <f t="shared" si="10"/>
        <v>0</v>
      </c>
      <c r="L12" s="154">
        <f t="shared" si="11"/>
        <v>0</v>
      </c>
      <c r="M12" s="155" t="str">
        <f t="array" ref="M12">IFERROR(INDEX(субъект,MATCH(SUM(COUNTIF(M$6:M11,субъект)),COUNTIF(субъект,"&lt;"&amp;субъект),0)),"")</f>
        <v/>
      </c>
      <c r="N12" s="155" t="str">
        <f t="array" ref="N12">IFERROR(INDEX(разряд,MATCH(SUM(COUNTIF(N$6:N11,разряд)),COUNTIF(разряд,"&lt;"&amp;разряд),0)),"")</f>
        <v/>
      </c>
      <c r="O12" s="156">
        <v>6</v>
      </c>
      <c r="P12" s="157" t="str">
        <f t="shared" si="1"/>
        <v/>
      </c>
      <c r="Q12" s="158">
        <f t="shared" si="2"/>
        <v>0</v>
      </c>
      <c r="R12" s="158">
        <f t="shared" si="3"/>
        <v>0</v>
      </c>
      <c r="S12" s="159">
        <f t="shared" si="4"/>
        <v>0</v>
      </c>
      <c r="T12" s="160">
        <f t="shared" si="5"/>
        <v>0</v>
      </c>
      <c r="U12" s="160">
        <f t="shared" si="6"/>
        <v>0</v>
      </c>
      <c r="V12" s="160">
        <f t="shared" si="7"/>
        <v>0</v>
      </c>
      <c r="W12" s="160">
        <f t="shared" si="8"/>
        <v>0</v>
      </c>
      <c r="X12" s="140"/>
      <c r="Y12" s="180" t="str">
        <f t="shared" si="12"/>
        <v/>
      </c>
      <c r="Z12" s="163" t="str">
        <f>IF(OR($Y12=$Y10,$Y12=$Y11,$Y12=$Y9,$Y12=$Y8,$Y12=$Y7)," ",IF(Q12=0," ",Q12))</f>
        <v xml:space="preserve"> </v>
      </c>
      <c r="AA12" s="163" t="str">
        <f>IF(OR($Y12=$Y10,$Y12=$Y11,$Y12=$Y9,$Y12=$Y8,$Y12=$Y7)," ",IF(R12=0," ",R12))</f>
        <v xml:space="preserve"> </v>
      </c>
      <c r="AB12" s="163" t="str">
        <f>IF(OR($Y12=$Y10,$Y12=$Y11,$Y12=$Y9,$Y12=$Y8,$Y12=$Y7)," ",IF(S12=0," ",S12))</f>
        <v xml:space="preserve"> </v>
      </c>
      <c r="AC12" s="163" t="str">
        <f>IF(OR($Y12=$Y10,$Y12=$Y11,$Y12=$Y9,$Y12=$Y8,$Y12=$Y7)," ",IF(T12=0," ",T12))</f>
        <v xml:space="preserve"> </v>
      </c>
      <c r="AD12" s="163" t="str">
        <f t="shared" si="9"/>
        <v xml:space="preserve"> </v>
      </c>
      <c r="AE12" s="163" t="str">
        <f t="shared" si="9"/>
        <v xml:space="preserve"> </v>
      </c>
      <c r="AF12" s="163" t="str">
        <f t="shared" si="9"/>
        <v xml:space="preserve"> </v>
      </c>
    </row>
    <row r="13" spans="1:35" ht="26.15" customHeight="1">
      <c r="A13" s="145" t="s">
        <v>16</v>
      </c>
      <c r="B13" s="146"/>
      <c r="C13" s="147"/>
      <c r="D13" s="148"/>
      <c r="E13" s="149"/>
      <c r="F13" s="226"/>
      <c r="G13" s="150"/>
      <c r="H13" s="151"/>
      <c r="I13" s="152"/>
      <c r="J13" s="153">
        <v>1</v>
      </c>
      <c r="K13" s="154">
        <f t="shared" si="10"/>
        <v>0</v>
      </c>
      <c r="L13" s="154">
        <f t="shared" si="11"/>
        <v>0</v>
      </c>
      <c r="M13" s="155" t="str">
        <f t="array" ref="M13">IFERROR(INDEX(субъект,MATCH(SUM(COUNTIF(M$6:M12,субъект)),COUNTIF(субъект,"&lt;"&amp;субъект),0)),"")</f>
        <v/>
      </c>
      <c r="N13" s="155" t="str">
        <f t="array" ref="N13">IFERROR(INDEX(разряд,MATCH(SUM(COUNTIF(N$6:N12,разряд)),COUNTIF(разряд,"&lt;"&amp;разряд),0)),"")</f>
        <v/>
      </c>
      <c r="O13" s="156">
        <v>7</v>
      </c>
      <c r="P13" s="157" t="str">
        <f t="shared" si="1"/>
        <v/>
      </c>
      <c r="Q13" s="158">
        <f t="shared" si="2"/>
        <v>0</v>
      </c>
      <c r="R13" s="158">
        <f t="shared" si="3"/>
        <v>0</v>
      </c>
      <c r="S13" s="159">
        <f t="shared" si="4"/>
        <v>0</v>
      </c>
      <c r="T13" s="160">
        <f t="shared" si="5"/>
        <v>0</v>
      </c>
      <c r="U13" s="160">
        <f t="shared" si="6"/>
        <v>0</v>
      </c>
      <c r="V13" s="160">
        <f t="shared" si="7"/>
        <v>0</v>
      </c>
      <c r="W13" s="160">
        <f t="shared" si="8"/>
        <v>0</v>
      </c>
      <c r="X13" s="164"/>
      <c r="Y13" s="180" t="str">
        <f t="shared" si="12"/>
        <v/>
      </c>
      <c r="Z13" s="163" t="str">
        <f>IF(OR($Y13=$Y11,$Y13=$Y12,$Y13=$Y10,$Y13=$Y9,$Y13=$Y8,$Y13=$Y7)," ",IF(Q13=0," ",Q13))</f>
        <v xml:space="preserve"> </v>
      </c>
      <c r="AA13" s="163" t="str">
        <f>IF(OR($Y13=$Y11,$Y13=$Y12,$Y13=$Y10,$Y13=$Y9,$Y13=$Y8,$Y13=$Y7)," ",IF(R13=0," ",R13))</f>
        <v xml:space="preserve"> </v>
      </c>
      <c r="AB13" s="163" t="str">
        <f>IF(OR($Y13=$Y11,$Y13=$Y12,$Y13=$Y10,$Y13=$Y9,$Y13=$Y8,$Y13=$Y7)," ",IF(S13=0," ",S13))</f>
        <v xml:space="preserve"> </v>
      </c>
      <c r="AC13" s="163" t="str">
        <f>IF(OR($Y13=$Y11,$Y13=$Y12,$Y13=$Y10,$Y13=$Y9,$Y13=$Y8,$Y13=$Y7)," ",IF(T13=0," ",T13))</f>
        <v xml:space="preserve"> </v>
      </c>
      <c r="AD13" s="163" t="str">
        <f t="shared" si="9"/>
        <v xml:space="preserve"> </v>
      </c>
      <c r="AE13" s="163" t="str">
        <f t="shared" si="9"/>
        <v xml:space="preserve"> </v>
      </c>
      <c r="AF13" s="163" t="str">
        <f t="shared" si="9"/>
        <v xml:space="preserve"> </v>
      </c>
    </row>
    <row r="14" spans="1:35" ht="26.15" customHeight="1">
      <c r="A14" s="145" t="s">
        <v>17</v>
      </c>
      <c r="B14" s="146"/>
      <c r="C14" s="147"/>
      <c r="D14" s="148"/>
      <c r="E14" s="149"/>
      <c r="F14" s="226"/>
      <c r="G14" s="150"/>
      <c r="H14" s="151"/>
      <c r="I14" s="152"/>
      <c r="J14" s="153">
        <v>1</v>
      </c>
      <c r="K14" s="154">
        <f t="shared" si="10"/>
        <v>0</v>
      </c>
      <c r="L14" s="154">
        <f t="shared" si="11"/>
        <v>0</v>
      </c>
      <c r="M14" s="155" t="str">
        <f t="array" ref="M14">IFERROR(INDEX(субъект,MATCH(SUM(COUNTIF(M$6:M13,субъект)),COUNTIF(субъект,"&lt;"&amp;субъект),0)),"")</f>
        <v/>
      </c>
      <c r="N14" s="155" t="str">
        <f t="array" ref="N14">IFERROR(INDEX(разряд,MATCH(SUM(COUNTIF(N$6:N13,разряд)),COUNTIF(разряд,"&lt;"&amp;разряд),0)),"")</f>
        <v/>
      </c>
      <c r="O14" s="156">
        <v>8</v>
      </c>
      <c r="P14" s="157" t="str">
        <f t="shared" si="1"/>
        <v/>
      </c>
      <c r="Q14" s="158">
        <f t="shared" si="2"/>
        <v>0</v>
      </c>
      <c r="R14" s="158">
        <f t="shared" si="3"/>
        <v>0</v>
      </c>
      <c r="S14" s="159">
        <f t="shared" si="4"/>
        <v>0</v>
      </c>
      <c r="T14" s="160">
        <f t="shared" si="5"/>
        <v>0</v>
      </c>
      <c r="U14" s="160">
        <f t="shared" si="6"/>
        <v>0</v>
      </c>
      <c r="V14" s="160">
        <f t="shared" si="7"/>
        <v>0</v>
      </c>
      <c r="W14" s="160">
        <f t="shared" si="8"/>
        <v>0</v>
      </c>
      <c r="X14" s="164"/>
      <c r="Y14" s="180" t="str">
        <f t="shared" si="12"/>
        <v/>
      </c>
      <c r="Z14" s="163" t="str">
        <f>IF(OR($Y14=$Y12,$Y14=$Y13,$Y14=$Y11,$Y14=$Y10,$Y14=$Y9,$Y14=$Y7)," ",IF(Q14=0," ",Q14))</f>
        <v xml:space="preserve"> </v>
      </c>
      <c r="AA14" s="163" t="str">
        <f>IF(OR($Y14=$Y12,$Y14=$Y13,$Y14=$Y11,$Y14=$Y10,$Y14=$Y9,$Y14=$Y7)," ",IF(R14=0," ",R14))</f>
        <v xml:space="preserve"> </v>
      </c>
      <c r="AB14" s="163" t="str">
        <f>IF(OR($Y14=$Y12,$Y14=$Y13,$Y14=$Y11,$Y14=$Y10,$Y14=$Y9,$Y14=$Y7)," ",IF(S14=0," ",S14))</f>
        <v xml:space="preserve"> </v>
      </c>
      <c r="AC14" s="163" t="str">
        <f>IF(OR($Y14=$Y12,$Y14=$Y13,$Y14=$Y11,$Y14=$Y10,$Y14=$Y9,$Y14=$Y7)," ",IF(T14=0," ",T14))</f>
        <v xml:space="preserve"> </v>
      </c>
      <c r="AD14" s="163" t="str">
        <f t="shared" si="9"/>
        <v xml:space="preserve"> </v>
      </c>
      <c r="AE14" s="163" t="str">
        <f t="shared" si="9"/>
        <v xml:space="preserve"> </v>
      </c>
      <c r="AF14" s="163" t="str">
        <f t="shared" si="9"/>
        <v xml:space="preserve"> </v>
      </c>
    </row>
    <row r="15" spans="1:35" ht="26.15" customHeight="1">
      <c r="A15" s="145" t="s">
        <v>18</v>
      </c>
      <c r="B15" s="146"/>
      <c r="C15" s="147"/>
      <c r="D15" s="148"/>
      <c r="E15" s="149"/>
      <c r="F15" s="226"/>
      <c r="G15" s="150"/>
      <c r="H15" s="151"/>
      <c r="I15" s="152"/>
      <c r="J15" s="153">
        <v>1</v>
      </c>
      <c r="K15" s="154">
        <f t="shared" si="10"/>
        <v>0</v>
      </c>
      <c r="L15" s="154">
        <f t="shared" si="11"/>
        <v>0</v>
      </c>
      <c r="M15" s="155" t="str">
        <f t="array" ref="M15">IFERROR(INDEX(субъект,MATCH(SUM(COUNTIF(M$6:M14,субъект)),COUNTIF(субъект,"&lt;"&amp;субъект),0)),"")</f>
        <v/>
      </c>
      <c r="N15" s="155" t="str">
        <f t="array" ref="N15">IFERROR(INDEX(разряд,MATCH(SUM(COUNTIF(N$6:N14,разряд)),COUNTIF(разряд,"&lt;"&amp;разряд),0)),"")</f>
        <v/>
      </c>
      <c r="O15" s="156">
        <v>9</v>
      </c>
      <c r="P15" s="157" t="str">
        <f t="shared" si="1"/>
        <v/>
      </c>
      <c r="Q15" s="158">
        <f t="shared" si="2"/>
        <v>0</v>
      </c>
      <c r="R15" s="158">
        <f t="shared" si="3"/>
        <v>0</v>
      </c>
      <c r="S15" s="159">
        <f t="shared" si="4"/>
        <v>0</v>
      </c>
      <c r="T15" s="160">
        <f t="shared" si="5"/>
        <v>0</v>
      </c>
      <c r="U15" s="160">
        <f t="shared" si="6"/>
        <v>0</v>
      </c>
      <c r="V15" s="160">
        <f t="shared" si="7"/>
        <v>0</v>
      </c>
      <c r="W15" s="160">
        <f t="shared" si="8"/>
        <v>0</v>
      </c>
      <c r="X15" s="166"/>
      <c r="Y15" s="180" t="str">
        <f t="shared" si="12"/>
        <v/>
      </c>
      <c r="Z15" s="163" t="str">
        <f>IF(OR($Y15=$Y13,$Y15=$Y14,$Y15=$Y12,$Y15=$Y11,$Y15=$Y10,$Y15=$Y8,$Y15=$Y7)," ",IF(Q15=0," ",Q15))</f>
        <v xml:space="preserve"> </v>
      </c>
      <c r="AA15" s="163" t="str">
        <f>IF(OR($Y15=$Y13,$Y15=$Y14,$Y15=$Y12,$Y15=$Y11,$Y15=$Y10,$Y15=$Y8,$Y15=$Y7)," ",IF(R15=0," ",R15))</f>
        <v xml:space="preserve"> </v>
      </c>
      <c r="AB15" s="163" t="str">
        <f>IF(OR($Y15=$Y13,$Y15=$Y14,$Y15=$Y12,$Y15=$Y11,$Y15=$Y10,$Y15=$Y8,$Y15=$Y7)," ",IF(S15=0," ",S15))</f>
        <v xml:space="preserve"> </v>
      </c>
      <c r="AC15" s="163" t="str">
        <f>IF(OR($Y15=$Y13,$Y15=$Y14,$Y15=$Y12,$Y15=$Y11,$Y15=$Y10,$Y15=$Y8,$Y15=$Y7)," ",IF(T15=0," ",T15))</f>
        <v xml:space="preserve"> </v>
      </c>
      <c r="AD15" s="163" t="str">
        <f t="shared" si="9"/>
        <v xml:space="preserve"> </v>
      </c>
      <c r="AE15" s="163" t="str">
        <f t="shared" si="9"/>
        <v xml:space="preserve"> </v>
      </c>
      <c r="AF15" s="163" t="str">
        <f t="shared" si="9"/>
        <v xml:space="preserve"> </v>
      </c>
    </row>
    <row r="16" spans="1:35" ht="26.15" customHeight="1">
      <c r="A16" s="145" t="s">
        <v>19</v>
      </c>
      <c r="B16" s="146"/>
      <c r="C16" s="147"/>
      <c r="D16" s="148"/>
      <c r="E16" s="149"/>
      <c r="F16" s="226"/>
      <c r="G16" s="150"/>
      <c r="H16" s="151"/>
      <c r="I16" s="152"/>
      <c r="J16" s="153">
        <v>1</v>
      </c>
      <c r="K16" s="154">
        <f t="shared" si="10"/>
        <v>0</v>
      </c>
      <c r="L16" s="154">
        <f t="shared" si="11"/>
        <v>0</v>
      </c>
      <c r="M16" s="155" t="str">
        <f t="array" ref="M16">IFERROR(INDEX(субъект,MATCH(SUM(COUNTIF(M$6:M15,субъект)),COUNTIF(субъект,"&lt;"&amp;субъект),0)),"")</f>
        <v/>
      </c>
      <c r="N16" s="155" t="str">
        <f t="array" ref="N16">IFERROR(INDEX(разряд,MATCH(SUM(COUNTIF(N$6:N15,разряд)),COUNTIF(разряд,"&lt;"&amp;разряд),0)),"")</f>
        <v/>
      </c>
      <c r="O16" s="156">
        <v>10</v>
      </c>
      <c r="P16" s="157" t="str">
        <f t="shared" si="1"/>
        <v/>
      </c>
      <c r="Q16" s="158">
        <f t="shared" si="2"/>
        <v>0</v>
      </c>
      <c r="R16" s="158">
        <f t="shared" si="3"/>
        <v>0</v>
      </c>
      <c r="S16" s="159">
        <f t="shared" si="4"/>
        <v>0</v>
      </c>
      <c r="T16" s="160">
        <f t="shared" si="5"/>
        <v>0</v>
      </c>
      <c r="U16" s="160">
        <f t="shared" si="6"/>
        <v>0</v>
      </c>
      <c r="V16" s="160">
        <f t="shared" si="7"/>
        <v>0</v>
      </c>
      <c r="W16" s="160">
        <f t="shared" si="8"/>
        <v>0</v>
      </c>
      <c r="X16" s="137"/>
      <c r="Y16" s="180" t="str">
        <f t="shared" si="12"/>
        <v/>
      </c>
      <c r="Z16" s="163" t="str">
        <f>IF(OR($Y16=$Y14,$Y16=$Y15,$Y16=$Y13,$Y16=$Y12,$Y16=$Y11,$Y16=$Y9,$Y16=$Y8,$Y16=$Y7)," ",IF(Q16=0," ",Q16))</f>
        <v xml:space="preserve"> </v>
      </c>
      <c r="AA16" s="163" t="str">
        <f>IF(OR($Y16=$Y14,$Y16=$Y15,$Y16=$Y13,$Y16=$Y12,$Y16=$Y11,$Y16=$Y9,$Y16=$Y8,$Y16=$Y7)," ",IF(R16=0," ",R16))</f>
        <v xml:space="preserve"> </v>
      </c>
      <c r="AB16" s="163" t="str">
        <f>IF(OR($Y16=$Y14,$Y16=$Y15,$Y16=$Y13,$Y16=$Y12,$Y16=$Y11,$Y16=$Y9,$Y16=$Y8,$Y16=$Y7)," ",IF(S16=0," ",S16))</f>
        <v xml:space="preserve"> </v>
      </c>
      <c r="AC16" s="163" t="str">
        <f>IF(OR($Y16=$Y14,$Y16=$Y15,$Y16=$Y13,$Y16=$Y12,$Y16=$Y11,$Y16=$Y9,$Y16=$Y8,$Y16=$Y7)," ",IF(T16=0," ",T16))</f>
        <v xml:space="preserve"> </v>
      </c>
      <c r="AD16" s="163" t="str">
        <f t="shared" si="9"/>
        <v xml:space="preserve"> </v>
      </c>
      <c r="AE16" s="163" t="str">
        <f t="shared" si="9"/>
        <v xml:space="preserve"> </v>
      </c>
      <c r="AF16" s="163" t="str">
        <f t="shared" si="9"/>
        <v xml:space="preserve"> </v>
      </c>
    </row>
    <row r="17" spans="1:34" ht="26.15" hidden="1" customHeight="1">
      <c r="A17" s="145" t="s">
        <v>20</v>
      </c>
      <c r="B17" s="146"/>
      <c r="C17" s="147"/>
      <c r="D17" s="148"/>
      <c r="E17" s="149"/>
      <c r="F17" s="226"/>
      <c r="G17" s="150"/>
      <c r="H17" s="151"/>
      <c r="I17" s="152"/>
      <c r="J17" s="153">
        <v>1</v>
      </c>
      <c r="K17" s="154">
        <f t="shared" si="10"/>
        <v>0</v>
      </c>
      <c r="L17" s="154">
        <f t="shared" si="11"/>
        <v>0</v>
      </c>
      <c r="M17" s="155" t="str">
        <f t="array" ref="M17">IFERROR(INDEX(субъект,MATCH(SUM(COUNTIF(M$6:M16,субъект)),COUNTIF(субъект,"&lt;"&amp;субъект),0)),"")</f>
        <v/>
      </c>
      <c r="N17" s="155" t="str">
        <f t="array" ref="N17">IFERROR(INDEX(разряд,MATCH(SUM(COUNTIF(N$6:N16,разряд)),COUNTIF(разряд,"&lt;"&amp;разряд),0)),"")</f>
        <v/>
      </c>
      <c r="O17" s="156">
        <v>11</v>
      </c>
      <c r="P17" s="157" t="str">
        <f t="shared" si="1"/>
        <v/>
      </c>
      <c r="Q17" s="158">
        <f t="shared" si="2"/>
        <v>0</v>
      </c>
      <c r="R17" s="158">
        <f t="shared" si="3"/>
        <v>0</v>
      </c>
      <c r="S17" s="159">
        <f t="shared" si="4"/>
        <v>0</v>
      </c>
      <c r="T17" s="160">
        <f t="shared" si="5"/>
        <v>0</v>
      </c>
      <c r="U17" s="160">
        <f t="shared" si="6"/>
        <v>0</v>
      </c>
      <c r="V17" s="160">
        <f t="shared" si="7"/>
        <v>0</v>
      </c>
      <c r="W17" s="160">
        <f t="shared" si="8"/>
        <v>0</v>
      </c>
      <c r="X17" s="137"/>
      <c r="Y17" s="180" t="str">
        <f t="shared" si="12"/>
        <v/>
      </c>
      <c r="Z17" s="163" t="str">
        <f>IF(OR($Y17=$Y15,$Y17=$Y16,$Y17=$Y14,$Y17=$Y13,$Y17=$Y12,$Y17=$Y10,$Y17=$Y9,$Y17=$Y8,$Y17=$Y7)," ",IF(Q17=0," ",Q17))</f>
        <v xml:space="preserve"> </v>
      </c>
      <c r="AA17" s="163" t="str">
        <f>IF(OR($Y17=$Y15,$Y17=$Y16,$Y17=$Y14,$Y17=$Y13,$Y17=$Y12,$Y17=$Y10,$Y17=$Y9,$Y17=$Y8,$Y17=$Y7)," ",IF(R17=0," ",R17))</f>
        <v xml:space="preserve"> </v>
      </c>
      <c r="AB17" s="163" t="str">
        <f>IF(OR($Y17=$Y15,$Y17=$Y16,$Y17=$Y14,$Y17=$Y13,$Y17=$Y12,$Y17=$Y10,$Y17=$Y9,$Y17=$Y8,$Y17=$Y7)," ",IF(S17=0," ",S17))</f>
        <v xml:space="preserve"> </v>
      </c>
      <c r="AC17" s="163" t="str">
        <f>IF(OR($Y17=$Y15,$Y17=$Y16,$Y17=$Y14,$Y17=$Y13,$Y17=$Y12,$Y17=$Y10,$Y17=$Y9,$Y17=$Y8,$Y17=$Y7)," ",IF(T17=0," ",T17))</f>
        <v xml:space="preserve"> </v>
      </c>
      <c r="AD17" s="163" t="str">
        <f t="shared" si="9"/>
        <v xml:space="preserve"> </v>
      </c>
      <c r="AE17" s="163" t="str">
        <f t="shared" si="9"/>
        <v xml:space="preserve"> </v>
      </c>
      <c r="AF17" s="163" t="str">
        <f t="shared" si="9"/>
        <v xml:space="preserve"> </v>
      </c>
    </row>
    <row r="18" spans="1:34" ht="26.15" hidden="1" customHeight="1">
      <c r="A18" s="145" t="s">
        <v>21</v>
      </c>
      <c r="B18" s="146"/>
      <c r="C18" s="147"/>
      <c r="D18" s="148"/>
      <c r="E18" s="149"/>
      <c r="F18" s="226"/>
      <c r="G18" s="150"/>
      <c r="H18" s="151"/>
      <c r="I18" s="152"/>
      <c r="J18" s="153">
        <v>1</v>
      </c>
      <c r="K18" s="154">
        <f t="shared" si="10"/>
        <v>0</v>
      </c>
      <c r="L18" s="154">
        <f t="shared" si="11"/>
        <v>0</v>
      </c>
      <c r="M18" s="155" t="str">
        <f t="array" ref="M18">IFERROR(INDEX(субъект,MATCH(SUM(COUNTIF(M$6:M17,субъект)),COUNTIF(субъект,"&lt;"&amp;субъект),0)),"")</f>
        <v/>
      </c>
      <c r="N18" s="155" t="str">
        <f t="array" ref="N18">IFERROR(INDEX(разряд,MATCH(SUM(COUNTIF(N$6:N17,разряд)),COUNTIF(разряд,"&lt;"&amp;разряд),0)),"")</f>
        <v/>
      </c>
      <c r="O18" s="156">
        <v>12</v>
      </c>
      <c r="P18" s="157" t="str">
        <f t="shared" si="1"/>
        <v/>
      </c>
      <c r="Q18" s="158">
        <f t="shared" si="2"/>
        <v>0</v>
      </c>
      <c r="R18" s="158">
        <f t="shared" si="3"/>
        <v>0</v>
      </c>
      <c r="S18" s="159">
        <f t="shared" si="4"/>
        <v>0</v>
      </c>
      <c r="T18" s="160">
        <f t="shared" si="5"/>
        <v>0</v>
      </c>
      <c r="U18" s="160">
        <f t="shared" si="6"/>
        <v>0</v>
      </c>
      <c r="V18" s="160">
        <f t="shared" si="7"/>
        <v>0</v>
      </c>
      <c r="W18" s="160">
        <f t="shared" si="8"/>
        <v>0</v>
      </c>
      <c r="X18" s="137"/>
      <c r="Y18" s="180" t="str">
        <f t="shared" si="12"/>
        <v/>
      </c>
      <c r="Z18" s="163" t="str">
        <f>IF(OR($Y18=$Y16,$Y18=$Y17,$Y18=$Y15,$Y18=$Y14,$Y18=$Y13,$Y18=$Y11,$Y18=$Y10,$Y18=$Y9,$Y18=$Y8,$Y18=$Y7)," ",IF(Q18=0," ",Q18))</f>
        <v xml:space="preserve"> </v>
      </c>
      <c r="AA18" s="163" t="str">
        <f>IF(OR($Y18=$Y16,$Y18=$Y17,$Y18=$Y15,$Y18=$Y14,$Y18=$Y13,$Y18=$Y11,$Y18=$Y10,$Y18=$Y9,$Y18=$Y8,$Y18=$Y7)," ",IF(R18=0," ",R18))</f>
        <v xml:space="preserve"> </v>
      </c>
      <c r="AB18" s="163" t="str">
        <f>IF(OR($Y18=$Y16,$Y18=$Y17,$Y18=$Y15,$Y18=$Y14,$Y18=$Y13,$Y18=$Y11,$Y18=$Y10,$Y18=$Y9,$Y18=$Y8,$Y18=$Y7)," ",IF(S18=0," ",S18))</f>
        <v xml:space="preserve"> </v>
      </c>
      <c r="AC18" s="163" t="str">
        <f>IF(OR($Y18=$Y16,$Y18=$Y17,$Y18=$Y15,$Y18=$Y14,$Y18=$Y13,$Y18=$Y11,$Y18=$Y10,$Y18=$Y9,$Y18=$Y8,$Y18=$Y7)," ",IF(T18=0," ",T18))</f>
        <v xml:space="preserve"> </v>
      </c>
      <c r="AD18" s="163" t="str">
        <f t="shared" si="9"/>
        <v xml:space="preserve"> </v>
      </c>
      <c r="AE18" s="163" t="str">
        <f t="shared" si="9"/>
        <v xml:space="preserve"> </v>
      </c>
      <c r="AF18" s="163" t="str">
        <f t="shared" si="9"/>
        <v xml:space="preserve"> </v>
      </c>
    </row>
    <row r="19" spans="1:34" ht="26.15" hidden="1" customHeight="1">
      <c r="A19" s="145" t="s">
        <v>35</v>
      </c>
      <c r="B19" s="146"/>
      <c r="C19" s="147"/>
      <c r="D19" s="148"/>
      <c r="E19" s="149"/>
      <c r="F19" s="226"/>
      <c r="G19" s="150"/>
      <c r="H19" s="151"/>
      <c r="I19" s="152"/>
      <c r="J19" s="153">
        <v>1</v>
      </c>
      <c r="K19" s="154">
        <f t="shared" si="10"/>
        <v>0</v>
      </c>
      <c r="L19" s="154">
        <f t="shared" si="11"/>
        <v>0</v>
      </c>
      <c r="M19" s="155" t="str">
        <f t="array" ref="M19">IFERROR(INDEX(субъект,MATCH(SUM(COUNTIF(M$6:M18,субъект)),COUNTIF(субъект,"&lt;"&amp;субъект),0)),"")</f>
        <v/>
      </c>
      <c r="N19" s="155" t="str">
        <f t="array" ref="N19">IFERROR(INDEX(разряд,MATCH(SUM(COUNTIF(N$6:N18,разряд)),COUNTIF(разряд,"&lt;"&amp;разряд),0)),"")</f>
        <v/>
      </c>
      <c r="O19" s="156">
        <v>13</v>
      </c>
      <c r="P19" s="157" t="str">
        <f t="shared" si="1"/>
        <v/>
      </c>
      <c r="Q19" s="158">
        <f t="shared" si="2"/>
        <v>0</v>
      </c>
      <c r="R19" s="158">
        <f t="shared" si="3"/>
        <v>0</v>
      </c>
      <c r="S19" s="159">
        <f t="shared" si="4"/>
        <v>0</v>
      </c>
      <c r="T19" s="160">
        <f t="shared" si="5"/>
        <v>0</v>
      </c>
      <c r="U19" s="160">
        <f t="shared" si="6"/>
        <v>0</v>
      </c>
      <c r="V19" s="160">
        <f t="shared" si="7"/>
        <v>0</v>
      </c>
      <c r="W19" s="160">
        <f t="shared" si="8"/>
        <v>0</v>
      </c>
      <c r="X19" s="137"/>
      <c r="Y19" s="180" t="str">
        <f t="shared" si="12"/>
        <v/>
      </c>
      <c r="Z19" s="163" t="str">
        <f t="shared" ref="Z19:AC22" si="13">IF(Q19=0," ",Q19)</f>
        <v xml:space="preserve"> </v>
      </c>
      <c r="AA19" s="163" t="str">
        <f t="shared" si="13"/>
        <v xml:space="preserve"> </v>
      </c>
      <c r="AB19" s="163" t="str">
        <f t="shared" si="13"/>
        <v xml:space="preserve"> </v>
      </c>
      <c r="AC19" s="163" t="str">
        <f t="shared" si="13"/>
        <v xml:space="preserve"> </v>
      </c>
      <c r="AD19" s="163" t="str">
        <f t="shared" si="9"/>
        <v xml:space="preserve"> </v>
      </c>
      <c r="AE19" s="163" t="str">
        <f t="shared" si="9"/>
        <v xml:space="preserve"> </v>
      </c>
      <c r="AF19" s="163" t="str">
        <f t="shared" si="9"/>
        <v xml:space="preserve"> </v>
      </c>
    </row>
    <row r="20" spans="1:34" ht="26.15" hidden="1" customHeight="1">
      <c r="A20" s="145" t="s">
        <v>36</v>
      </c>
      <c r="B20" s="146"/>
      <c r="C20" s="147"/>
      <c r="D20" s="148"/>
      <c r="E20" s="149"/>
      <c r="F20" s="226"/>
      <c r="G20" s="150"/>
      <c r="H20" s="151"/>
      <c r="I20" s="152"/>
      <c r="J20" s="153">
        <v>1</v>
      </c>
      <c r="K20" s="154">
        <f t="shared" si="10"/>
        <v>0</v>
      </c>
      <c r="L20" s="154">
        <f t="shared" si="11"/>
        <v>0</v>
      </c>
      <c r="M20" s="155" t="str">
        <f t="array" ref="M20">IFERROR(INDEX(субъект,MATCH(SUM(COUNTIF(M$6:M19,субъект)),COUNTIF(субъект,"&lt;"&amp;субъект),0)),"")</f>
        <v/>
      </c>
      <c r="N20" s="155" t="str">
        <f t="array" ref="N20">IFERROR(INDEX(разряд,MATCH(SUM(COUNTIF(N$6:N19,разряд)),COUNTIF(разряд,"&lt;"&amp;разряд),0)),"")</f>
        <v/>
      </c>
      <c r="O20" s="156">
        <v>14</v>
      </c>
      <c r="P20" s="157" t="str">
        <f t="shared" si="1"/>
        <v/>
      </c>
      <c r="Q20" s="158">
        <f t="shared" si="2"/>
        <v>0</v>
      </c>
      <c r="R20" s="158">
        <f t="shared" si="3"/>
        <v>0</v>
      </c>
      <c r="S20" s="159">
        <f t="shared" si="4"/>
        <v>0</v>
      </c>
      <c r="T20" s="160">
        <f t="shared" si="5"/>
        <v>0</v>
      </c>
      <c r="U20" s="160">
        <f t="shared" si="6"/>
        <v>0</v>
      </c>
      <c r="V20" s="160">
        <f t="shared" si="7"/>
        <v>0</v>
      </c>
      <c r="W20" s="160">
        <f t="shared" si="8"/>
        <v>0</v>
      </c>
      <c r="X20" s="137"/>
      <c r="Y20" s="180" t="str">
        <f t="shared" si="12"/>
        <v/>
      </c>
      <c r="Z20" s="163" t="str">
        <f t="shared" si="13"/>
        <v xml:space="preserve"> </v>
      </c>
      <c r="AA20" s="163" t="str">
        <f t="shared" si="13"/>
        <v xml:space="preserve"> </v>
      </c>
      <c r="AB20" s="163" t="str">
        <f t="shared" si="13"/>
        <v xml:space="preserve"> </v>
      </c>
      <c r="AC20" s="163" t="str">
        <f t="shared" si="13"/>
        <v xml:space="preserve"> </v>
      </c>
      <c r="AD20" s="163" t="str">
        <f t="shared" si="9"/>
        <v xml:space="preserve"> </v>
      </c>
      <c r="AE20" s="163" t="str">
        <f t="shared" si="9"/>
        <v xml:space="preserve"> </v>
      </c>
      <c r="AF20" s="163" t="str">
        <f t="shared" si="9"/>
        <v xml:space="preserve"> </v>
      </c>
    </row>
    <row r="21" spans="1:34" ht="26.15" hidden="1" customHeight="1">
      <c r="A21" s="145" t="s">
        <v>37</v>
      </c>
      <c r="B21" s="146"/>
      <c r="C21" s="147"/>
      <c r="D21" s="148"/>
      <c r="E21" s="149"/>
      <c r="F21" s="226"/>
      <c r="G21" s="150"/>
      <c r="H21" s="151"/>
      <c r="I21" s="152"/>
      <c r="J21" s="153">
        <v>1</v>
      </c>
      <c r="K21" s="154">
        <f t="shared" si="10"/>
        <v>0</v>
      </c>
      <c r="L21" s="154">
        <f t="shared" si="11"/>
        <v>0</v>
      </c>
      <c r="M21" s="155" t="str">
        <f t="array" ref="M21">IFERROR(INDEX(субъект,MATCH(SUM(COUNTIF(M$6:M20,субъект)),COUNTIF(субъект,"&lt;"&amp;субъект),0)),"")</f>
        <v/>
      </c>
      <c r="N21" s="155" t="str">
        <f t="array" ref="N21">IFERROR(INDEX(разряд,MATCH(SUM(COUNTIF(N$6:N20,разряд)),COUNTIF(разряд,"&lt;"&amp;разряд),0)),"")</f>
        <v/>
      </c>
      <c r="O21" s="156">
        <v>15</v>
      </c>
      <c r="P21" s="157" t="str">
        <f t="shared" si="1"/>
        <v/>
      </c>
      <c r="Q21" s="158">
        <f t="shared" si="2"/>
        <v>0</v>
      </c>
      <c r="R21" s="158">
        <f t="shared" si="3"/>
        <v>0</v>
      </c>
      <c r="S21" s="159">
        <f t="shared" si="4"/>
        <v>0</v>
      </c>
      <c r="T21" s="160">
        <f t="shared" si="5"/>
        <v>0</v>
      </c>
      <c r="U21" s="160">
        <f t="shared" si="6"/>
        <v>0</v>
      </c>
      <c r="V21" s="160">
        <f t="shared" si="7"/>
        <v>0</v>
      </c>
      <c r="W21" s="160">
        <f t="shared" si="8"/>
        <v>0</v>
      </c>
      <c r="X21" s="137"/>
      <c r="Y21" s="180" t="str">
        <f t="shared" si="12"/>
        <v/>
      </c>
      <c r="Z21" s="163" t="str">
        <f t="shared" si="13"/>
        <v xml:space="preserve"> </v>
      </c>
      <c r="AA21" s="163" t="str">
        <f t="shared" si="13"/>
        <v xml:space="preserve"> </v>
      </c>
      <c r="AB21" s="163" t="str">
        <f t="shared" si="13"/>
        <v xml:space="preserve"> </v>
      </c>
      <c r="AC21" s="163" t="str">
        <f t="shared" si="13"/>
        <v xml:space="preserve"> </v>
      </c>
      <c r="AD21" s="163" t="str">
        <f t="shared" si="9"/>
        <v xml:space="preserve"> </v>
      </c>
      <c r="AE21" s="163" t="str">
        <f t="shared" si="9"/>
        <v xml:space="preserve"> </v>
      </c>
      <c r="AF21" s="163" t="str">
        <f t="shared" si="9"/>
        <v xml:space="preserve"> </v>
      </c>
    </row>
    <row r="22" spans="1:34" ht="26.15" hidden="1" customHeight="1">
      <c r="A22" s="145" t="s">
        <v>38</v>
      </c>
      <c r="B22" s="146"/>
      <c r="C22" s="147"/>
      <c r="D22" s="148"/>
      <c r="E22" s="149"/>
      <c r="F22" s="226"/>
      <c r="G22" s="150"/>
      <c r="H22" s="151"/>
      <c r="I22" s="152"/>
      <c r="J22" s="153">
        <v>1</v>
      </c>
      <c r="K22" s="154">
        <f t="shared" si="10"/>
        <v>0</v>
      </c>
      <c r="L22" s="154">
        <f t="shared" si="11"/>
        <v>0</v>
      </c>
      <c r="M22" s="155" t="str">
        <f t="array" ref="M22">IFERROR(INDEX(субъект,MATCH(SUM(COUNTIF(M$6:M21,субъект)),COUNTIF(субъект,"&lt;"&amp;субъект),0)),"")</f>
        <v/>
      </c>
      <c r="N22" s="155" t="str">
        <f t="array" ref="N22">IFERROR(INDEX(разряд,MATCH(SUM(COUNTIF(N$6:N21,разряд)),COUNTIF(разряд,"&lt;"&amp;разряд),0)),"")</f>
        <v/>
      </c>
      <c r="O22" s="156">
        <v>16</v>
      </c>
      <c r="P22" s="157" t="str">
        <f t="shared" si="1"/>
        <v/>
      </c>
      <c r="Q22" s="158">
        <f t="shared" si="2"/>
        <v>0</v>
      </c>
      <c r="R22" s="158">
        <f t="shared" si="3"/>
        <v>0</v>
      </c>
      <c r="S22" s="159">
        <f t="shared" si="4"/>
        <v>0</v>
      </c>
      <c r="T22" s="160">
        <f t="shared" si="5"/>
        <v>0</v>
      </c>
      <c r="U22" s="160">
        <f t="shared" si="6"/>
        <v>0</v>
      </c>
      <c r="V22" s="160">
        <f t="shared" si="7"/>
        <v>0</v>
      </c>
      <c r="W22" s="160">
        <f t="shared" si="8"/>
        <v>0</v>
      </c>
      <c r="X22" s="137"/>
      <c r="Y22" s="180" t="str">
        <f t="shared" si="12"/>
        <v/>
      </c>
      <c r="Z22" s="163" t="str">
        <f t="shared" si="13"/>
        <v xml:space="preserve"> </v>
      </c>
      <c r="AA22" s="163" t="str">
        <f t="shared" si="13"/>
        <v xml:space="preserve"> </v>
      </c>
      <c r="AB22" s="163" t="str">
        <f t="shared" si="13"/>
        <v xml:space="preserve"> </v>
      </c>
      <c r="AC22" s="163" t="str">
        <f t="shared" si="13"/>
        <v xml:space="preserve"> </v>
      </c>
      <c r="AD22" s="163" t="str">
        <f t="shared" si="9"/>
        <v xml:space="preserve"> </v>
      </c>
      <c r="AE22" s="163" t="str">
        <f t="shared" si="9"/>
        <v xml:space="preserve"> </v>
      </c>
      <c r="AF22" s="163" t="str">
        <f t="shared" si="9"/>
        <v xml:space="preserve"> </v>
      </c>
    </row>
    <row r="23" spans="1:34" ht="26.15" hidden="1" customHeight="1">
      <c r="A23" s="145" t="s">
        <v>39</v>
      </c>
      <c r="B23" s="146"/>
      <c r="C23" s="147"/>
      <c r="D23" s="148"/>
      <c r="E23" s="149"/>
      <c r="F23" s="226"/>
      <c r="G23" s="150"/>
      <c r="H23" s="151"/>
      <c r="I23" s="152"/>
      <c r="J23" s="153">
        <v>1</v>
      </c>
      <c r="K23" s="154">
        <f t="shared" si="10"/>
        <v>0</v>
      </c>
      <c r="L23" s="154">
        <f>IFERROR(LEFT(F23,FIND(",",F23)-1),F23)</f>
        <v>0</v>
      </c>
      <c r="M23" s="155" t="str">
        <f t="array" ref="M23">IFERROR(INDEX(субъект,MATCH(SUM(COUNTIF(M$6:M22,субъект)),COUNTIF(субъект,"&lt;"&amp;субъект),0)),"")</f>
        <v/>
      </c>
      <c r="N23" s="155" t="str">
        <f t="array" ref="N23">IFERROR(INDEX(разряд,MATCH(SUM(COUNTIF(N$6:N22,разряд)),COUNTIF(разряд,"&lt;"&amp;разряд),0)),"")</f>
        <v/>
      </c>
      <c r="O23" s="156">
        <v>17</v>
      </c>
      <c r="P23" s="157" t="str">
        <f t="shared" si="1"/>
        <v/>
      </c>
      <c r="Q23" s="158">
        <f t="shared" si="2"/>
        <v>0</v>
      </c>
      <c r="R23" s="158">
        <f t="shared" si="3"/>
        <v>0</v>
      </c>
      <c r="S23" s="159">
        <f t="shared" si="4"/>
        <v>0</v>
      </c>
      <c r="T23" s="160">
        <f t="shared" si="5"/>
        <v>0</v>
      </c>
      <c r="U23" s="160">
        <f t="shared" si="6"/>
        <v>0</v>
      </c>
      <c r="V23" s="160">
        <f t="shared" si="7"/>
        <v>0</v>
      </c>
      <c r="W23" s="160">
        <f t="shared" si="8"/>
        <v>0</v>
      </c>
      <c r="X23" s="169"/>
      <c r="Y23" s="179" t="str">
        <f>P23</f>
        <v/>
      </c>
      <c r="Z23" s="163" t="str">
        <f>IF(Q23=0," ",Q23)</f>
        <v xml:space="preserve"> </v>
      </c>
      <c r="AA23" s="163" t="str">
        <f>IF(R23=0," ",R23)</f>
        <v xml:space="preserve"> </v>
      </c>
      <c r="AB23" s="163" t="str">
        <f>IF(S23=0," ",S23)</f>
        <v xml:space="preserve"> </v>
      </c>
      <c r="AC23" s="163" t="str">
        <f>IF(T23=0," ",T23)</f>
        <v xml:space="preserve"> </v>
      </c>
      <c r="AD23" s="163" t="str">
        <f t="shared" ref="AD23:AF70" si="14">IF(U23=0," ",U23)</f>
        <v xml:space="preserve"> </v>
      </c>
      <c r="AE23" s="163" t="str">
        <f t="shared" si="14"/>
        <v xml:space="preserve"> </v>
      </c>
      <c r="AF23" s="163" t="str">
        <f t="shared" si="14"/>
        <v xml:space="preserve"> </v>
      </c>
    </row>
    <row r="24" spans="1:34" ht="26.15" hidden="1" customHeight="1">
      <c r="A24" s="145" t="s">
        <v>40</v>
      </c>
      <c r="B24" s="146"/>
      <c r="C24" s="147"/>
      <c r="D24" s="148"/>
      <c r="E24" s="149"/>
      <c r="F24" s="226"/>
      <c r="G24" s="150"/>
      <c r="H24" s="151"/>
      <c r="I24" s="152"/>
      <c r="J24" s="153">
        <v>1</v>
      </c>
      <c r="K24" s="154">
        <f t="shared" si="10"/>
        <v>0</v>
      </c>
      <c r="L24" s="154">
        <f t="shared" ref="L24:L76" si="15">IFERROR(LEFT(F24,FIND(",",F24)-1),F24)</f>
        <v>0</v>
      </c>
      <c r="M24" s="155" t="str">
        <f t="array" ref="M24">IFERROR(INDEX(субъект,MATCH(SUM(COUNTIF(M$6:M23,субъект)),COUNTIF(субъект,"&lt;"&amp;субъект),0)),"")</f>
        <v/>
      </c>
      <c r="N24" s="155" t="str">
        <f t="array" ref="N24">IFERROR(INDEX(разряд,MATCH(SUM(COUNTIF(N$6:N23,разряд)),COUNTIF(разряд,"&lt;"&amp;разряд),0)),"")</f>
        <v/>
      </c>
      <c r="O24" s="156">
        <v>18</v>
      </c>
      <c r="P24" s="157" t="str">
        <f t="shared" si="1"/>
        <v/>
      </c>
      <c r="Q24" s="158">
        <f t="shared" si="2"/>
        <v>0</v>
      </c>
      <c r="R24" s="158">
        <f t="shared" si="3"/>
        <v>0</v>
      </c>
      <c r="S24" s="159">
        <f t="shared" si="4"/>
        <v>0</v>
      </c>
      <c r="T24" s="160">
        <f t="shared" si="5"/>
        <v>0</v>
      </c>
      <c r="U24" s="160">
        <f t="shared" si="6"/>
        <v>0</v>
      </c>
      <c r="V24" s="160">
        <f t="shared" si="7"/>
        <v>0</v>
      </c>
      <c r="W24" s="160">
        <f t="shared" si="8"/>
        <v>0</v>
      </c>
      <c r="Y24" s="180" t="str">
        <f t="shared" ref="Y24:Y70" si="16">P24</f>
        <v/>
      </c>
      <c r="Z24" s="163" t="str">
        <f t="shared" ref="Z24:AC39" si="17">IF(Q24=0," ",Q24)</f>
        <v xml:space="preserve"> </v>
      </c>
      <c r="AA24" s="163" t="str">
        <f t="shared" si="17"/>
        <v xml:space="preserve"> </v>
      </c>
      <c r="AB24" s="163" t="str">
        <f t="shared" si="17"/>
        <v xml:space="preserve"> </v>
      </c>
      <c r="AC24" s="163" t="str">
        <f t="shared" si="17"/>
        <v xml:space="preserve"> </v>
      </c>
      <c r="AD24" s="163" t="str">
        <f t="shared" si="14"/>
        <v xml:space="preserve"> </v>
      </c>
      <c r="AE24" s="163" t="str">
        <f t="shared" si="14"/>
        <v xml:space="preserve"> </v>
      </c>
      <c r="AF24" s="163" t="str">
        <f t="shared" si="14"/>
        <v xml:space="preserve"> </v>
      </c>
    </row>
    <row r="25" spans="1:34" ht="26.15" hidden="1" customHeight="1">
      <c r="A25" s="145" t="s">
        <v>41</v>
      </c>
      <c r="B25" s="146"/>
      <c r="C25" s="147"/>
      <c r="D25" s="148"/>
      <c r="E25" s="149"/>
      <c r="F25" s="226"/>
      <c r="G25" s="150"/>
      <c r="H25" s="151"/>
      <c r="I25" s="152"/>
      <c r="J25" s="153">
        <v>1</v>
      </c>
      <c r="K25" s="154">
        <f t="shared" si="10"/>
        <v>0</v>
      </c>
      <c r="L25" s="154">
        <f t="shared" si="15"/>
        <v>0</v>
      </c>
      <c r="M25" s="155" t="str">
        <f t="array" ref="M25">IFERROR(INDEX(субъект,MATCH(SUM(COUNTIF(M$6:M24,субъект)),COUNTIF(субъект,"&lt;"&amp;субъект),0)),"")</f>
        <v/>
      </c>
      <c r="N25" s="155" t="str">
        <f t="array" ref="N25">IFERROR(INDEX(разряд,MATCH(SUM(COUNTIF(N$6:N24,разряд)),COUNTIF(разряд,"&lt;"&amp;разряд),0)),"")</f>
        <v/>
      </c>
      <c r="O25" s="156">
        <v>19</v>
      </c>
      <c r="P25" s="157" t="str">
        <f t="shared" si="1"/>
        <v/>
      </c>
      <c r="Q25" s="158">
        <f t="shared" si="2"/>
        <v>0</v>
      </c>
      <c r="R25" s="158">
        <f t="shared" si="3"/>
        <v>0</v>
      </c>
      <c r="S25" s="159">
        <f t="shared" si="4"/>
        <v>0</v>
      </c>
      <c r="T25" s="160">
        <f t="shared" si="5"/>
        <v>0</v>
      </c>
      <c r="U25" s="160">
        <f t="shared" si="6"/>
        <v>0</v>
      </c>
      <c r="V25" s="160">
        <f t="shared" si="7"/>
        <v>0</v>
      </c>
      <c r="W25" s="160">
        <f t="shared" si="8"/>
        <v>0</v>
      </c>
      <c r="X25" s="169"/>
      <c r="Y25" s="180" t="str">
        <f t="shared" si="16"/>
        <v/>
      </c>
      <c r="Z25" s="163" t="str">
        <f t="shared" si="17"/>
        <v xml:space="preserve"> </v>
      </c>
      <c r="AA25" s="163" t="str">
        <f t="shared" si="17"/>
        <v xml:space="preserve"> </v>
      </c>
      <c r="AB25" s="163" t="str">
        <f t="shared" si="17"/>
        <v xml:space="preserve"> </v>
      </c>
      <c r="AC25" s="163" t="str">
        <f t="shared" si="17"/>
        <v xml:space="preserve"> </v>
      </c>
      <c r="AD25" s="163" t="str">
        <f t="shared" si="14"/>
        <v xml:space="preserve"> </v>
      </c>
      <c r="AE25" s="163" t="str">
        <f t="shared" si="14"/>
        <v xml:space="preserve"> </v>
      </c>
      <c r="AF25" s="163" t="str">
        <f t="shared" si="14"/>
        <v xml:space="preserve"> </v>
      </c>
    </row>
    <row r="26" spans="1:34" ht="26.15" hidden="1" customHeight="1">
      <c r="A26" s="145" t="s">
        <v>42</v>
      </c>
      <c r="B26" s="146"/>
      <c r="C26" s="147"/>
      <c r="D26" s="148"/>
      <c r="E26" s="149"/>
      <c r="F26" s="226"/>
      <c r="G26" s="150"/>
      <c r="H26" s="151"/>
      <c r="I26" s="152"/>
      <c r="J26" s="153">
        <v>1</v>
      </c>
      <c r="K26" s="154">
        <f t="shared" si="10"/>
        <v>0</v>
      </c>
      <c r="L26" s="154">
        <f t="shared" si="15"/>
        <v>0</v>
      </c>
      <c r="M26" s="155" t="str">
        <f t="array" ref="M26">IFERROR(INDEX(субъект,MATCH(SUM(COUNTIF(M$6:M25,субъект)),COUNTIF(субъект,"&lt;"&amp;субъект),0)),"")</f>
        <v/>
      </c>
      <c r="N26" s="155" t="str">
        <f t="array" ref="N26">IFERROR(INDEX(разряд,MATCH(SUM(COUNTIF(N$6:N25,разряд)),COUNTIF(разряд,"&lt;"&amp;разряд),0)),"")</f>
        <v/>
      </c>
      <c r="O26" s="156">
        <v>20</v>
      </c>
      <c r="P26" s="157" t="str">
        <f t="shared" si="1"/>
        <v/>
      </c>
      <c r="Q26" s="158">
        <f t="shared" si="2"/>
        <v>0</v>
      </c>
      <c r="R26" s="158">
        <f t="shared" si="3"/>
        <v>0</v>
      </c>
      <c r="S26" s="159">
        <f t="shared" si="4"/>
        <v>0</v>
      </c>
      <c r="T26" s="160">
        <f t="shared" si="5"/>
        <v>0</v>
      </c>
      <c r="U26" s="160">
        <f t="shared" si="6"/>
        <v>0</v>
      </c>
      <c r="V26" s="160">
        <f t="shared" si="7"/>
        <v>0</v>
      </c>
      <c r="W26" s="160">
        <f t="shared" si="8"/>
        <v>0</v>
      </c>
      <c r="Y26" s="180" t="str">
        <f t="shared" si="16"/>
        <v/>
      </c>
      <c r="Z26" s="163" t="str">
        <f t="shared" si="17"/>
        <v xml:space="preserve"> </v>
      </c>
      <c r="AA26" s="163" t="str">
        <f t="shared" si="17"/>
        <v xml:space="preserve"> </v>
      </c>
      <c r="AB26" s="163" t="str">
        <f t="shared" si="17"/>
        <v xml:space="preserve"> </v>
      </c>
      <c r="AC26" s="163" t="str">
        <f t="shared" si="17"/>
        <v xml:space="preserve"> </v>
      </c>
      <c r="AD26" s="163" t="str">
        <f t="shared" si="14"/>
        <v xml:space="preserve"> </v>
      </c>
      <c r="AE26" s="163" t="str">
        <f t="shared" si="14"/>
        <v xml:space="preserve"> </v>
      </c>
      <c r="AF26" s="163" t="str">
        <f t="shared" si="14"/>
        <v xml:space="preserve"> </v>
      </c>
    </row>
    <row r="27" spans="1:34" ht="26.15" hidden="1" customHeight="1">
      <c r="A27" s="145" t="s">
        <v>43</v>
      </c>
      <c r="B27" s="146"/>
      <c r="C27" s="147"/>
      <c r="D27" s="148"/>
      <c r="E27" s="149"/>
      <c r="F27" s="226"/>
      <c r="G27" s="150"/>
      <c r="H27" s="151"/>
      <c r="I27" s="152"/>
      <c r="J27" s="153">
        <v>1</v>
      </c>
      <c r="K27" s="154">
        <f t="shared" si="10"/>
        <v>0</v>
      </c>
      <c r="L27" s="154">
        <f t="shared" si="15"/>
        <v>0</v>
      </c>
      <c r="M27" s="155" t="str">
        <f t="array" ref="M27">IFERROR(INDEX(субъект,MATCH(SUM(COUNTIF(M$6:M26,субъект)),COUNTIF(субъект,"&lt;"&amp;субъект),0)),"")</f>
        <v/>
      </c>
      <c r="N27" s="155" t="str">
        <f t="array" ref="N27">IFERROR(INDEX(разряд,MATCH(SUM(COUNTIF(N$6:N26,разряд)),COUNTIF(разряд,"&lt;"&amp;разряд),0)),"")</f>
        <v/>
      </c>
      <c r="O27" s="156">
        <v>21</v>
      </c>
      <c r="P27" s="157" t="str">
        <f t="shared" si="1"/>
        <v/>
      </c>
      <c r="Q27" s="158">
        <f t="shared" si="2"/>
        <v>0</v>
      </c>
      <c r="R27" s="158">
        <f t="shared" si="3"/>
        <v>0</v>
      </c>
      <c r="S27" s="159">
        <f t="shared" si="4"/>
        <v>0</v>
      </c>
      <c r="T27" s="160">
        <f t="shared" si="5"/>
        <v>0</v>
      </c>
      <c r="U27" s="160">
        <f t="shared" si="6"/>
        <v>0</v>
      </c>
      <c r="V27" s="160">
        <f t="shared" si="7"/>
        <v>0</v>
      </c>
      <c r="W27" s="160">
        <f t="shared" si="8"/>
        <v>0</v>
      </c>
      <c r="X27" s="169"/>
      <c r="Y27" s="180" t="str">
        <f t="shared" si="16"/>
        <v/>
      </c>
      <c r="Z27" s="163" t="str">
        <f t="shared" si="17"/>
        <v xml:space="preserve"> </v>
      </c>
      <c r="AA27" s="163" t="str">
        <f t="shared" si="17"/>
        <v xml:space="preserve"> </v>
      </c>
      <c r="AB27" s="163" t="str">
        <f t="shared" si="17"/>
        <v xml:space="preserve"> </v>
      </c>
      <c r="AC27" s="163" t="str">
        <f t="shared" si="17"/>
        <v xml:space="preserve"> </v>
      </c>
      <c r="AD27" s="163" t="str">
        <f t="shared" si="14"/>
        <v xml:space="preserve"> </v>
      </c>
      <c r="AE27" s="163" t="str">
        <f t="shared" si="14"/>
        <v xml:space="preserve"> </v>
      </c>
      <c r="AF27" s="163" t="str">
        <f t="shared" si="14"/>
        <v xml:space="preserve"> </v>
      </c>
    </row>
    <row r="28" spans="1:34" ht="26.15" hidden="1" customHeight="1">
      <c r="A28" s="145" t="s">
        <v>44</v>
      </c>
      <c r="B28" s="146"/>
      <c r="C28" s="147"/>
      <c r="D28" s="148"/>
      <c r="E28" s="149"/>
      <c r="F28" s="226"/>
      <c r="G28" s="150"/>
      <c r="H28" s="151"/>
      <c r="I28" s="152"/>
      <c r="J28" s="153">
        <v>1</v>
      </c>
      <c r="K28" s="154">
        <f t="shared" si="10"/>
        <v>0</v>
      </c>
      <c r="L28" s="154">
        <f t="shared" si="15"/>
        <v>0</v>
      </c>
      <c r="M28" s="155" t="str">
        <f t="array" ref="M28">IFERROR(INDEX(субъект,MATCH(SUM(COUNTIF(M$6:M27,субъект)),COUNTIF(субъект,"&lt;"&amp;субъект),0)),"")</f>
        <v/>
      </c>
      <c r="N28" s="155" t="str">
        <f t="array" ref="N28">IFERROR(INDEX(разряд,MATCH(SUM(COUNTIF(N$6:N27,разряд)),COUNTIF(разряд,"&lt;"&amp;разряд),0)),"")</f>
        <v/>
      </c>
      <c r="O28" s="156">
        <v>22</v>
      </c>
      <c r="P28" s="157" t="str">
        <f t="shared" si="1"/>
        <v/>
      </c>
      <c r="Q28" s="158">
        <f t="shared" si="2"/>
        <v>0</v>
      </c>
      <c r="R28" s="158">
        <f t="shared" si="3"/>
        <v>0</v>
      </c>
      <c r="S28" s="159">
        <f t="shared" si="4"/>
        <v>0</v>
      </c>
      <c r="T28" s="160">
        <f t="shared" si="5"/>
        <v>0</v>
      </c>
      <c r="U28" s="160">
        <f t="shared" si="6"/>
        <v>0</v>
      </c>
      <c r="V28" s="160">
        <f t="shared" si="7"/>
        <v>0</v>
      </c>
      <c r="W28" s="160">
        <f t="shared" si="8"/>
        <v>0</v>
      </c>
      <c r="Y28" s="180" t="str">
        <f t="shared" si="16"/>
        <v/>
      </c>
      <c r="Z28" s="163" t="str">
        <f t="shared" si="17"/>
        <v xml:space="preserve"> </v>
      </c>
      <c r="AA28" s="163" t="str">
        <f t="shared" si="17"/>
        <v xml:space="preserve"> </v>
      </c>
      <c r="AB28" s="163" t="str">
        <f t="shared" si="17"/>
        <v xml:space="preserve"> </v>
      </c>
      <c r="AC28" s="163" t="str">
        <f t="shared" si="17"/>
        <v xml:space="preserve"> </v>
      </c>
      <c r="AD28" s="163" t="str">
        <f t="shared" si="14"/>
        <v xml:space="preserve"> </v>
      </c>
      <c r="AE28" s="163" t="str">
        <f t="shared" si="14"/>
        <v xml:space="preserve"> </v>
      </c>
      <c r="AF28" s="163" t="str">
        <f t="shared" si="14"/>
        <v xml:space="preserve"> </v>
      </c>
      <c r="AG28" s="170"/>
      <c r="AH28" s="169"/>
    </row>
    <row r="29" spans="1:34" ht="26.15" hidden="1" customHeight="1">
      <c r="A29" s="145" t="s">
        <v>45</v>
      </c>
      <c r="B29" s="146"/>
      <c r="C29" s="147"/>
      <c r="D29" s="148"/>
      <c r="E29" s="149"/>
      <c r="F29" s="226"/>
      <c r="G29" s="150"/>
      <c r="H29" s="151"/>
      <c r="I29" s="152"/>
      <c r="J29" s="153">
        <v>1</v>
      </c>
      <c r="K29" s="154">
        <f t="shared" si="10"/>
        <v>0</v>
      </c>
      <c r="L29" s="154">
        <f t="shared" si="15"/>
        <v>0</v>
      </c>
      <c r="M29" s="155" t="str">
        <f t="array" ref="M29">IFERROR(INDEX(субъект,MATCH(SUM(COUNTIF(M$6:M28,субъект)),COUNTIF(субъект,"&lt;"&amp;субъект),0)),"")</f>
        <v/>
      </c>
      <c r="N29" s="155" t="str">
        <f t="array" ref="N29">IFERROR(INDEX(разряд,MATCH(SUM(COUNTIF(N$6:N28,разряд)),COUNTIF(разряд,"&lt;"&amp;разряд),0)),"")</f>
        <v/>
      </c>
      <c r="O29" s="156">
        <v>23</v>
      </c>
      <c r="P29" s="157" t="str">
        <f t="shared" si="1"/>
        <v/>
      </c>
      <c r="Q29" s="158">
        <f t="shared" si="2"/>
        <v>0</v>
      </c>
      <c r="R29" s="158">
        <f t="shared" si="3"/>
        <v>0</v>
      </c>
      <c r="S29" s="159">
        <f t="shared" si="4"/>
        <v>0</v>
      </c>
      <c r="T29" s="160">
        <f t="shared" si="5"/>
        <v>0</v>
      </c>
      <c r="U29" s="160">
        <f t="shared" si="6"/>
        <v>0</v>
      </c>
      <c r="V29" s="160">
        <f t="shared" si="7"/>
        <v>0</v>
      </c>
      <c r="W29" s="160">
        <f t="shared" si="8"/>
        <v>0</v>
      </c>
      <c r="X29" s="169"/>
      <c r="Y29" s="180" t="str">
        <f t="shared" si="16"/>
        <v/>
      </c>
      <c r="Z29" s="163" t="str">
        <f t="shared" si="17"/>
        <v xml:space="preserve"> </v>
      </c>
      <c r="AA29" s="163" t="str">
        <f t="shared" si="17"/>
        <v xml:space="preserve"> </v>
      </c>
      <c r="AB29" s="163" t="str">
        <f t="shared" si="17"/>
        <v xml:space="preserve"> </v>
      </c>
      <c r="AC29" s="163" t="str">
        <f t="shared" si="17"/>
        <v xml:space="preserve"> </v>
      </c>
      <c r="AD29" s="163" t="str">
        <f t="shared" si="14"/>
        <v xml:space="preserve"> </v>
      </c>
      <c r="AE29" s="163" t="str">
        <f t="shared" si="14"/>
        <v xml:space="preserve"> </v>
      </c>
      <c r="AF29" s="163" t="str">
        <f t="shared" si="14"/>
        <v xml:space="preserve"> </v>
      </c>
    </row>
    <row r="30" spans="1:34" ht="26.15" hidden="1" customHeight="1">
      <c r="A30" s="145" t="s">
        <v>46</v>
      </c>
      <c r="B30" s="146"/>
      <c r="C30" s="147"/>
      <c r="D30" s="148"/>
      <c r="E30" s="149"/>
      <c r="F30" s="148"/>
      <c r="G30" s="150"/>
      <c r="H30" s="151"/>
      <c r="I30" s="152"/>
      <c r="J30" s="153">
        <v>1</v>
      </c>
      <c r="K30" s="154">
        <f t="shared" si="10"/>
        <v>0</v>
      </c>
      <c r="L30" s="154">
        <f t="shared" si="15"/>
        <v>0</v>
      </c>
      <c r="M30" s="155" t="str">
        <f t="array" ref="M30">IFERROR(INDEX(субъект,MATCH(SUM(COUNTIF(M$6:M29,субъект)),COUNTIF(субъект,"&lt;"&amp;субъект),0)),"")</f>
        <v/>
      </c>
      <c r="N30" s="155" t="str">
        <f t="array" ref="N30">IFERROR(INDEX(разряд,MATCH(SUM(COUNTIF(N$6:N29,разряд)),COUNTIF(разряд,"&lt;"&amp;разряд),0)),"")</f>
        <v/>
      </c>
      <c r="O30" s="156">
        <v>24</v>
      </c>
      <c r="P30" s="157" t="str">
        <f t="shared" si="1"/>
        <v/>
      </c>
      <c r="Q30" s="158">
        <f t="shared" si="2"/>
        <v>0</v>
      </c>
      <c r="R30" s="158">
        <f t="shared" si="3"/>
        <v>0</v>
      </c>
      <c r="S30" s="159">
        <f t="shared" si="4"/>
        <v>0</v>
      </c>
      <c r="T30" s="160">
        <f t="shared" si="5"/>
        <v>0</v>
      </c>
      <c r="U30" s="160">
        <f t="shared" si="6"/>
        <v>0</v>
      </c>
      <c r="V30" s="160">
        <f t="shared" si="7"/>
        <v>0</v>
      </c>
      <c r="W30" s="160">
        <f t="shared" si="8"/>
        <v>0</v>
      </c>
      <c r="Y30" s="180" t="str">
        <f t="shared" si="16"/>
        <v/>
      </c>
      <c r="Z30" s="163" t="str">
        <f t="shared" si="17"/>
        <v xml:space="preserve"> </v>
      </c>
      <c r="AA30" s="163" t="str">
        <f t="shared" si="17"/>
        <v xml:space="preserve"> </v>
      </c>
      <c r="AB30" s="163" t="str">
        <f t="shared" si="17"/>
        <v xml:space="preserve"> </v>
      </c>
      <c r="AC30" s="163" t="str">
        <f t="shared" si="17"/>
        <v xml:space="preserve"> </v>
      </c>
      <c r="AD30" s="163" t="str">
        <f t="shared" si="14"/>
        <v xml:space="preserve"> </v>
      </c>
      <c r="AE30" s="163" t="str">
        <f t="shared" si="14"/>
        <v xml:space="preserve"> </v>
      </c>
      <c r="AF30" s="163" t="str">
        <f t="shared" si="14"/>
        <v xml:space="preserve"> </v>
      </c>
    </row>
    <row r="31" spans="1:34" ht="26.15" hidden="1" customHeight="1">
      <c r="A31" s="145" t="s">
        <v>47</v>
      </c>
      <c r="B31" s="146"/>
      <c r="C31" s="147"/>
      <c r="D31" s="148"/>
      <c r="E31" s="149"/>
      <c r="F31" s="148"/>
      <c r="G31" s="150"/>
      <c r="H31" s="151"/>
      <c r="I31" s="152"/>
      <c r="J31" s="153">
        <v>1</v>
      </c>
      <c r="K31" s="154">
        <f t="shared" si="10"/>
        <v>0</v>
      </c>
      <c r="L31" s="154">
        <f t="shared" si="15"/>
        <v>0</v>
      </c>
      <c r="M31" s="155" t="str">
        <f t="array" ref="M31">IFERROR(INDEX(субъект,MATCH(SUM(COUNTIF(M$6:M30,субъект)),COUNTIF(субъект,"&lt;"&amp;субъект),0)),"")</f>
        <v/>
      </c>
      <c r="N31" s="155" t="str">
        <f t="array" ref="N31">IFERROR(INDEX(разряд,MATCH(SUM(COUNTIF(N$6:N30,разряд)),COUNTIF(разряд,"&lt;"&amp;разряд),0)),"")</f>
        <v/>
      </c>
      <c r="O31" s="156">
        <v>25</v>
      </c>
      <c r="P31" s="157" t="str">
        <f t="shared" si="1"/>
        <v/>
      </c>
      <c r="Q31" s="158">
        <f t="shared" si="2"/>
        <v>0</v>
      </c>
      <c r="R31" s="158">
        <f t="shared" si="3"/>
        <v>0</v>
      </c>
      <c r="S31" s="159">
        <f t="shared" si="4"/>
        <v>0</v>
      </c>
      <c r="T31" s="160">
        <f t="shared" si="5"/>
        <v>0</v>
      </c>
      <c r="U31" s="160">
        <f t="shared" si="6"/>
        <v>0</v>
      </c>
      <c r="V31" s="160">
        <f t="shared" si="7"/>
        <v>0</v>
      </c>
      <c r="W31" s="160">
        <f t="shared" si="8"/>
        <v>0</v>
      </c>
      <c r="X31" s="169"/>
      <c r="Y31" s="180" t="str">
        <f t="shared" si="16"/>
        <v/>
      </c>
      <c r="Z31" s="163" t="str">
        <f t="shared" si="17"/>
        <v xml:space="preserve"> </v>
      </c>
      <c r="AA31" s="163" t="str">
        <f t="shared" si="17"/>
        <v xml:space="preserve"> </v>
      </c>
      <c r="AB31" s="163" t="str">
        <f t="shared" si="17"/>
        <v xml:space="preserve"> </v>
      </c>
      <c r="AC31" s="171" t="str">
        <f t="shared" si="17"/>
        <v xml:space="preserve"> </v>
      </c>
      <c r="AD31" s="163" t="str">
        <f t="shared" si="14"/>
        <v xml:space="preserve"> </v>
      </c>
      <c r="AE31" s="163" t="str">
        <f t="shared" si="14"/>
        <v xml:space="preserve"> </v>
      </c>
      <c r="AF31" s="163" t="str">
        <f t="shared" si="14"/>
        <v xml:space="preserve"> </v>
      </c>
    </row>
    <row r="32" spans="1:34" ht="26.15" hidden="1" customHeight="1">
      <c r="A32" s="145" t="s">
        <v>48</v>
      </c>
      <c r="B32" s="146"/>
      <c r="C32" s="147"/>
      <c r="D32" s="148"/>
      <c r="E32" s="149"/>
      <c r="F32" s="148"/>
      <c r="G32" s="150"/>
      <c r="H32" s="151"/>
      <c r="I32" s="152"/>
      <c r="J32" s="153">
        <v>1</v>
      </c>
      <c r="K32" s="154">
        <f t="shared" si="10"/>
        <v>0</v>
      </c>
      <c r="L32" s="154">
        <f t="shared" si="15"/>
        <v>0</v>
      </c>
      <c r="M32" s="155" t="str">
        <f t="array" ref="M32">IFERROR(INDEX(субъект,MATCH(SUM(COUNTIF(M$6:M31,субъект)),COUNTIF(субъект,"&lt;"&amp;субъект),0)),"")</f>
        <v/>
      </c>
      <c r="N32" s="155" t="str">
        <f t="array" ref="N32">IFERROR(INDEX(разряд,MATCH(SUM(COUNTIF(N$6:N31,разряд)),COUNTIF(разряд,"&lt;"&amp;разряд),0)),"")</f>
        <v/>
      </c>
      <c r="O32" s="156">
        <v>26</v>
      </c>
      <c r="P32" s="157" t="str">
        <f t="shared" si="1"/>
        <v/>
      </c>
      <c r="Q32" s="158">
        <f t="shared" si="2"/>
        <v>0</v>
      </c>
      <c r="R32" s="158">
        <f t="shared" si="3"/>
        <v>0</v>
      </c>
      <c r="S32" s="159">
        <f t="shared" si="4"/>
        <v>0</v>
      </c>
      <c r="T32" s="160">
        <f t="shared" si="5"/>
        <v>0</v>
      </c>
      <c r="U32" s="160">
        <f t="shared" si="6"/>
        <v>0</v>
      </c>
      <c r="V32" s="160">
        <f t="shared" si="7"/>
        <v>0</v>
      </c>
      <c r="W32" s="160">
        <f t="shared" si="8"/>
        <v>0</v>
      </c>
      <c r="Y32" s="180" t="str">
        <f t="shared" si="16"/>
        <v/>
      </c>
      <c r="Z32" s="163" t="str">
        <f t="shared" si="17"/>
        <v xml:space="preserve"> </v>
      </c>
      <c r="AA32" s="163" t="str">
        <f t="shared" si="17"/>
        <v xml:space="preserve"> </v>
      </c>
      <c r="AB32" s="163" t="str">
        <f t="shared" si="17"/>
        <v xml:space="preserve"> </v>
      </c>
      <c r="AC32" s="163" t="str">
        <f t="shared" si="17"/>
        <v xml:space="preserve"> </v>
      </c>
      <c r="AD32" s="163" t="str">
        <f t="shared" si="14"/>
        <v xml:space="preserve"> </v>
      </c>
      <c r="AE32" s="163" t="str">
        <f t="shared" si="14"/>
        <v xml:space="preserve"> </v>
      </c>
      <c r="AF32" s="163" t="str">
        <f t="shared" si="14"/>
        <v xml:space="preserve"> </v>
      </c>
    </row>
    <row r="33" spans="1:32" ht="26.15" hidden="1" customHeight="1">
      <c r="A33" s="145" t="s">
        <v>49</v>
      </c>
      <c r="B33" s="146"/>
      <c r="C33" s="147"/>
      <c r="D33" s="148"/>
      <c r="E33" s="149"/>
      <c r="F33" s="148"/>
      <c r="G33" s="150"/>
      <c r="H33" s="151"/>
      <c r="I33" s="152"/>
      <c r="J33" s="153">
        <v>1</v>
      </c>
      <c r="K33" s="154">
        <f t="shared" si="10"/>
        <v>0</v>
      </c>
      <c r="L33" s="154">
        <f t="shared" si="15"/>
        <v>0</v>
      </c>
      <c r="M33" s="155" t="str">
        <f t="array" ref="M33">IFERROR(INDEX(субъект,MATCH(SUM(COUNTIF(M$6:M32,субъект)),COUNTIF(субъект,"&lt;"&amp;субъект),0)),"")</f>
        <v/>
      </c>
      <c r="N33" s="155" t="str">
        <f t="array" ref="N33">IFERROR(INDEX(разряд,MATCH(SUM(COUNTIF(N$6:N32,разряд)),COUNTIF(разряд,"&lt;"&amp;разряд),0)),"")</f>
        <v/>
      </c>
      <c r="O33" s="156">
        <v>27</v>
      </c>
      <c r="P33" s="157" t="str">
        <f t="shared" si="1"/>
        <v/>
      </c>
      <c r="Q33" s="158">
        <f t="shared" si="2"/>
        <v>0</v>
      </c>
      <c r="R33" s="158">
        <f t="shared" si="3"/>
        <v>0</v>
      </c>
      <c r="S33" s="159">
        <f t="shared" si="4"/>
        <v>0</v>
      </c>
      <c r="T33" s="160">
        <f t="shared" si="5"/>
        <v>0</v>
      </c>
      <c r="U33" s="160">
        <f t="shared" si="6"/>
        <v>0</v>
      </c>
      <c r="V33" s="160">
        <f t="shared" si="7"/>
        <v>0</v>
      </c>
      <c r="W33" s="160">
        <f t="shared" si="8"/>
        <v>0</v>
      </c>
      <c r="X33" s="169"/>
      <c r="Y33" s="180" t="str">
        <f t="shared" si="16"/>
        <v/>
      </c>
      <c r="Z33" s="163" t="str">
        <f t="shared" si="17"/>
        <v xml:space="preserve"> </v>
      </c>
      <c r="AA33" s="163" t="str">
        <f t="shared" si="17"/>
        <v xml:space="preserve"> </v>
      </c>
      <c r="AB33" s="163" t="str">
        <f t="shared" si="17"/>
        <v xml:space="preserve"> </v>
      </c>
      <c r="AC33" s="163" t="str">
        <f t="shared" si="17"/>
        <v xml:space="preserve"> </v>
      </c>
      <c r="AD33" s="163" t="str">
        <f t="shared" si="14"/>
        <v xml:space="preserve"> </v>
      </c>
      <c r="AE33" s="163" t="str">
        <f t="shared" si="14"/>
        <v xml:space="preserve"> </v>
      </c>
      <c r="AF33" s="163" t="str">
        <f t="shared" si="14"/>
        <v xml:space="preserve"> </v>
      </c>
    </row>
    <row r="34" spans="1:32" ht="26.15" hidden="1" customHeight="1">
      <c r="A34" s="145" t="s">
        <v>50</v>
      </c>
      <c r="B34" s="146"/>
      <c r="C34" s="147"/>
      <c r="D34" s="148"/>
      <c r="E34" s="149"/>
      <c r="F34" s="148"/>
      <c r="G34" s="150"/>
      <c r="H34" s="151"/>
      <c r="I34" s="152"/>
      <c r="J34" s="153">
        <v>1</v>
      </c>
      <c r="K34" s="154">
        <f t="shared" si="10"/>
        <v>0</v>
      </c>
      <c r="L34" s="154">
        <f t="shared" si="15"/>
        <v>0</v>
      </c>
      <c r="M34" s="155" t="str">
        <f t="array" ref="M34">IFERROR(INDEX(субъект,MATCH(SUM(COUNTIF(M$6:M33,субъект)),COUNTIF(субъект,"&lt;"&amp;субъект),0)),"")</f>
        <v/>
      </c>
      <c r="N34" s="155" t="str">
        <f t="array" ref="N34">IFERROR(INDEX(разряд,MATCH(SUM(COUNTIF(N$6:N33,разряд)),COUNTIF(разряд,"&lt;"&amp;разряд),0)),"")</f>
        <v/>
      </c>
      <c r="O34" s="156">
        <v>28</v>
      </c>
      <c r="P34" s="157" t="str">
        <f t="shared" si="1"/>
        <v/>
      </c>
      <c r="Q34" s="158">
        <f t="shared" si="2"/>
        <v>0</v>
      </c>
      <c r="R34" s="158">
        <f t="shared" si="3"/>
        <v>0</v>
      </c>
      <c r="S34" s="159">
        <f t="shared" si="4"/>
        <v>0</v>
      </c>
      <c r="T34" s="160">
        <f t="shared" si="5"/>
        <v>0</v>
      </c>
      <c r="U34" s="160">
        <f t="shared" si="6"/>
        <v>0</v>
      </c>
      <c r="V34" s="160">
        <f t="shared" si="7"/>
        <v>0</v>
      </c>
      <c r="W34" s="160">
        <f t="shared" si="8"/>
        <v>0</v>
      </c>
      <c r="Y34" s="180" t="str">
        <f t="shared" si="16"/>
        <v/>
      </c>
      <c r="Z34" s="163" t="str">
        <f t="shared" si="17"/>
        <v xml:space="preserve"> </v>
      </c>
      <c r="AA34" s="163" t="str">
        <f t="shared" si="17"/>
        <v xml:space="preserve"> </v>
      </c>
      <c r="AB34" s="163" t="str">
        <f t="shared" si="17"/>
        <v xml:space="preserve"> </v>
      </c>
      <c r="AC34" s="163" t="str">
        <f t="shared" si="17"/>
        <v xml:space="preserve"> </v>
      </c>
      <c r="AD34" s="163" t="str">
        <f t="shared" si="14"/>
        <v xml:space="preserve"> </v>
      </c>
      <c r="AE34" s="163" t="str">
        <f t="shared" si="14"/>
        <v xml:space="preserve"> </v>
      </c>
      <c r="AF34" s="163" t="str">
        <f t="shared" si="14"/>
        <v xml:space="preserve"> </v>
      </c>
    </row>
    <row r="35" spans="1:32" ht="26.15" hidden="1" customHeight="1">
      <c r="A35" s="145" t="s">
        <v>51</v>
      </c>
      <c r="B35" s="146"/>
      <c r="C35" s="147"/>
      <c r="D35" s="148"/>
      <c r="E35" s="149"/>
      <c r="F35" s="148"/>
      <c r="G35" s="150"/>
      <c r="H35" s="151"/>
      <c r="I35" s="152"/>
      <c r="J35" s="153">
        <v>1</v>
      </c>
      <c r="K35" s="154">
        <f t="shared" si="10"/>
        <v>0</v>
      </c>
      <c r="L35" s="154">
        <f t="shared" si="15"/>
        <v>0</v>
      </c>
      <c r="M35" s="155" t="str">
        <f t="array" ref="M35">IFERROR(INDEX(субъект,MATCH(SUM(COUNTIF(M$6:M34,субъект)),COUNTIF(субъект,"&lt;"&amp;субъект),0)),"")</f>
        <v/>
      </c>
      <c r="N35" s="155" t="str">
        <f t="array" ref="N35">IFERROR(INDEX(разряд,MATCH(SUM(COUNTIF(N$6:N34,разряд)),COUNTIF(разряд,"&lt;"&amp;разряд),0)),"")</f>
        <v/>
      </c>
      <c r="O35" s="156">
        <v>29</v>
      </c>
      <c r="P35" s="157" t="str">
        <f t="shared" si="1"/>
        <v/>
      </c>
      <c r="Q35" s="158">
        <f t="shared" si="2"/>
        <v>0</v>
      </c>
      <c r="R35" s="158">
        <f t="shared" si="3"/>
        <v>0</v>
      </c>
      <c r="S35" s="159">
        <f t="shared" si="4"/>
        <v>0</v>
      </c>
      <c r="T35" s="160">
        <f t="shared" si="5"/>
        <v>0</v>
      </c>
      <c r="U35" s="160">
        <f t="shared" si="6"/>
        <v>0</v>
      </c>
      <c r="V35" s="160">
        <f t="shared" si="7"/>
        <v>0</v>
      </c>
      <c r="W35" s="160">
        <f t="shared" si="8"/>
        <v>0</v>
      </c>
      <c r="X35" s="169"/>
      <c r="Y35" s="180" t="str">
        <f t="shared" si="16"/>
        <v/>
      </c>
      <c r="Z35" s="163" t="str">
        <f t="shared" si="17"/>
        <v xml:space="preserve"> </v>
      </c>
      <c r="AA35" s="163" t="str">
        <f t="shared" si="17"/>
        <v xml:space="preserve"> </v>
      </c>
      <c r="AB35" s="163" t="str">
        <f t="shared" si="17"/>
        <v xml:space="preserve"> </v>
      </c>
      <c r="AC35" s="163" t="str">
        <f t="shared" si="17"/>
        <v xml:space="preserve"> </v>
      </c>
      <c r="AD35" s="163" t="str">
        <f t="shared" si="14"/>
        <v xml:space="preserve"> </v>
      </c>
      <c r="AE35" s="163" t="str">
        <f t="shared" si="14"/>
        <v xml:space="preserve"> </v>
      </c>
      <c r="AF35" s="163" t="str">
        <f t="shared" si="14"/>
        <v xml:space="preserve"> </v>
      </c>
    </row>
    <row r="36" spans="1:32" ht="26.15" hidden="1" customHeight="1">
      <c r="A36" s="145" t="s">
        <v>52</v>
      </c>
      <c r="B36" s="146"/>
      <c r="C36" s="147"/>
      <c r="D36" s="148"/>
      <c r="E36" s="149"/>
      <c r="F36" s="148"/>
      <c r="G36" s="150"/>
      <c r="H36" s="151"/>
      <c r="I36" s="152"/>
      <c r="J36" s="153">
        <v>1</v>
      </c>
      <c r="K36" s="154">
        <f t="shared" si="10"/>
        <v>0</v>
      </c>
      <c r="L36" s="154">
        <f t="shared" si="15"/>
        <v>0</v>
      </c>
      <c r="M36" s="155" t="str">
        <f t="array" ref="M36">IFERROR(INDEX(субъект,MATCH(SUM(COUNTIF(M$6:M35,субъект)),COUNTIF(субъект,"&lt;"&amp;субъект),0)),"")</f>
        <v/>
      </c>
      <c r="N36" s="155" t="str">
        <f t="array" ref="N36">IFERROR(INDEX(разряд,MATCH(SUM(COUNTIF(N$6:N35,разряд)),COUNTIF(разряд,"&lt;"&amp;разряд),0)),"")</f>
        <v/>
      </c>
      <c r="O36" s="156">
        <v>30</v>
      </c>
      <c r="P36" s="157" t="str">
        <f t="shared" si="1"/>
        <v/>
      </c>
      <c r="Q36" s="158">
        <f t="shared" si="2"/>
        <v>0</v>
      </c>
      <c r="R36" s="158">
        <f t="shared" si="3"/>
        <v>0</v>
      </c>
      <c r="S36" s="159">
        <f t="shared" si="4"/>
        <v>0</v>
      </c>
      <c r="T36" s="160">
        <f t="shared" si="5"/>
        <v>0</v>
      </c>
      <c r="U36" s="160">
        <f t="shared" si="6"/>
        <v>0</v>
      </c>
      <c r="V36" s="160">
        <f t="shared" si="7"/>
        <v>0</v>
      </c>
      <c r="W36" s="160">
        <f t="shared" si="8"/>
        <v>0</v>
      </c>
      <c r="Y36" s="180" t="str">
        <f t="shared" si="16"/>
        <v/>
      </c>
      <c r="Z36" s="163" t="str">
        <f t="shared" si="17"/>
        <v xml:space="preserve"> </v>
      </c>
      <c r="AA36" s="163" t="str">
        <f t="shared" si="17"/>
        <v xml:space="preserve"> </v>
      </c>
      <c r="AB36" s="163" t="str">
        <f t="shared" si="17"/>
        <v xml:space="preserve"> </v>
      </c>
      <c r="AC36" s="163" t="str">
        <f t="shared" si="17"/>
        <v xml:space="preserve"> </v>
      </c>
      <c r="AD36" s="163" t="str">
        <f t="shared" si="14"/>
        <v xml:space="preserve"> </v>
      </c>
      <c r="AE36" s="163" t="str">
        <f t="shared" si="14"/>
        <v xml:space="preserve"> </v>
      </c>
      <c r="AF36" s="163" t="str">
        <f t="shared" si="14"/>
        <v xml:space="preserve"> </v>
      </c>
    </row>
    <row r="37" spans="1:32" ht="26.15" hidden="1" customHeight="1">
      <c r="A37" s="145" t="s">
        <v>53</v>
      </c>
      <c r="B37" s="146"/>
      <c r="C37" s="147"/>
      <c r="D37" s="148"/>
      <c r="E37" s="149"/>
      <c r="F37" s="148"/>
      <c r="G37" s="150"/>
      <c r="H37" s="151"/>
      <c r="I37" s="152"/>
      <c r="J37" s="153">
        <v>1</v>
      </c>
      <c r="K37" s="154">
        <f t="shared" si="10"/>
        <v>0</v>
      </c>
      <c r="L37" s="154">
        <f t="shared" si="15"/>
        <v>0</v>
      </c>
      <c r="M37" s="155" t="str">
        <f t="array" ref="M37">IFERROR(INDEX(субъект,MATCH(SUM(COUNTIF(M$6:M36,субъект)),COUNTIF(субъект,"&lt;"&amp;субъект),0)),"")</f>
        <v/>
      </c>
      <c r="N37" s="155" t="str">
        <f t="array" ref="N37">IFERROR(INDEX(разряд,MATCH(SUM(COUNTIF(N$6:N36,разряд)),COUNTIF(разряд,"&lt;"&amp;разряд),0)),"")</f>
        <v/>
      </c>
      <c r="O37" s="156">
        <v>31</v>
      </c>
      <c r="P37" s="157" t="str">
        <f t="shared" si="1"/>
        <v/>
      </c>
      <c r="Q37" s="158">
        <f t="shared" si="2"/>
        <v>0</v>
      </c>
      <c r="R37" s="158">
        <f t="shared" si="3"/>
        <v>0</v>
      </c>
      <c r="S37" s="159">
        <f t="shared" si="4"/>
        <v>0</v>
      </c>
      <c r="T37" s="160">
        <f t="shared" si="5"/>
        <v>0</v>
      </c>
      <c r="U37" s="160">
        <f t="shared" si="6"/>
        <v>0</v>
      </c>
      <c r="V37" s="160">
        <f t="shared" si="7"/>
        <v>0</v>
      </c>
      <c r="W37" s="160">
        <f t="shared" si="8"/>
        <v>0</v>
      </c>
      <c r="X37" s="169"/>
      <c r="Y37" s="180" t="str">
        <f t="shared" si="16"/>
        <v/>
      </c>
      <c r="Z37" s="163" t="str">
        <f t="shared" si="17"/>
        <v xml:space="preserve"> </v>
      </c>
      <c r="AA37" s="163" t="str">
        <f t="shared" si="17"/>
        <v xml:space="preserve"> </v>
      </c>
      <c r="AB37" s="163" t="str">
        <f t="shared" si="17"/>
        <v xml:space="preserve"> </v>
      </c>
      <c r="AC37" s="163" t="str">
        <f t="shared" si="17"/>
        <v xml:space="preserve"> </v>
      </c>
      <c r="AD37" s="163" t="str">
        <f t="shared" si="14"/>
        <v xml:space="preserve"> </v>
      </c>
      <c r="AE37" s="163" t="str">
        <f t="shared" si="14"/>
        <v xml:space="preserve"> </v>
      </c>
      <c r="AF37" s="163" t="str">
        <f t="shared" si="14"/>
        <v xml:space="preserve"> </v>
      </c>
    </row>
    <row r="38" spans="1:32" ht="26.15" hidden="1" customHeight="1">
      <c r="A38" s="145" t="s">
        <v>54</v>
      </c>
      <c r="B38" s="146"/>
      <c r="C38" s="147"/>
      <c r="D38" s="148"/>
      <c r="E38" s="149"/>
      <c r="F38" s="148"/>
      <c r="G38" s="150"/>
      <c r="H38" s="151"/>
      <c r="I38" s="152"/>
      <c r="J38" s="153">
        <v>1</v>
      </c>
      <c r="K38" s="154">
        <f t="shared" si="10"/>
        <v>0</v>
      </c>
      <c r="L38" s="154">
        <f t="shared" si="15"/>
        <v>0</v>
      </c>
      <c r="M38" s="155" t="str">
        <f t="array" ref="M38">IFERROR(INDEX(субъект,MATCH(SUM(COUNTIF(M$6:M37,субъект)),COUNTIF(субъект,"&lt;"&amp;субъект),0)),"")</f>
        <v/>
      </c>
      <c r="N38" s="155" t="str">
        <f t="array" ref="N38">IFERROR(INDEX(разряд,MATCH(SUM(COUNTIF(N$6:N37,разряд)),COUNTIF(разряд,"&lt;"&amp;разряд),0)),"")</f>
        <v/>
      </c>
      <c r="O38" s="156">
        <v>32</v>
      </c>
      <c r="P38" s="157" t="str">
        <f t="shared" si="1"/>
        <v/>
      </c>
      <c r="Q38" s="158">
        <f t="shared" si="2"/>
        <v>0</v>
      </c>
      <c r="R38" s="158">
        <f t="shared" si="3"/>
        <v>0</v>
      </c>
      <c r="S38" s="159">
        <f t="shared" si="4"/>
        <v>0</v>
      </c>
      <c r="T38" s="160">
        <f t="shared" si="5"/>
        <v>0</v>
      </c>
      <c r="U38" s="160">
        <f t="shared" si="6"/>
        <v>0</v>
      </c>
      <c r="V38" s="160">
        <f t="shared" si="7"/>
        <v>0</v>
      </c>
      <c r="W38" s="160">
        <f t="shared" si="8"/>
        <v>0</v>
      </c>
      <c r="Y38" s="180" t="str">
        <f t="shared" si="16"/>
        <v/>
      </c>
      <c r="Z38" s="163" t="str">
        <f t="shared" si="17"/>
        <v xml:space="preserve"> </v>
      </c>
      <c r="AA38" s="163" t="str">
        <f t="shared" si="17"/>
        <v xml:space="preserve"> </v>
      </c>
      <c r="AB38" s="163" t="str">
        <f t="shared" si="17"/>
        <v xml:space="preserve"> </v>
      </c>
      <c r="AC38" s="163" t="str">
        <f t="shared" si="17"/>
        <v xml:space="preserve"> </v>
      </c>
      <c r="AD38" s="163" t="str">
        <f t="shared" si="14"/>
        <v xml:space="preserve"> </v>
      </c>
      <c r="AE38" s="163" t="str">
        <f t="shared" si="14"/>
        <v xml:space="preserve"> </v>
      </c>
      <c r="AF38" s="163" t="str">
        <f t="shared" si="14"/>
        <v xml:space="preserve"> </v>
      </c>
    </row>
    <row r="39" spans="1:32" ht="26.15" hidden="1" customHeight="1">
      <c r="A39" s="145" t="s">
        <v>55</v>
      </c>
      <c r="B39" s="146"/>
      <c r="C39" s="147"/>
      <c r="D39" s="148"/>
      <c r="E39" s="149"/>
      <c r="F39" s="148"/>
      <c r="G39" s="150"/>
      <c r="H39" s="151"/>
      <c r="I39" s="152"/>
      <c r="J39" s="153">
        <v>1</v>
      </c>
      <c r="K39" s="154">
        <f t="shared" si="10"/>
        <v>0</v>
      </c>
      <c r="L39" s="154">
        <f t="shared" si="15"/>
        <v>0</v>
      </c>
      <c r="M39" s="155" t="str">
        <f t="array" ref="M39">IFERROR(INDEX(субъект,MATCH(SUM(COUNTIF(M$6:M38,субъект)),COUNTIF(субъект,"&lt;"&amp;субъект),0)),"")</f>
        <v/>
      </c>
      <c r="N39" s="155" t="str">
        <f t="array" ref="N39">IFERROR(INDEX(разряд,MATCH(SUM(COUNTIF(N$6:N38,разряд)),COUNTIF(разряд,"&lt;"&amp;разряд),0)),"")</f>
        <v/>
      </c>
      <c r="O39" s="156">
        <v>33</v>
      </c>
      <c r="P39" s="157" t="str">
        <f t="shared" si="1"/>
        <v/>
      </c>
      <c r="Q39" s="158">
        <f t="shared" si="2"/>
        <v>0</v>
      </c>
      <c r="R39" s="158">
        <f t="shared" si="3"/>
        <v>0</v>
      </c>
      <c r="S39" s="159">
        <f t="shared" si="4"/>
        <v>0</v>
      </c>
      <c r="T39" s="160">
        <f t="shared" si="5"/>
        <v>0</v>
      </c>
      <c r="U39" s="160">
        <f t="shared" si="6"/>
        <v>0</v>
      </c>
      <c r="V39" s="160">
        <f t="shared" si="7"/>
        <v>0</v>
      </c>
      <c r="W39" s="160">
        <f t="shared" si="8"/>
        <v>0</v>
      </c>
      <c r="X39" s="131">
        <f>SUM(Q7:T38)</f>
        <v>4</v>
      </c>
      <c r="Y39" s="180" t="str">
        <f t="shared" si="16"/>
        <v/>
      </c>
      <c r="Z39" s="163" t="str">
        <f t="shared" si="17"/>
        <v xml:space="preserve"> </v>
      </c>
      <c r="AA39" s="163" t="str">
        <f t="shared" si="17"/>
        <v xml:space="preserve"> </v>
      </c>
      <c r="AB39" s="163" t="str">
        <f t="shared" si="17"/>
        <v xml:space="preserve"> </v>
      </c>
      <c r="AC39" s="163" t="str">
        <f t="shared" si="17"/>
        <v xml:space="preserve"> </v>
      </c>
      <c r="AD39" s="163" t="str">
        <f t="shared" si="14"/>
        <v xml:space="preserve"> </v>
      </c>
      <c r="AE39" s="163" t="str">
        <f t="shared" si="14"/>
        <v xml:space="preserve"> </v>
      </c>
      <c r="AF39" s="163" t="str">
        <f t="shared" si="14"/>
        <v xml:space="preserve"> </v>
      </c>
    </row>
    <row r="40" spans="1:32" ht="26.15" hidden="1" customHeight="1">
      <c r="A40" s="145" t="s">
        <v>56</v>
      </c>
      <c r="B40" s="146"/>
      <c r="C40" s="147"/>
      <c r="D40" s="148"/>
      <c r="E40" s="149"/>
      <c r="F40" s="148"/>
      <c r="G40" s="150"/>
      <c r="H40" s="151"/>
      <c r="I40" s="152"/>
      <c r="J40" s="153">
        <v>1</v>
      </c>
      <c r="K40" s="154">
        <f t="shared" si="10"/>
        <v>0</v>
      </c>
      <c r="L40" s="154">
        <f t="shared" si="15"/>
        <v>0</v>
      </c>
      <c r="M40" s="155" t="str">
        <f t="array" ref="M40">IFERROR(INDEX(субъект,MATCH(SUM(COUNTIF(M$6:M39,субъект)),COUNTIF(субъект,"&lt;"&amp;субъект),0)),"")</f>
        <v/>
      </c>
      <c r="N40" s="155" t="str">
        <f t="array" ref="N40">IFERROR(INDEX(разряд,MATCH(SUM(COUNTIF(N$6:N39,разряд)),COUNTIF(разряд,"&lt;"&amp;разряд),0)),"")</f>
        <v/>
      </c>
      <c r="O40" s="156">
        <v>34</v>
      </c>
      <c r="P40" s="157" t="str">
        <f t="shared" si="1"/>
        <v/>
      </c>
      <c r="Q40" s="158">
        <f t="shared" si="2"/>
        <v>0</v>
      </c>
      <c r="R40" s="158">
        <f t="shared" si="3"/>
        <v>0</v>
      </c>
      <c r="S40" s="159">
        <f t="shared" si="4"/>
        <v>0</v>
      </c>
      <c r="T40" s="160">
        <f t="shared" si="5"/>
        <v>0</v>
      </c>
      <c r="U40" s="160">
        <f t="shared" si="6"/>
        <v>0</v>
      </c>
      <c r="V40" s="160">
        <f t="shared" si="7"/>
        <v>0</v>
      </c>
      <c r="W40" s="160">
        <f t="shared" si="8"/>
        <v>0</v>
      </c>
      <c r="Y40" s="180" t="str">
        <f t="shared" si="16"/>
        <v/>
      </c>
      <c r="Z40" s="163" t="str">
        <f t="shared" ref="Z40:AC70" si="18">IF(Q40=0," ",Q40)</f>
        <v xml:space="preserve"> </v>
      </c>
      <c r="AA40" s="163" t="str">
        <f t="shared" si="18"/>
        <v xml:space="preserve"> </v>
      </c>
      <c r="AB40" s="163" t="str">
        <f t="shared" si="18"/>
        <v xml:space="preserve"> </v>
      </c>
      <c r="AC40" s="163" t="str">
        <f t="shared" si="18"/>
        <v xml:space="preserve"> </v>
      </c>
      <c r="AD40" s="163" t="str">
        <f t="shared" si="14"/>
        <v xml:space="preserve"> </v>
      </c>
      <c r="AE40" s="163" t="str">
        <f t="shared" si="14"/>
        <v xml:space="preserve"> </v>
      </c>
      <c r="AF40" s="163" t="str">
        <f t="shared" si="14"/>
        <v xml:space="preserve"> </v>
      </c>
    </row>
    <row r="41" spans="1:32" ht="26.15" hidden="1" customHeight="1">
      <c r="A41" s="145" t="s">
        <v>57</v>
      </c>
      <c r="B41" s="146"/>
      <c r="C41" s="147"/>
      <c r="D41" s="148"/>
      <c r="E41" s="149"/>
      <c r="F41" s="148"/>
      <c r="G41" s="150"/>
      <c r="H41" s="151"/>
      <c r="I41" s="152"/>
      <c r="J41" s="153">
        <v>1</v>
      </c>
      <c r="K41" s="154">
        <f t="shared" si="10"/>
        <v>0</v>
      </c>
      <c r="L41" s="154">
        <f t="shared" si="15"/>
        <v>0</v>
      </c>
      <c r="M41" s="155" t="str">
        <f t="array" ref="M41">IFERROR(INDEX(субъект,MATCH(SUM(COUNTIF(M$6:M40,субъект)),COUNTIF(субъект,"&lt;"&amp;субъект),0)),"")</f>
        <v/>
      </c>
      <c r="N41" s="155" t="str">
        <f t="array" ref="N41">IFERROR(INDEX(разряд,MATCH(SUM(COUNTIF(N$6:N40,разряд)),COUNTIF(разряд,"&lt;"&amp;разряд),0)),"")</f>
        <v/>
      </c>
      <c r="O41" s="156">
        <v>35</v>
      </c>
      <c r="P41" s="157" t="str">
        <f t="shared" si="1"/>
        <v/>
      </c>
      <c r="Q41" s="158">
        <f t="shared" si="2"/>
        <v>0</v>
      </c>
      <c r="R41" s="158">
        <f t="shared" si="3"/>
        <v>0</v>
      </c>
      <c r="S41" s="159">
        <f t="shared" si="4"/>
        <v>0</v>
      </c>
      <c r="T41" s="160">
        <f t="shared" si="5"/>
        <v>0</v>
      </c>
      <c r="U41" s="160">
        <f t="shared" si="6"/>
        <v>0</v>
      </c>
      <c r="V41" s="160">
        <f t="shared" si="7"/>
        <v>0</v>
      </c>
      <c r="W41" s="160">
        <f t="shared" si="8"/>
        <v>0</v>
      </c>
      <c r="Y41" s="180" t="str">
        <f t="shared" si="16"/>
        <v/>
      </c>
      <c r="Z41" s="163" t="str">
        <f t="shared" si="18"/>
        <v xml:space="preserve"> </v>
      </c>
      <c r="AA41" s="163" t="str">
        <f t="shared" si="18"/>
        <v xml:space="preserve"> </v>
      </c>
      <c r="AB41" s="163" t="str">
        <f t="shared" si="18"/>
        <v xml:space="preserve"> </v>
      </c>
      <c r="AC41" s="163" t="str">
        <f t="shared" si="18"/>
        <v xml:space="preserve"> </v>
      </c>
      <c r="AD41" s="163" t="str">
        <f t="shared" si="14"/>
        <v xml:space="preserve"> </v>
      </c>
      <c r="AE41" s="163" t="str">
        <f t="shared" si="14"/>
        <v xml:space="preserve"> </v>
      </c>
      <c r="AF41" s="163" t="str">
        <f t="shared" si="14"/>
        <v xml:space="preserve"> </v>
      </c>
    </row>
    <row r="42" spans="1:32" ht="26.15" hidden="1" customHeight="1">
      <c r="A42" s="145" t="s">
        <v>58</v>
      </c>
      <c r="B42" s="146"/>
      <c r="C42" s="147"/>
      <c r="D42" s="148"/>
      <c r="E42" s="149"/>
      <c r="F42" s="148"/>
      <c r="G42" s="150"/>
      <c r="H42" s="151"/>
      <c r="I42" s="152"/>
      <c r="J42" s="153">
        <v>1</v>
      </c>
      <c r="K42" s="154">
        <f t="shared" si="10"/>
        <v>0</v>
      </c>
      <c r="L42" s="154">
        <f t="shared" si="15"/>
        <v>0</v>
      </c>
      <c r="M42" s="155" t="str">
        <f t="array" ref="M42">IFERROR(INDEX(субъект,MATCH(SUM(COUNTIF(M$6:M41,субъект)),COUNTIF(субъект,"&lt;"&amp;субъект),0)),"")</f>
        <v/>
      </c>
      <c r="N42" s="155" t="str">
        <f t="array" ref="N42">IFERROR(INDEX(разряд,MATCH(SUM(COUNTIF(N$6:N41,разряд)),COUNTIF(разряд,"&lt;"&amp;разряд),0)),"")</f>
        <v/>
      </c>
      <c r="O42" s="156">
        <v>36</v>
      </c>
      <c r="P42" s="157" t="str">
        <f t="shared" si="1"/>
        <v/>
      </c>
      <c r="Q42" s="158">
        <f t="shared" si="2"/>
        <v>0</v>
      </c>
      <c r="R42" s="158">
        <f t="shared" si="3"/>
        <v>0</v>
      </c>
      <c r="S42" s="159">
        <f t="shared" si="4"/>
        <v>0</v>
      </c>
      <c r="T42" s="160">
        <f t="shared" si="5"/>
        <v>0</v>
      </c>
      <c r="U42" s="160">
        <f t="shared" si="6"/>
        <v>0</v>
      </c>
      <c r="V42" s="160">
        <f t="shared" si="7"/>
        <v>0</v>
      </c>
      <c r="W42" s="160">
        <f t="shared" si="8"/>
        <v>0</v>
      </c>
      <c r="Y42" s="180" t="str">
        <f t="shared" si="16"/>
        <v/>
      </c>
      <c r="Z42" s="163" t="str">
        <f t="shared" si="18"/>
        <v xml:space="preserve"> </v>
      </c>
      <c r="AA42" s="163" t="str">
        <f t="shared" si="18"/>
        <v xml:space="preserve"> </v>
      </c>
      <c r="AB42" s="163" t="str">
        <f t="shared" si="18"/>
        <v xml:space="preserve"> </v>
      </c>
      <c r="AC42" s="163" t="str">
        <f t="shared" si="18"/>
        <v xml:space="preserve"> </v>
      </c>
      <c r="AD42" s="163" t="str">
        <f t="shared" si="14"/>
        <v xml:space="preserve"> </v>
      </c>
      <c r="AE42" s="163" t="str">
        <f t="shared" si="14"/>
        <v xml:space="preserve"> </v>
      </c>
      <c r="AF42" s="163" t="str">
        <f t="shared" si="14"/>
        <v xml:space="preserve"> </v>
      </c>
    </row>
    <row r="43" spans="1:32" ht="26.15" hidden="1" customHeight="1">
      <c r="A43" s="145" t="s">
        <v>59</v>
      </c>
      <c r="B43" s="146"/>
      <c r="C43" s="147"/>
      <c r="D43" s="148"/>
      <c r="E43" s="149"/>
      <c r="F43" s="148"/>
      <c r="G43" s="150"/>
      <c r="H43" s="151"/>
      <c r="I43" s="152"/>
      <c r="J43" s="153">
        <v>1</v>
      </c>
      <c r="K43" s="154">
        <f t="shared" si="10"/>
        <v>0</v>
      </c>
      <c r="L43" s="154">
        <f t="shared" si="15"/>
        <v>0</v>
      </c>
      <c r="M43" s="155" t="str">
        <f t="array" ref="M43">IFERROR(INDEX(субъект,MATCH(SUM(COUNTIF(M$6:M42,субъект)),COUNTIF(субъект,"&lt;"&amp;субъект),0)),"")</f>
        <v/>
      </c>
      <c r="N43" s="155" t="str">
        <f t="array" ref="N43">IFERROR(INDEX(разряд,MATCH(SUM(COUNTIF(N$6:N42,разряд)),COUNTIF(разряд,"&lt;"&amp;разряд),0)),"")</f>
        <v/>
      </c>
      <c r="O43" s="156">
        <v>37</v>
      </c>
      <c r="P43" s="157" t="str">
        <f t="shared" si="1"/>
        <v/>
      </c>
      <c r="Q43" s="158">
        <f t="shared" si="2"/>
        <v>0</v>
      </c>
      <c r="R43" s="158">
        <f t="shared" si="3"/>
        <v>0</v>
      </c>
      <c r="S43" s="159">
        <f t="shared" si="4"/>
        <v>0</v>
      </c>
      <c r="T43" s="160">
        <f t="shared" si="5"/>
        <v>0</v>
      </c>
      <c r="U43" s="160">
        <f t="shared" si="6"/>
        <v>0</v>
      </c>
      <c r="V43" s="160">
        <f t="shared" si="7"/>
        <v>0</v>
      </c>
      <c r="W43" s="160">
        <f t="shared" si="8"/>
        <v>0</v>
      </c>
      <c r="Y43" s="180" t="str">
        <f t="shared" si="16"/>
        <v/>
      </c>
      <c r="Z43" s="163" t="str">
        <f t="shared" si="18"/>
        <v xml:space="preserve"> </v>
      </c>
      <c r="AA43" s="163" t="str">
        <f t="shared" si="18"/>
        <v xml:space="preserve"> </v>
      </c>
      <c r="AB43" s="163" t="str">
        <f t="shared" si="18"/>
        <v xml:space="preserve"> </v>
      </c>
      <c r="AC43" s="163" t="str">
        <f t="shared" si="18"/>
        <v xml:space="preserve"> </v>
      </c>
      <c r="AD43" s="163" t="str">
        <f t="shared" si="14"/>
        <v xml:space="preserve"> </v>
      </c>
      <c r="AE43" s="163" t="str">
        <f t="shared" si="14"/>
        <v xml:space="preserve"> </v>
      </c>
      <c r="AF43" s="163" t="str">
        <f t="shared" si="14"/>
        <v xml:space="preserve"> </v>
      </c>
    </row>
    <row r="44" spans="1:32" ht="26.15" hidden="1" customHeight="1">
      <c r="A44" s="145" t="s">
        <v>60</v>
      </c>
      <c r="B44" s="146"/>
      <c r="C44" s="147"/>
      <c r="D44" s="148"/>
      <c r="E44" s="149"/>
      <c r="F44" s="148"/>
      <c r="G44" s="150"/>
      <c r="H44" s="151"/>
      <c r="I44" s="152"/>
      <c r="J44" s="153">
        <v>1</v>
      </c>
      <c r="K44" s="154">
        <f t="shared" si="10"/>
        <v>0</v>
      </c>
      <c r="L44" s="154">
        <f t="shared" si="15"/>
        <v>0</v>
      </c>
      <c r="M44" s="155" t="str">
        <f t="array" ref="M44">IFERROR(INDEX(субъект,MATCH(SUM(COUNTIF(M$6:M43,субъект)),COUNTIF(субъект,"&lt;"&amp;субъект),0)),"")</f>
        <v/>
      </c>
      <c r="N44" s="155" t="str">
        <f t="array" ref="N44">IFERROR(INDEX(разряд,MATCH(SUM(COUNTIF(N$6:N43,разряд)),COUNTIF(разряд,"&lt;"&amp;разряд),0)),"")</f>
        <v/>
      </c>
      <c r="O44" s="156">
        <v>38</v>
      </c>
      <c r="P44" s="157" t="str">
        <f t="shared" si="1"/>
        <v/>
      </c>
      <c r="Q44" s="158">
        <f t="shared" si="2"/>
        <v>0</v>
      </c>
      <c r="R44" s="158">
        <f t="shared" si="3"/>
        <v>0</v>
      </c>
      <c r="S44" s="159">
        <f t="shared" si="4"/>
        <v>0</v>
      </c>
      <c r="T44" s="160">
        <f t="shared" si="5"/>
        <v>0</v>
      </c>
      <c r="U44" s="160">
        <f t="shared" si="6"/>
        <v>0</v>
      </c>
      <c r="V44" s="160">
        <f t="shared" si="7"/>
        <v>0</v>
      </c>
      <c r="W44" s="160">
        <f t="shared" si="8"/>
        <v>0</v>
      </c>
      <c r="Y44" s="180" t="str">
        <f t="shared" si="16"/>
        <v/>
      </c>
      <c r="Z44" s="163" t="str">
        <f t="shared" si="18"/>
        <v xml:space="preserve"> </v>
      </c>
      <c r="AA44" s="163" t="str">
        <f t="shared" si="18"/>
        <v xml:space="preserve"> </v>
      </c>
      <c r="AB44" s="163" t="str">
        <f t="shared" si="18"/>
        <v xml:space="preserve"> </v>
      </c>
      <c r="AC44" s="163" t="str">
        <f t="shared" si="18"/>
        <v xml:space="preserve"> </v>
      </c>
      <c r="AD44" s="163" t="str">
        <f t="shared" si="14"/>
        <v xml:space="preserve"> </v>
      </c>
      <c r="AE44" s="163" t="str">
        <f t="shared" si="14"/>
        <v xml:space="preserve"> </v>
      </c>
      <c r="AF44" s="163" t="str">
        <f t="shared" si="14"/>
        <v xml:space="preserve"> </v>
      </c>
    </row>
    <row r="45" spans="1:32" ht="26.15" hidden="1" customHeight="1">
      <c r="A45" s="145" t="s">
        <v>61</v>
      </c>
      <c r="B45" s="146"/>
      <c r="C45" s="147"/>
      <c r="D45" s="148"/>
      <c r="E45" s="149"/>
      <c r="F45" s="148"/>
      <c r="G45" s="150"/>
      <c r="H45" s="151"/>
      <c r="I45" s="152"/>
      <c r="J45" s="153">
        <v>1</v>
      </c>
      <c r="K45" s="154">
        <f t="shared" si="10"/>
        <v>0</v>
      </c>
      <c r="L45" s="154">
        <f t="shared" si="15"/>
        <v>0</v>
      </c>
      <c r="M45" s="155" t="str">
        <f t="array" ref="M45">IFERROR(INDEX(субъект,MATCH(SUM(COUNTIF(M$6:M44,субъект)),COUNTIF(субъект,"&lt;"&amp;субъект),0)),"")</f>
        <v/>
      </c>
      <c r="N45" s="155" t="str">
        <f t="array" ref="N45">IFERROR(INDEX(разряд,MATCH(SUM(COUNTIF(N$6:N44,разряд)),COUNTIF(разряд,"&lt;"&amp;разряд),0)),"")</f>
        <v/>
      </c>
      <c r="O45" s="156">
        <v>39</v>
      </c>
      <c r="P45" s="157" t="str">
        <f t="shared" si="1"/>
        <v/>
      </c>
      <c r="Q45" s="158">
        <f t="shared" si="2"/>
        <v>0</v>
      </c>
      <c r="R45" s="158">
        <f t="shared" si="3"/>
        <v>0</v>
      </c>
      <c r="S45" s="159">
        <f t="shared" si="4"/>
        <v>0</v>
      </c>
      <c r="T45" s="160">
        <f t="shared" si="5"/>
        <v>0</v>
      </c>
      <c r="U45" s="160">
        <f t="shared" si="6"/>
        <v>0</v>
      </c>
      <c r="V45" s="160">
        <f t="shared" si="7"/>
        <v>0</v>
      </c>
      <c r="W45" s="160">
        <f t="shared" si="8"/>
        <v>0</v>
      </c>
      <c r="Y45" s="180" t="str">
        <f t="shared" si="16"/>
        <v/>
      </c>
      <c r="Z45" s="163" t="str">
        <f t="shared" si="18"/>
        <v xml:space="preserve"> </v>
      </c>
      <c r="AA45" s="163" t="str">
        <f t="shared" si="18"/>
        <v xml:space="preserve"> </v>
      </c>
      <c r="AB45" s="163" t="str">
        <f t="shared" si="18"/>
        <v xml:space="preserve"> </v>
      </c>
      <c r="AC45" s="163" t="str">
        <f t="shared" si="18"/>
        <v xml:space="preserve"> </v>
      </c>
      <c r="AD45" s="163" t="str">
        <f t="shared" si="14"/>
        <v xml:space="preserve"> </v>
      </c>
      <c r="AE45" s="163" t="str">
        <f t="shared" si="14"/>
        <v xml:space="preserve"> </v>
      </c>
      <c r="AF45" s="163" t="str">
        <f t="shared" si="14"/>
        <v xml:space="preserve"> </v>
      </c>
    </row>
    <row r="46" spans="1:32" ht="26.15" hidden="1" customHeight="1">
      <c r="A46" s="145" t="s">
        <v>62</v>
      </c>
      <c r="B46" s="146"/>
      <c r="C46" s="147"/>
      <c r="D46" s="148"/>
      <c r="E46" s="149"/>
      <c r="F46" s="148"/>
      <c r="G46" s="150"/>
      <c r="H46" s="151"/>
      <c r="I46" s="152"/>
      <c r="J46" s="153">
        <v>1</v>
      </c>
      <c r="K46" s="154">
        <f t="shared" si="10"/>
        <v>0</v>
      </c>
      <c r="L46" s="154">
        <f t="shared" si="15"/>
        <v>0</v>
      </c>
      <c r="M46" s="155" t="str">
        <f t="array" ref="M46">IFERROR(INDEX(субъект,MATCH(SUM(COUNTIF(M$6:M45,субъект)),COUNTIF(субъект,"&lt;"&amp;субъект),0)),"")</f>
        <v/>
      </c>
      <c r="N46" s="155" t="str">
        <f t="array" ref="N46">IFERROR(INDEX(разряд,MATCH(SUM(COUNTIF(N$6:N45,разряд)),COUNTIF(разряд,"&lt;"&amp;разряд),0)),"")</f>
        <v/>
      </c>
      <c r="O46" s="156">
        <v>40</v>
      </c>
      <c r="P46" s="157" t="str">
        <f t="shared" si="1"/>
        <v/>
      </c>
      <c r="Q46" s="158">
        <f t="shared" si="2"/>
        <v>0</v>
      </c>
      <c r="R46" s="158">
        <f t="shared" si="3"/>
        <v>0</v>
      </c>
      <c r="S46" s="159">
        <f t="shared" si="4"/>
        <v>0</v>
      </c>
      <c r="T46" s="160">
        <f t="shared" si="5"/>
        <v>0</v>
      </c>
      <c r="U46" s="160">
        <f t="shared" si="6"/>
        <v>0</v>
      </c>
      <c r="V46" s="160">
        <f t="shared" si="7"/>
        <v>0</v>
      </c>
      <c r="W46" s="160">
        <f t="shared" si="8"/>
        <v>0</v>
      </c>
      <c r="Y46" s="180" t="str">
        <f t="shared" si="16"/>
        <v/>
      </c>
      <c r="Z46" s="163" t="str">
        <f t="shared" si="18"/>
        <v xml:space="preserve"> </v>
      </c>
      <c r="AA46" s="163" t="str">
        <f t="shared" si="18"/>
        <v xml:space="preserve"> </v>
      </c>
      <c r="AB46" s="163" t="str">
        <f t="shared" si="18"/>
        <v xml:space="preserve"> </v>
      </c>
      <c r="AC46" s="163" t="str">
        <f t="shared" si="18"/>
        <v xml:space="preserve"> </v>
      </c>
      <c r="AD46" s="163" t="str">
        <f t="shared" si="14"/>
        <v xml:space="preserve"> </v>
      </c>
      <c r="AE46" s="163" t="str">
        <f t="shared" si="14"/>
        <v xml:space="preserve"> </v>
      </c>
      <c r="AF46" s="163" t="str">
        <f t="shared" si="14"/>
        <v xml:space="preserve"> </v>
      </c>
    </row>
    <row r="47" spans="1:32" ht="26.15" hidden="1" customHeight="1">
      <c r="A47" s="145" t="s">
        <v>87</v>
      </c>
      <c r="B47" s="146"/>
      <c r="C47" s="147"/>
      <c r="D47" s="148"/>
      <c r="E47" s="149"/>
      <c r="F47" s="148"/>
      <c r="G47" s="150"/>
      <c r="H47" s="151"/>
      <c r="I47" s="152"/>
      <c r="J47" s="153">
        <v>1</v>
      </c>
      <c r="K47" s="154">
        <f t="shared" si="10"/>
        <v>0</v>
      </c>
      <c r="L47" s="154">
        <f t="shared" si="15"/>
        <v>0</v>
      </c>
      <c r="M47" s="155" t="str">
        <f t="array" ref="M47">IFERROR(INDEX(субъект,MATCH(SUM(COUNTIF(M$6:M46,субъект)),COUNTIF(субъект,"&lt;"&amp;субъект),0)),"")</f>
        <v/>
      </c>
      <c r="N47" s="155" t="str">
        <f t="array" ref="N47">IFERROR(INDEX(разряд,MATCH(SUM(COUNTIF(N$6:N46,разряд)),COUNTIF(разряд,"&lt;"&amp;разряд),0)),"")</f>
        <v/>
      </c>
      <c r="O47" s="156">
        <v>41</v>
      </c>
      <c r="P47" s="157" t="str">
        <f t="shared" si="1"/>
        <v/>
      </c>
      <c r="Q47" s="158">
        <f t="shared" si="2"/>
        <v>0</v>
      </c>
      <c r="R47" s="158">
        <f t="shared" si="3"/>
        <v>0</v>
      </c>
      <c r="S47" s="159">
        <f t="shared" si="4"/>
        <v>0</v>
      </c>
      <c r="T47" s="160">
        <f t="shared" si="5"/>
        <v>0</v>
      </c>
      <c r="U47" s="160">
        <f t="shared" si="6"/>
        <v>0</v>
      </c>
      <c r="V47" s="160">
        <f t="shared" si="7"/>
        <v>0</v>
      </c>
      <c r="W47" s="160">
        <f t="shared" si="8"/>
        <v>0</v>
      </c>
      <c r="Y47" s="180" t="str">
        <f t="shared" si="16"/>
        <v/>
      </c>
      <c r="Z47" s="163" t="str">
        <f t="shared" si="18"/>
        <v xml:space="preserve"> </v>
      </c>
      <c r="AA47" s="163" t="str">
        <f t="shared" si="18"/>
        <v xml:space="preserve"> </v>
      </c>
      <c r="AB47" s="163" t="str">
        <f t="shared" si="18"/>
        <v xml:space="preserve"> </v>
      </c>
      <c r="AC47" s="163" t="str">
        <f t="shared" si="18"/>
        <v xml:space="preserve"> </v>
      </c>
      <c r="AD47" s="163" t="str">
        <f t="shared" si="14"/>
        <v xml:space="preserve"> </v>
      </c>
      <c r="AE47" s="163" t="str">
        <f t="shared" si="14"/>
        <v xml:space="preserve"> </v>
      </c>
      <c r="AF47" s="163" t="str">
        <f t="shared" si="14"/>
        <v xml:space="preserve"> </v>
      </c>
    </row>
    <row r="48" spans="1:32" ht="26.15" hidden="1" customHeight="1">
      <c r="A48" s="145" t="s">
        <v>88</v>
      </c>
      <c r="B48" s="146"/>
      <c r="C48" s="147"/>
      <c r="D48" s="148"/>
      <c r="E48" s="149"/>
      <c r="F48" s="148"/>
      <c r="G48" s="150"/>
      <c r="H48" s="151"/>
      <c r="I48" s="152"/>
      <c r="J48" s="153">
        <v>1</v>
      </c>
      <c r="K48" s="154">
        <f t="shared" si="10"/>
        <v>0</v>
      </c>
      <c r="L48" s="154">
        <f t="shared" si="15"/>
        <v>0</v>
      </c>
      <c r="M48" s="155" t="str">
        <f t="array" ref="M48">IFERROR(INDEX(субъект,MATCH(SUM(COUNTIF(M$6:M47,субъект)),COUNTIF(субъект,"&lt;"&amp;субъект),0)),"")</f>
        <v/>
      </c>
      <c r="N48" s="155" t="str">
        <f t="array" ref="N48">IFERROR(INDEX(разряд,MATCH(SUM(COUNTIF(N$6:N47,разряд)),COUNTIF(разряд,"&lt;"&amp;разряд),0)),"")</f>
        <v/>
      </c>
      <c r="O48" s="156">
        <v>42</v>
      </c>
      <c r="P48" s="157" t="str">
        <f t="shared" si="1"/>
        <v/>
      </c>
      <c r="Q48" s="158">
        <f t="shared" si="2"/>
        <v>0</v>
      </c>
      <c r="R48" s="158">
        <f t="shared" si="3"/>
        <v>0</v>
      </c>
      <c r="S48" s="159">
        <f t="shared" si="4"/>
        <v>0</v>
      </c>
      <c r="T48" s="160">
        <f t="shared" si="5"/>
        <v>0</v>
      </c>
      <c r="U48" s="160">
        <f t="shared" si="6"/>
        <v>0</v>
      </c>
      <c r="V48" s="160">
        <f t="shared" si="7"/>
        <v>0</v>
      </c>
      <c r="W48" s="160">
        <f t="shared" si="8"/>
        <v>0</v>
      </c>
      <c r="Y48" s="180" t="str">
        <f t="shared" si="16"/>
        <v/>
      </c>
      <c r="Z48" s="163" t="str">
        <f t="shared" si="18"/>
        <v xml:space="preserve"> </v>
      </c>
      <c r="AA48" s="163" t="str">
        <f t="shared" si="18"/>
        <v xml:space="preserve"> </v>
      </c>
      <c r="AB48" s="163" t="str">
        <f t="shared" si="18"/>
        <v xml:space="preserve"> </v>
      </c>
      <c r="AC48" s="163" t="str">
        <f t="shared" si="18"/>
        <v xml:space="preserve"> </v>
      </c>
      <c r="AD48" s="163" t="str">
        <f t="shared" si="14"/>
        <v xml:space="preserve"> </v>
      </c>
      <c r="AE48" s="163" t="str">
        <f t="shared" si="14"/>
        <v xml:space="preserve"> </v>
      </c>
      <c r="AF48" s="163" t="str">
        <f t="shared" si="14"/>
        <v xml:space="preserve"> </v>
      </c>
    </row>
    <row r="49" spans="1:32" ht="26.15" hidden="1" customHeight="1">
      <c r="A49" s="145" t="s">
        <v>89</v>
      </c>
      <c r="B49" s="146"/>
      <c r="C49" s="147"/>
      <c r="D49" s="148"/>
      <c r="E49" s="149"/>
      <c r="F49" s="148"/>
      <c r="G49" s="150"/>
      <c r="H49" s="151"/>
      <c r="I49" s="152"/>
      <c r="J49" s="153">
        <v>1</v>
      </c>
      <c r="K49" s="154">
        <f t="shared" si="10"/>
        <v>0</v>
      </c>
      <c r="L49" s="154">
        <f t="shared" si="15"/>
        <v>0</v>
      </c>
      <c r="M49" s="155" t="str">
        <f t="array" ref="M49">IFERROR(INDEX(субъект,MATCH(SUM(COUNTIF(M$6:M48,субъект)),COUNTIF(субъект,"&lt;"&amp;субъект),0)),"")</f>
        <v/>
      </c>
      <c r="N49" s="155" t="str">
        <f t="array" ref="N49">IFERROR(INDEX(разряд,MATCH(SUM(COUNTIF(N$6:N48,разряд)),COUNTIF(разряд,"&lt;"&amp;разряд),0)),"")</f>
        <v/>
      </c>
      <c r="O49" s="156">
        <v>43</v>
      </c>
      <c r="P49" s="157" t="str">
        <f t="shared" si="1"/>
        <v/>
      </c>
      <c r="Q49" s="158">
        <f t="shared" si="2"/>
        <v>0</v>
      </c>
      <c r="R49" s="158">
        <f t="shared" si="3"/>
        <v>0</v>
      </c>
      <c r="S49" s="159">
        <f t="shared" si="4"/>
        <v>0</v>
      </c>
      <c r="T49" s="160">
        <f t="shared" si="5"/>
        <v>0</v>
      </c>
      <c r="U49" s="160">
        <f t="shared" si="6"/>
        <v>0</v>
      </c>
      <c r="V49" s="160">
        <f t="shared" si="7"/>
        <v>0</v>
      </c>
      <c r="W49" s="160">
        <f t="shared" si="8"/>
        <v>0</v>
      </c>
      <c r="Y49" s="180" t="str">
        <f t="shared" si="16"/>
        <v/>
      </c>
      <c r="Z49" s="163" t="str">
        <f t="shared" si="18"/>
        <v xml:space="preserve"> </v>
      </c>
      <c r="AA49" s="163" t="str">
        <f t="shared" si="18"/>
        <v xml:space="preserve"> </v>
      </c>
      <c r="AB49" s="163" t="str">
        <f t="shared" si="18"/>
        <v xml:space="preserve"> </v>
      </c>
      <c r="AC49" s="163" t="str">
        <f t="shared" si="18"/>
        <v xml:space="preserve"> </v>
      </c>
      <c r="AD49" s="163" t="str">
        <f t="shared" si="14"/>
        <v xml:space="preserve"> </v>
      </c>
      <c r="AE49" s="163" t="str">
        <f t="shared" si="14"/>
        <v xml:space="preserve"> </v>
      </c>
      <c r="AF49" s="163" t="str">
        <f t="shared" si="14"/>
        <v xml:space="preserve"> </v>
      </c>
    </row>
    <row r="50" spans="1:32" ht="26.15" hidden="1" customHeight="1">
      <c r="A50" s="145" t="s">
        <v>90</v>
      </c>
      <c r="B50" s="146"/>
      <c r="C50" s="147"/>
      <c r="D50" s="148"/>
      <c r="E50" s="149"/>
      <c r="F50" s="148"/>
      <c r="G50" s="150"/>
      <c r="H50" s="151"/>
      <c r="I50" s="152"/>
      <c r="J50" s="153">
        <v>1</v>
      </c>
      <c r="K50" s="154">
        <f t="shared" si="10"/>
        <v>0</v>
      </c>
      <c r="L50" s="154">
        <f t="shared" si="15"/>
        <v>0</v>
      </c>
      <c r="M50" s="155" t="str">
        <f t="array" ref="M50">IFERROR(INDEX(субъект,MATCH(SUM(COUNTIF(M$6:M49,субъект)),COUNTIF(субъект,"&lt;"&amp;субъект),0)),"")</f>
        <v/>
      </c>
      <c r="N50" s="155" t="str">
        <f t="array" ref="N50">IFERROR(INDEX(разряд,MATCH(SUM(COUNTIF(N$6:N49,разряд)),COUNTIF(разряд,"&lt;"&amp;разряд),0)),"")</f>
        <v/>
      </c>
      <c r="O50" s="156">
        <v>44</v>
      </c>
      <c r="P50" s="157" t="str">
        <f t="shared" si="1"/>
        <v/>
      </c>
      <c r="Q50" s="158">
        <f t="shared" si="2"/>
        <v>0</v>
      </c>
      <c r="R50" s="158">
        <f t="shared" si="3"/>
        <v>0</v>
      </c>
      <c r="S50" s="159">
        <f t="shared" si="4"/>
        <v>0</v>
      </c>
      <c r="T50" s="160">
        <f t="shared" si="5"/>
        <v>0</v>
      </c>
      <c r="U50" s="160">
        <f t="shared" si="6"/>
        <v>0</v>
      </c>
      <c r="V50" s="160">
        <f t="shared" si="7"/>
        <v>0</v>
      </c>
      <c r="W50" s="160">
        <f t="shared" si="8"/>
        <v>0</v>
      </c>
      <c r="Y50" s="180" t="str">
        <f t="shared" si="16"/>
        <v/>
      </c>
      <c r="Z50" s="163" t="str">
        <f t="shared" si="18"/>
        <v xml:space="preserve"> </v>
      </c>
      <c r="AA50" s="163" t="str">
        <f t="shared" si="18"/>
        <v xml:space="preserve"> </v>
      </c>
      <c r="AB50" s="163" t="str">
        <f t="shared" si="18"/>
        <v xml:space="preserve"> </v>
      </c>
      <c r="AC50" s="163" t="str">
        <f t="shared" si="18"/>
        <v xml:space="preserve"> </v>
      </c>
      <c r="AD50" s="163" t="str">
        <f t="shared" si="14"/>
        <v xml:space="preserve"> </v>
      </c>
      <c r="AE50" s="163" t="str">
        <f t="shared" si="14"/>
        <v xml:space="preserve"> </v>
      </c>
      <c r="AF50" s="163" t="str">
        <f t="shared" si="14"/>
        <v xml:space="preserve"> </v>
      </c>
    </row>
    <row r="51" spans="1:32" ht="26.15" hidden="1" customHeight="1">
      <c r="A51" s="145" t="s">
        <v>91</v>
      </c>
      <c r="B51" s="146"/>
      <c r="C51" s="147"/>
      <c r="D51" s="148"/>
      <c r="E51" s="149"/>
      <c r="F51" s="148"/>
      <c r="G51" s="150"/>
      <c r="H51" s="151"/>
      <c r="I51" s="152"/>
      <c r="J51" s="153">
        <v>1</v>
      </c>
      <c r="K51" s="154">
        <f t="shared" si="10"/>
        <v>0</v>
      </c>
      <c r="L51" s="154">
        <f t="shared" si="15"/>
        <v>0</v>
      </c>
      <c r="M51" s="155" t="str">
        <f t="array" ref="M51">IFERROR(INDEX(субъект,MATCH(SUM(COUNTIF(M$6:M50,субъект)),COUNTIF(субъект,"&lt;"&amp;субъект),0)),"")</f>
        <v/>
      </c>
      <c r="N51" s="155" t="str">
        <f t="array" ref="N51">IFERROR(INDEX(разряд,MATCH(SUM(COUNTIF(N$6:N50,разряд)),COUNTIF(разряд,"&lt;"&amp;разряд),0)),"")</f>
        <v/>
      </c>
      <c r="O51" s="156">
        <v>45</v>
      </c>
      <c r="P51" s="157" t="str">
        <f t="shared" si="1"/>
        <v/>
      </c>
      <c r="Q51" s="158">
        <f t="shared" si="2"/>
        <v>0</v>
      </c>
      <c r="R51" s="158">
        <f t="shared" si="3"/>
        <v>0</v>
      </c>
      <c r="S51" s="159">
        <f t="shared" si="4"/>
        <v>0</v>
      </c>
      <c r="T51" s="160">
        <f t="shared" si="5"/>
        <v>0</v>
      </c>
      <c r="U51" s="160">
        <f t="shared" si="6"/>
        <v>0</v>
      </c>
      <c r="V51" s="160">
        <f t="shared" si="7"/>
        <v>0</v>
      </c>
      <c r="W51" s="160">
        <f t="shared" si="8"/>
        <v>0</v>
      </c>
      <c r="Y51" s="180" t="str">
        <f t="shared" si="16"/>
        <v/>
      </c>
      <c r="Z51" s="163" t="str">
        <f t="shared" si="18"/>
        <v xml:space="preserve"> </v>
      </c>
      <c r="AA51" s="163" t="str">
        <f t="shared" si="18"/>
        <v xml:space="preserve"> </v>
      </c>
      <c r="AB51" s="163" t="str">
        <f t="shared" si="18"/>
        <v xml:space="preserve"> </v>
      </c>
      <c r="AC51" s="163" t="str">
        <f t="shared" si="18"/>
        <v xml:space="preserve"> </v>
      </c>
      <c r="AD51" s="163" t="str">
        <f t="shared" si="14"/>
        <v xml:space="preserve"> </v>
      </c>
      <c r="AE51" s="163" t="str">
        <f t="shared" si="14"/>
        <v xml:space="preserve"> </v>
      </c>
      <c r="AF51" s="163" t="str">
        <f t="shared" si="14"/>
        <v xml:space="preserve"> </v>
      </c>
    </row>
    <row r="52" spans="1:32" ht="26.15" hidden="1" customHeight="1">
      <c r="A52" s="145" t="s">
        <v>92</v>
      </c>
      <c r="B52" s="146"/>
      <c r="C52" s="147"/>
      <c r="D52" s="148"/>
      <c r="E52" s="149"/>
      <c r="F52" s="148"/>
      <c r="G52" s="150"/>
      <c r="H52" s="151"/>
      <c r="I52" s="152"/>
      <c r="J52" s="153">
        <v>1</v>
      </c>
      <c r="K52" s="154">
        <f t="shared" si="10"/>
        <v>0</v>
      </c>
      <c r="L52" s="154">
        <f t="shared" si="15"/>
        <v>0</v>
      </c>
      <c r="M52" s="155" t="str">
        <f t="array" ref="M52">IFERROR(INDEX(субъект,MATCH(SUM(COUNTIF(M$6:M51,субъект)),COUNTIF(субъект,"&lt;"&amp;субъект),0)),"")</f>
        <v/>
      </c>
      <c r="N52" s="155"/>
      <c r="O52" s="156">
        <v>46</v>
      </c>
      <c r="P52" s="157" t="str">
        <f t="shared" si="1"/>
        <v/>
      </c>
      <c r="Q52" s="158">
        <f t="shared" si="2"/>
        <v>0</v>
      </c>
      <c r="R52" s="158">
        <f t="shared" si="3"/>
        <v>0</v>
      </c>
      <c r="S52" s="159">
        <f t="shared" si="4"/>
        <v>0</v>
      </c>
      <c r="T52" s="160">
        <f t="shared" si="5"/>
        <v>0</v>
      </c>
      <c r="U52" s="160">
        <f t="shared" si="6"/>
        <v>0</v>
      </c>
      <c r="V52" s="160">
        <f t="shared" si="7"/>
        <v>0</v>
      </c>
      <c r="W52" s="160">
        <f t="shared" si="8"/>
        <v>0</v>
      </c>
      <c r="Y52" s="180" t="str">
        <f t="shared" si="16"/>
        <v/>
      </c>
      <c r="Z52" s="163" t="str">
        <f t="shared" si="18"/>
        <v xml:space="preserve"> </v>
      </c>
      <c r="AA52" s="163" t="str">
        <f t="shared" si="18"/>
        <v xml:space="preserve"> </v>
      </c>
      <c r="AB52" s="163" t="str">
        <f t="shared" si="18"/>
        <v xml:space="preserve"> </v>
      </c>
      <c r="AC52" s="163" t="str">
        <f t="shared" si="18"/>
        <v xml:space="preserve"> </v>
      </c>
      <c r="AD52" s="163" t="str">
        <f t="shared" si="14"/>
        <v xml:space="preserve"> </v>
      </c>
      <c r="AE52" s="163" t="str">
        <f t="shared" si="14"/>
        <v xml:space="preserve"> </v>
      </c>
      <c r="AF52" s="163" t="str">
        <f t="shared" si="14"/>
        <v xml:space="preserve"> </v>
      </c>
    </row>
    <row r="53" spans="1:32" ht="26.15" hidden="1" customHeight="1">
      <c r="A53" s="145" t="s">
        <v>93</v>
      </c>
      <c r="B53" s="146"/>
      <c r="C53" s="147"/>
      <c r="D53" s="148"/>
      <c r="E53" s="149"/>
      <c r="F53" s="148"/>
      <c r="G53" s="150"/>
      <c r="H53" s="151"/>
      <c r="I53" s="152"/>
      <c r="J53" s="153">
        <v>1</v>
      </c>
      <c r="K53" s="154">
        <f t="shared" si="10"/>
        <v>0</v>
      </c>
      <c r="L53" s="154">
        <f t="shared" si="15"/>
        <v>0</v>
      </c>
      <c r="M53" s="155" t="str">
        <f t="array" ref="M53">IFERROR(INDEX(субъект,MATCH(SUM(COUNTIF(M$6:M52,субъект)),COUNTIF(субъект,"&lt;"&amp;субъект),0)),"")</f>
        <v/>
      </c>
      <c r="N53" s="155"/>
      <c r="O53" s="156">
        <v>47</v>
      </c>
      <c r="P53" s="157" t="str">
        <f t="shared" si="1"/>
        <v/>
      </c>
      <c r="Q53" s="158">
        <f t="shared" si="2"/>
        <v>0</v>
      </c>
      <c r="R53" s="158">
        <f t="shared" si="3"/>
        <v>0</v>
      </c>
      <c r="S53" s="159">
        <f t="shared" si="4"/>
        <v>0</v>
      </c>
      <c r="T53" s="160">
        <f t="shared" si="5"/>
        <v>0</v>
      </c>
      <c r="U53" s="160">
        <f t="shared" si="6"/>
        <v>0</v>
      </c>
      <c r="V53" s="160">
        <f t="shared" si="7"/>
        <v>0</v>
      </c>
      <c r="W53" s="160">
        <f t="shared" si="8"/>
        <v>0</v>
      </c>
      <c r="Y53" s="180" t="str">
        <f t="shared" si="16"/>
        <v/>
      </c>
      <c r="Z53" s="163" t="str">
        <f t="shared" si="18"/>
        <v xml:space="preserve"> </v>
      </c>
      <c r="AA53" s="163" t="str">
        <f t="shared" si="18"/>
        <v xml:space="preserve"> </v>
      </c>
      <c r="AB53" s="163" t="str">
        <f t="shared" si="18"/>
        <v xml:space="preserve"> </v>
      </c>
      <c r="AC53" s="163" t="str">
        <f t="shared" si="18"/>
        <v xml:space="preserve"> </v>
      </c>
      <c r="AD53" s="163" t="str">
        <f t="shared" si="14"/>
        <v xml:space="preserve"> </v>
      </c>
      <c r="AE53" s="163" t="str">
        <f t="shared" si="14"/>
        <v xml:space="preserve"> </v>
      </c>
      <c r="AF53" s="163" t="str">
        <f t="shared" si="14"/>
        <v xml:space="preserve"> </v>
      </c>
    </row>
    <row r="54" spans="1:32" ht="26.15" hidden="1" customHeight="1">
      <c r="A54" s="145" t="s">
        <v>94</v>
      </c>
      <c r="B54" s="146"/>
      <c r="C54" s="147"/>
      <c r="D54" s="148"/>
      <c r="E54" s="149"/>
      <c r="F54" s="148"/>
      <c r="G54" s="150"/>
      <c r="H54" s="151"/>
      <c r="I54" s="152"/>
      <c r="J54" s="153">
        <v>1</v>
      </c>
      <c r="K54" s="154">
        <f t="shared" si="10"/>
        <v>0</v>
      </c>
      <c r="L54" s="154">
        <f t="shared" si="15"/>
        <v>0</v>
      </c>
      <c r="M54" s="155" t="str">
        <f t="array" ref="M54">IFERROR(INDEX(субъект,MATCH(SUM(COUNTIF(M$6:M53,субъект)),COUNTIF(субъект,"&lt;"&amp;субъект),0)),"")</f>
        <v/>
      </c>
      <c r="N54" s="155"/>
      <c r="O54" s="156">
        <v>48</v>
      </c>
      <c r="P54" s="157" t="str">
        <f t="shared" si="1"/>
        <v/>
      </c>
      <c r="Q54" s="158">
        <f t="shared" si="2"/>
        <v>0</v>
      </c>
      <c r="R54" s="158">
        <f t="shared" si="3"/>
        <v>0</v>
      </c>
      <c r="S54" s="159">
        <f t="shared" si="4"/>
        <v>0</v>
      </c>
      <c r="T54" s="160">
        <f t="shared" si="5"/>
        <v>0</v>
      </c>
      <c r="U54" s="160">
        <f t="shared" si="6"/>
        <v>0</v>
      </c>
      <c r="V54" s="160">
        <f t="shared" si="7"/>
        <v>0</v>
      </c>
      <c r="W54" s="160">
        <f t="shared" si="8"/>
        <v>0</v>
      </c>
      <c r="Y54" s="180" t="str">
        <f t="shared" si="16"/>
        <v/>
      </c>
      <c r="Z54" s="163" t="str">
        <f t="shared" si="18"/>
        <v xml:space="preserve"> </v>
      </c>
      <c r="AA54" s="163" t="str">
        <f t="shared" si="18"/>
        <v xml:space="preserve"> </v>
      </c>
      <c r="AB54" s="163" t="str">
        <f t="shared" si="18"/>
        <v xml:space="preserve"> </v>
      </c>
      <c r="AC54" s="163" t="str">
        <f t="shared" si="18"/>
        <v xml:space="preserve"> </v>
      </c>
      <c r="AD54" s="163" t="str">
        <f t="shared" si="14"/>
        <v xml:space="preserve"> </v>
      </c>
      <c r="AE54" s="163" t="str">
        <f t="shared" si="14"/>
        <v xml:space="preserve"> </v>
      </c>
      <c r="AF54" s="163" t="str">
        <f t="shared" si="14"/>
        <v xml:space="preserve"> </v>
      </c>
    </row>
    <row r="55" spans="1:32" ht="26.15" hidden="1" customHeight="1">
      <c r="A55" s="145" t="s">
        <v>95</v>
      </c>
      <c r="B55" s="146"/>
      <c r="C55" s="147"/>
      <c r="D55" s="148"/>
      <c r="E55" s="149"/>
      <c r="F55" s="148"/>
      <c r="G55" s="150"/>
      <c r="H55" s="151"/>
      <c r="I55" s="152"/>
      <c r="J55" s="153">
        <v>1</v>
      </c>
      <c r="K55" s="154">
        <f t="shared" si="10"/>
        <v>0</v>
      </c>
      <c r="L55" s="154">
        <f t="shared" si="15"/>
        <v>0</v>
      </c>
      <c r="M55" s="155" t="str">
        <f t="array" ref="M55">IFERROR(INDEX(субъект,MATCH(SUM(COUNTIF(M$6:M54,субъект)),COUNTIF(субъект,"&lt;"&amp;субъект),0)),"")</f>
        <v/>
      </c>
      <c r="N55" s="155"/>
      <c r="O55" s="156">
        <v>49</v>
      </c>
      <c r="P55" s="157" t="str">
        <f t="shared" si="1"/>
        <v/>
      </c>
      <c r="Q55" s="158">
        <f t="shared" si="2"/>
        <v>0</v>
      </c>
      <c r="R55" s="158">
        <f t="shared" si="3"/>
        <v>0</v>
      </c>
      <c r="S55" s="159">
        <f t="shared" si="4"/>
        <v>0</v>
      </c>
      <c r="T55" s="160">
        <f t="shared" si="5"/>
        <v>0</v>
      </c>
      <c r="U55" s="160">
        <f t="shared" si="6"/>
        <v>0</v>
      </c>
      <c r="V55" s="160">
        <f t="shared" si="7"/>
        <v>0</v>
      </c>
      <c r="W55" s="160">
        <f t="shared" si="8"/>
        <v>0</v>
      </c>
      <c r="Y55" s="180" t="str">
        <f t="shared" si="16"/>
        <v/>
      </c>
      <c r="Z55" s="163" t="str">
        <f t="shared" si="18"/>
        <v xml:space="preserve"> </v>
      </c>
      <c r="AA55" s="163" t="str">
        <f t="shared" si="18"/>
        <v xml:space="preserve"> </v>
      </c>
      <c r="AB55" s="163" t="str">
        <f t="shared" si="18"/>
        <v xml:space="preserve"> </v>
      </c>
      <c r="AC55" s="163" t="str">
        <f t="shared" si="18"/>
        <v xml:space="preserve"> </v>
      </c>
      <c r="AD55" s="163" t="str">
        <f t="shared" si="14"/>
        <v xml:space="preserve"> </v>
      </c>
      <c r="AE55" s="163" t="str">
        <f t="shared" si="14"/>
        <v xml:space="preserve"> </v>
      </c>
      <c r="AF55" s="163" t="str">
        <f t="shared" si="14"/>
        <v xml:space="preserve"> </v>
      </c>
    </row>
    <row r="56" spans="1:32" ht="26.15" hidden="1" customHeight="1">
      <c r="A56" s="145" t="s">
        <v>96</v>
      </c>
      <c r="B56" s="146"/>
      <c r="C56" s="147"/>
      <c r="D56" s="148"/>
      <c r="E56" s="149"/>
      <c r="F56" s="148"/>
      <c r="G56" s="150"/>
      <c r="H56" s="151"/>
      <c r="I56" s="152"/>
      <c r="J56" s="153">
        <v>1</v>
      </c>
      <c r="K56" s="154">
        <f t="shared" si="10"/>
        <v>0</v>
      </c>
      <c r="L56" s="154">
        <f t="shared" si="15"/>
        <v>0</v>
      </c>
      <c r="M56" s="155" t="str">
        <f t="array" ref="M56">IFERROR(INDEX(субъект,MATCH(SUM(COUNTIF(M$6:M55,субъект)),COUNTIF(субъект,"&lt;"&amp;субъект),0)),"")</f>
        <v/>
      </c>
      <c r="N56" s="155"/>
      <c r="O56" s="156">
        <v>50</v>
      </c>
      <c r="P56" s="157" t="str">
        <f t="shared" si="1"/>
        <v/>
      </c>
      <c r="Q56" s="158">
        <f t="shared" si="2"/>
        <v>0</v>
      </c>
      <c r="R56" s="158">
        <f t="shared" si="3"/>
        <v>0</v>
      </c>
      <c r="S56" s="159">
        <f t="shared" si="4"/>
        <v>0</v>
      </c>
      <c r="T56" s="160">
        <f t="shared" si="5"/>
        <v>0</v>
      </c>
      <c r="U56" s="160">
        <f t="shared" si="6"/>
        <v>0</v>
      </c>
      <c r="V56" s="160">
        <f t="shared" si="7"/>
        <v>0</v>
      </c>
      <c r="W56" s="160">
        <f t="shared" si="8"/>
        <v>0</v>
      </c>
      <c r="Y56" s="180" t="str">
        <f t="shared" si="16"/>
        <v/>
      </c>
      <c r="Z56" s="163" t="str">
        <f t="shared" si="18"/>
        <v xml:space="preserve"> </v>
      </c>
      <c r="AA56" s="163" t="str">
        <f t="shared" si="18"/>
        <v xml:space="preserve"> </v>
      </c>
      <c r="AB56" s="163" t="str">
        <f t="shared" si="18"/>
        <v xml:space="preserve"> </v>
      </c>
      <c r="AC56" s="163" t="str">
        <f t="shared" si="18"/>
        <v xml:space="preserve"> </v>
      </c>
      <c r="AD56" s="163" t="str">
        <f t="shared" si="14"/>
        <v xml:space="preserve"> </v>
      </c>
      <c r="AE56" s="163" t="str">
        <f t="shared" si="14"/>
        <v xml:space="preserve"> </v>
      </c>
      <c r="AF56" s="163" t="str">
        <f t="shared" si="14"/>
        <v xml:space="preserve"> </v>
      </c>
    </row>
    <row r="57" spans="1:32" ht="26.15" hidden="1" customHeight="1">
      <c r="A57" s="145" t="s">
        <v>97</v>
      </c>
      <c r="B57" s="146"/>
      <c r="C57" s="147"/>
      <c r="D57" s="148"/>
      <c r="E57" s="149"/>
      <c r="F57" s="148"/>
      <c r="G57" s="150"/>
      <c r="H57" s="151"/>
      <c r="I57" s="152"/>
      <c r="J57" s="153">
        <v>1</v>
      </c>
      <c r="K57" s="154">
        <f t="shared" si="10"/>
        <v>0</v>
      </c>
      <c r="L57" s="154">
        <f t="shared" si="15"/>
        <v>0</v>
      </c>
      <c r="M57" s="155" t="str">
        <f t="array" ref="M57">IFERROR(INDEX(субъект,MATCH(SUM(COUNTIF(M$6:M56,субъект)),COUNTIF(субъект,"&lt;"&amp;субъект),0)),"")</f>
        <v/>
      </c>
      <c r="N57" s="155"/>
      <c r="O57" s="156">
        <v>51</v>
      </c>
      <c r="P57" s="157" t="str">
        <f t="shared" si="1"/>
        <v/>
      </c>
      <c r="Q57" s="158">
        <f t="shared" si="2"/>
        <v>0</v>
      </c>
      <c r="R57" s="158">
        <f t="shared" si="3"/>
        <v>0</v>
      </c>
      <c r="S57" s="159">
        <f t="shared" si="4"/>
        <v>0</v>
      </c>
      <c r="T57" s="160">
        <f t="shared" si="5"/>
        <v>0</v>
      </c>
      <c r="U57" s="160">
        <f t="shared" si="6"/>
        <v>0</v>
      </c>
      <c r="V57" s="160">
        <f t="shared" si="7"/>
        <v>0</v>
      </c>
      <c r="W57" s="160">
        <f t="shared" si="8"/>
        <v>0</v>
      </c>
      <c r="Y57" s="180" t="str">
        <f t="shared" si="16"/>
        <v/>
      </c>
      <c r="Z57" s="163" t="str">
        <f t="shared" si="18"/>
        <v xml:space="preserve"> </v>
      </c>
      <c r="AA57" s="163" t="str">
        <f t="shared" si="18"/>
        <v xml:space="preserve"> </v>
      </c>
      <c r="AB57" s="163" t="str">
        <f t="shared" si="18"/>
        <v xml:space="preserve"> </v>
      </c>
      <c r="AC57" s="163" t="str">
        <f t="shared" si="18"/>
        <v xml:space="preserve"> </v>
      </c>
      <c r="AD57" s="163" t="str">
        <f t="shared" si="14"/>
        <v xml:space="preserve"> </v>
      </c>
      <c r="AE57" s="163" t="str">
        <f t="shared" si="14"/>
        <v xml:space="preserve"> </v>
      </c>
      <c r="AF57" s="163" t="str">
        <f t="shared" si="14"/>
        <v xml:space="preserve"> </v>
      </c>
    </row>
    <row r="58" spans="1:32" ht="26.15" hidden="1" customHeight="1">
      <c r="A58" s="145" t="s">
        <v>98</v>
      </c>
      <c r="B58" s="146"/>
      <c r="C58" s="147"/>
      <c r="D58" s="148"/>
      <c r="E58" s="149"/>
      <c r="F58" s="148"/>
      <c r="G58" s="150"/>
      <c r="H58" s="151"/>
      <c r="I58" s="152"/>
      <c r="J58" s="153">
        <v>1</v>
      </c>
      <c r="K58" s="154">
        <f t="shared" si="10"/>
        <v>0</v>
      </c>
      <c r="L58" s="154">
        <f t="shared" si="15"/>
        <v>0</v>
      </c>
      <c r="M58" s="155" t="str">
        <f t="array" ref="M58">IFERROR(INDEX(субъект,MATCH(SUM(COUNTIF(M$6:M57,субъект)),COUNTIF(субъект,"&lt;"&amp;субъект),0)),"")</f>
        <v/>
      </c>
      <c r="N58" s="155"/>
      <c r="O58" s="156">
        <v>52</v>
      </c>
      <c r="P58" s="157" t="str">
        <f t="shared" si="1"/>
        <v/>
      </c>
      <c r="Q58" s="158">
        <f t="shared" si="2"/>
        <v>0</v>
      </c>
      <c r="R58" s="158">
        <f t="shared" si="3"/>
        <v>0</v>
      </c>
      <c r="S58" s="159">
        <f t="shared" si="4"/>
        <v>0</v>
      </c>
      <c r="T58" s="160">
        <f t="shared" si="5"/>
        <v>0</v>
      </c>
      <c r="U58" s="160">
        <f t="shared" si="6"/>
        <v>0</v>
      </c>
      <c r="V58" s="160">
        <f t="shared" si="7"/>
        <v>0</v>
      </c>
      <c r="W58" s="160">
        <f t="shared" si="8"/>
        <v>0</v>
      </c>
      <c r="Y58" s="180" t="str">
        <f t="shared" si="16"/>
        <v/>
      </c>
      <c r="Z58" s="163" t="str">
        <f t="shared" si="18"/>
        <v xml:space="preserve"> </v>
      </c>
      <c r="AA58" s="163" t="str">
        <f t="shared" si="18"/>
        <v xml:space="preserve"> </v>
      </c>
      <c r="AB58" s="163" t="str">
        <f t="shared" si="18"/>
        <v xml:space="preserve"> </v>
      </c>
      <c r="AC58" s="163" t="str">
        <f t="shared" si="18"/>
        <v xml:space="preserve"> </v>
      </c>
      <c r="AD58" s="163" t="str">
        <f t="shared" si="14"/>
        <v xml:space="preserve"> </v>
      </c>
      <c r="AE58" s="163" t="str">
        <f t="shared" si="14"/>
        <v xml:space="preserve"> </v>
      </c>
      <c r="AF58" s="163" t="str">
        <f t="shared" si="14"/>
        <v xml:space="preserve"> </v>
      </c>
    </row>
    <row r="59" spans="1:32" ht="26.15" hidden="1" customHeight="1">
      <c r="A59" s="145" t="s">
        <v>99</v>
      </c>
      <c r="B59" s="146"/>
      <c r="C59" s="147"/>
      <c r="D59" s="148"/>
      <c r="E59" s="149"/>
      <c r="F59" s="148"/>
      <c r="G59" s="150"/>
      <c r="H59" s="151"/>
      <c r="I59" s="152"/>
      <c r="J59" s="153">
        <v>1</v>
      </c>
      <c r="K59" s="154">
        <f t="shared" si="10"/>
        <v>0</v>
      </c>
      <c r="L59" s="154">
        <f t="shared" si="15"/>
        <v>0</v>
      </c>
      <c r="M59" s="155" t="str">
        <f t="array" ref="M59">IFERROR(INDEX(субъект,MATCH(SUM(COUNTIF(M$6:M58,субъект)),COUNTIF(субъект,"&lt;"&amp;субъект),0)),"")</f>
        <v/>
      </c>
      <c r="N59" s="155"/>
      <c r="O59" s="156">
        <v>53</v>
      </c>
      <c r="P59" s="157" t="str">
        <f t="shared" si="1"/>
        <v/>
      </c>
      <c r="Q59" s="158">
        <f t="shared" si="2"/>
        <v>0</v>
      </c>
      <c r="R59" s="158">
        <f t="shared" si="3"/>
        <v>0</v>
      </c>
      <c r="S59" s="159">
        <f t="shared" si="4"/>
        <v>0</v>
      </c>
      <c r="T59" s="160">
        <f t="shared" si="5"/>
        <v>0</v>
      </c>
      <c r="U59" s="160">
        <f t="shared" si="6"/>
        <v>0</v>
      </c>
      <c r="V59" s="160">
        <f t="shared" si="7"/>
        <v>0</v>
      </c>
      <c r="W59" s="160">
        <f t="shared" si="8"/>
        <v>0</v>
      </c>
      <c r="Y59" s="180" t="str">
        <f t="shared" si="16"/>
        <v/>
      </c>
      <c r="Z59" s="163" t="str">
        <f t="shared" si="18"/>
        <v xml:space="preserve"> </v>
      </c>
      <c r="AA59" s="163" t="str">
        <f t="shared" si="18"/>
        <v xml:space="preserve"> </v>
      </c>
      <c r="AB59" s="163" t="str">
        <f t="shared" si="18"/>
        <v xml:space="preserve"> </v>
      </c>
      <c r="AC59" s="163" t="str">
        <f t="shared" si="18"/>
        <v xml:space="preserve"> </v>
      </c>
      <c r="AD59" s="163" t="str">
        <f t="shared" si="14"/>
        <v xml:space="preserve"> </v>
      </c>
      <c r="AE59" s="163" t="str">
        <f t="shared" si="14"/>
        <v xml:space="preserve"> </v>
      </c>
      <c r="AF59" s="163" t="str">
        <f t="shared" si="14"/>
        <v xml:space="preserve"> </v>
      </c>
    </row>
    <row r="60" spans="1:32" ht="26.15" hidden="1" customHeight="1">
      <c r="A60" s="145" t="s">
        <v>100</v>
      </c>
      <c r="B60" s="146"/>
      <c r="C60" s="147"/>
      <c r="D60" s="148"/>
      <c r="E60" s="149"/>
      <c r="F60" s="148"/>
      <c r="G60" s="150"/>
      <c r="H60" s="151"/>
      <c r="I60" s="152"/>
      <c r="J60" s="153">
        <v>1</v>
      </c>
      <c r="K60" s="154">
        <f t="shared" si="10"/>
        <v>0</v>
      </c>
      <c r="L60" s="154">
        <f t="shared" si="15"/>
        <v>0</v>
      </c>
      <c r="M60" s="155" t="str">
        <f t="array" ref="M60">IFERROR(INDEX(субъект,MATCH(SUM(COUNTIF(M$6:M59,субъект)),COUNTIF(субъект,"&lt;"&amp;субъект),0)),"")</f>
        <v/>
      </c>
      <c r="N60" s="155"/>
      <c r="O60" s="156">
        <v>54</v>
      </c>
      <c r="P60" s="157" t="str">
        <f t="shared" si="1"/>
        <v/>
      </c>
      <c r="Q60" s="158">
        <f t="shared" si="2"/>
        <v>0</v>
      </c>
      <c r="R60" s="158">
        <f t="shared" si="3"/>
        <v>0</v>
      </c>
      <c r="S60" s="159">
        <f t="shared" si="4"/>
        <v>0</v>
      </c>
      <c r="T60" s="160">
        <f t="shared" si="5"/>
        <v>0</v>
      </c>
      <c r="U60" s="160">
        <f t="shared" si="6"/>
        <v>0</v>
      </c>
      <c r="V60" s="160">
        <f t="shared" si="7"/>
        <v>0</v>
      </c>
      <c r="W60" s="160">
        <f t="shared" si="8"/>
        <v>0</v>
      </c>
      <c r="Y60" s="180" t="str">
        <f t="shared" si="16"/>
        <v/>
      </c>
      <c r="Z60" s="163" t="str">
        <f t="shared" si="18"/>
        <v xml:space="preserve"> </v>
      </c>
      <c r="AA60" s="163" t="str">
        <f t="shared" si="18"/>
        <v xml:space="preserve"> </v>
      </c>
      <c r="AB60" s="163" t="str">
        <f t="shared" si="18"/>
        <v xml:space="preserve"> </v>
      </c>
      <c r="AC60" s="163" t="str">
        <f t="shared" si="18"/>
        <v xml:space="preserve"> </v>
      </c>
      <c r="AD60" s="163" t="str">
        <f t="shared" si="14"/>
        <v xml:space="preserve"> </v>
      </c>
      <c r="AE60" s="163" t="str">
        <f t="shared" si="14"/>
        <v xml:space="preserve"> </v>
      </c>
      <c r="AF60" s="163" t="str">
        <f t="shared" si="14"/>
        <v xml:space="preserve"> </v>
      </c>
    </row>
    <row r="61" spans="1:32" ht="26.15" hidden="1" customHeight="1">
      <c r="A61" s="145" t="s">
        <v>101</v>
      </c>
      <c r="B61" s="146"/>
      <c r="C61" s="147"/>
      <c r="D61" s="148"/>
      <c r="E61" s="149"/>
      <c r="F61" s="148"/>
      <c r="G61" s="150"/>
      <c r="H61" s="151"/>
      <c r="I61" s="152"/>
      <c r="J61" s="153">
        <v>1</v>
      </c>
      <c r="K61" s="154">
        <f t="shared" si="10"/>
        <v>0</v>
      </c>
      <c r="L61" s="154">
        <f t="shared" si="15"/>
        <v>0</v>
      </c>
      <c r="M61" s="155" t="str">
        <f t="array" ref="M61">IFERROR(INDEX(субъект,MATCH(SUM(COUNTIF(M$6:M60,субъект)),COUNTIF(субъект,"&lt;"&amp;субъект),0)),"")</f>
        <v/>
      </c>
      <c r="N61" s="155"/>
      <c r="O61" s="156">
        <v>55</v>
      </c>
      <c r="P61" s="157" t="str">
        <f t="shared" si="1"/>
        <v/>
      </c>
      <c r="Q61" s="158">
        <f t="shared" si="2"/>
        <v>0</v>
      </c>
      <c r="R61" s="158">
        <f t="shared" si="3"/>
        <v>0</v>
      </c>
      <c r="S61" s="159">
        <f t="shared" si="4"/>
        <v>0</v>
      </c>
      <c r="T61" s="160">
        <f t="shared" si="5"/>
        <v>0</v>
      </c>
      <c r="U61" s="160">
        <f t="shared" si="6"/>
        <v>0</v>
      </c>
      <c r="V61" s="160">
        <f t="shared" si="7"/>
        <v>0</v>
      </c>
      <c r="W61" s="160">
        <f t="shared" si="8"/>
        <v>0</v>
      </c>
      <c r="Y61" s="180" t="str">
        <f t="shared" si="16"/>
        <v/>
      </c>
      <c r="Z61" s="163" t="str">
        <f t="shared" si="18"/>
        <v xml:space="preserve"> </v>
      </c>
      <c r="AA61" s="163" t="str">
        <f t="shared" si="18"/>
        <v xml:space="preserve"> </v>
      </c>
      <c r="AB61" s="163" t="str">
        <f t="shared" si="18"/>
        <v xml:space="preserve"> </v>
      </c>
      <c r="AC61" s="163" t="str">
        <f t="shared" si="18"/>
        <v xml:space="preserve"> </v>
      </c>
      <c r="AD61" s="163" t="str">
        <f t="shared" si="14"/>
        <v xml:space="preserve"> </v>
      </c>
      <c r="AE61" s="163" t="str">
        <f t="shared" si="14"/>
        <v xml:space="preserve"> </v>
      </c>
      <c r="AF61" s="163" t="str">
        <f t="shared" si="14"/>
        <v xml:space="preserve"> </v>
      </c>
    </row>
    <row r="62" spans="1:32" ht="26.15" hidden="1" customHeight="1">
      <c r="A62" s="145" t="s">
        <v>102</v>
      </c>
      <c r="B62" s="146"/>
      <c r="C62" s="147"/>
      <c r="D62" s="148"/>
      <c r="E62" s="149"/>
      <c r="F62" s="148"/>
      <c r="G62" s="150"/>
      <c r="H62" s="151"/>
      <c r="I62" s="152"/>
      <c r="J62" s="153">
        <v>1</v>
      </c>
      <c r="K62" s="154">
        <f t="shared" si="10"/>
        <v>0</v>
      </c>
      <c r="L62" s="154">
        <f t="shared" si="15"/>
        <v>0</v>
      </c>
      <c r="M62" s="155" t="str">
        <f t="array" ref="M62">IFERROR(INDEX(субъект,MATCH(SUM(COUNTIF(M$6:M61,субъект)),COUNTIF(субъект,"&lt;"&amp;субъект),0)),"")</f>
        <v/>
      </c>
      <c r="N62" s="155"/>
      <c r="O62" s="156">
        <v>56</v>
      </c>
      <c r="P62" s="157" t="str">
        <f t="shared" si="1"/>
        <v/>
      </c>
      <c r="Q62" s="158">
        <f t="shared" si="2"/>
        <v>0</v>
      </c>
      <c r="R62" s="158">
        <f t="shared" si="3"/>
        <v>0</v>
      </c>
      <c r="S62" s="159">
        <f t="shared" si="4"/>
        <v>0</v>
      </c>
      <c r="T62" s="160">
        <f t="shared" si="5"/>
        <v>0</v>
      </c>
      <c r="U62" s="160">
        <f t="shared" si="6"/>
        <v>0</v>
      </c>
      <c r="V62" s="160">
        <f t="shared" si="7"/>
        <v>0</v>
      </c>
      <c r="W62" s="160">
        <f t="shared" si="8"/>
        <v>0</v>
      </c>
      <c r="Y62" s="180" t="str">
        <f t="shared" si="16"/>
        <v/>
      </c>
      <c r="Z62" s="163" t="str">
        <f t="shared" si="18"/>
        <v xml:space="preserve"> </v>
      </c>
      <c r="AA62" s="163" t="str">
        <f t="shared" si="18"/>
        <v xml:space="preserve"> </v>
      </c>
      <c r="AB62" s="163" t="str">
        <f t="shared" si="18"/>
        <v xml:space="preserve"> </v>
      </c>
      <c r="AC62" s="163" t="str">
        <f t="shared" si="18"/>
        <v xml:space="preserve"> </v>
      </c>
      <c r="AD62" s="163" t="str">
        <f t="shared" si="14"/>
        <v xml:space="preserve"> </v>
      </c>
      <c r="AE62" s="163" t="str">
        <f t="shared" si="14"/>
        <v xml:space="preserve"> </v>
      </c>
      <c r="AF62" s="163" t="str">
        <f t="shared" si="14"/>
        <v xml:space="preserve"> </v>
      </c>
    </row>
    <row r="63" spans="1:32" ht="26.15" hidden="1" customHeight="1">
      <c r="A63" s="145" t="s">
        <v>119</v>
      </c>
      <c r="B63" s="146"/>
      <c r="C63" s="147"/>
      <c r="D63" s="148"/>
      <c r="E63" s="149"/>
      <c r="F63" s="148"/>
      <c r="G63" s="150"/>
      <c r="H63" s="151"/>
      <c r="I63" s="152"/>
      <c r="J63" s="153">
        <v>1</v>
      </c>
      <c r="K63" s="154">
        <f t="shared" si="10"/>
        <v>0</v>
      </c>
      <c r="L63" s="154">
        <f t="shared" si="15"/>
        <v>0</v>
      </c>
      <c r="M63" s="155" t="str">
        <f t="array" ref="M63">IFERROR(INDEX(субъект,MATCH(SUM(COUNTIF(M$6:M62,субъект)),COUNTIF(субъект,"&lt;"&amp;субъект),0)),"")</f>
        <v/>
      </c>
      <c r="N63" s="155"/>
      <c r="O63" s="156">
        <v>57</v>
      </c>
      <c r="P63" s="157" t="str">
        <f t="shared" si="1"/>
        <v/>
      </c>
      <c r="Q63" s="158">
        <f t="shared" si="2"/>
        <v>0</v>
      </c>
      <c r="R63" s="158">
        <f t="shared" si="3"/>
        <v>0</v>
      </c>
      <c r="S63" s="159">
        <f t="shared" si="4"/>
        <v>0</v>
      </c>
      <c r="T63" s="160">
        <f t="shared" si="5"/>
        <v>0</v>
      </c>
      <c r="U63" s="160">
        <f t="shared" si="6"/>
        <v>0</v>
      </c>
      <c r="V63" s="160">
        <f t="shared" si="7"/>
        <v>0</v>
      </c>
      <c r="W63" s="160">
        <f t="shared" si="8"/>
        <v>0</v>
      </c>
      <c r="Y63" s="180" t="str">
        <f t="shared" si="16"/>
        <v/>
      </c>
      <c r="Z63" s="163" t="str">
        <f t="shared" si="18"/>
        <v xml:space="preserve"> </v>
      </c>
      <c r="AA63" s="163" t="str">
        <f t="shared" si="18"/>
        <v xml:space="preserve"> </v>
      </c>
      <c r="AB63" s="163" t="str">
        <f t="shared" si="18"/>
        <v xml:space="preserve"> </v>
      </c>
      <c r="AC63" s="163" t="str">
        <f t="shared" si="18"/>
        <v xml:space="preserve"> </v>
      </c>
      <c r="AD63" s="163" t="str">
        <f t="shared" si="14"/>
        <v xml:space="preserve"> </v>
      </c>
      <c r="AE63" s="163" t="str">
        <f t="shared" si="14"/>
        <v xml:space="preserve"> </v>
      </c>
      <c r="AF63" s="163" t="str">
        <f t="shared" si="14"/>
        <v xml:space="preserve"> </v>
      </c>
    </row>
    <row r="64" spans="1:32" ht="26.15" hidden="1" customHeight="1">
      <c r="A64" s="145" t="s">
        <v>120</v>
      </c>
      <c r="B64" s="146"/>
      <c r="C64" s="147"/>
      <c r="D64" s="148"/>
      <c r="E64" s="149"/>
      <c r="F64" s="148"/>
      <c r="G64" s="150"/>
      <c r="H64" s="151"/>
      <c r="I64" s="152"/>
      <c r="J64" s="153">
        <v>1</v>
      </c>
      <c r="K64" s="154">
        <f t="shared" si="10"/>
        <v>0</v>
      </c>
      <c r="L64" s="154">
        <f t="shared" si="15"/>
        <v>0</v>
      </c>
      <c r="M64" s="155" t="str">
        <f t="array" ref="M64">IFERROR(INDEX(субъект,MATCH(SUM(COUNTIF(M$6:M63,субъект)),COUNTIF(субъект,"&lt;"&amp;субъект),0)),"")</f>
        <v/>
      </c>
      <c r="N64" s="155"/>
      <c r="O64" s="156">
        <v>58</v>
      </c>
      <c r="P64" s="157" t="str">
        <f t="shared" si="1"/>
        <v/>
      </c>
      <c r="Q64" s="158">
        <f t="shared" si="2"/>
        <v>0</v>
      </c>
      <c r="R64" s="158">
        <f t="shared" si="3"/>
        <v>0</v>
      </c>
      <c r="S64" s="159">
        <f t="shared" si="4"/>
        <v>0</v>
      </c>
      <c r="T64" s="160">
        <f t="shared" si="5"/>
        <v>0</v>
      </c>
      <c r="U64" s="160">
        <f t="shared" si="6"/>
        <v>0</v>
      </c>
      <c r="V64" s="160">
        <f t="shared" si="7"/>
        <v>0</v>
      </c>
      <c r="W64" s="160">
        <f t="shared" si="8"/>
        <v>0</v>
      </c>
      <c r="Y64" s="180" t="str">
        <f t="shared" si="16"/>
        <v/>
      </c>
      <c r="Z64" s="163" t="str">
        <f t="shared" si="18"/>
        <v xml:space="preserve"> </v>
      </c>
      <c r="AA64" s="163" t="str">
        <f t="shared" si="18"/>
        <v xml:space="preserve"> </v>
      </c>
      <c r="AB64" s="163" t="str">
        <f t="shared" si="18"/>
        <v xml:space="preserve"> </v>
      </c>
      <c r="AC64" s="163" t="str">
        <f t="shared" si="18"/>
        <v xml:space="preserve"> </v>
      </c>
      <c r="AD64" s="163" t="str">
        <f t="shared" si="14"/>
        <v xml:space="preserve"> </v>
      </c>
      <c r="AE64" s="163" t="str">
        <f t="shared" si="14"/>
        <v xml:space="preserve"> </v>
      </c>
      <c r="AF64" s="163" t="str">
        <f t="shared" si="14"/>
        <v xml:space="preserve"> </v>
      </c>
    </row>
    <row r="65" spans="1:38" ht="26.15" hidden="1" customHeight="1">
      <c r="A65" s="145" t="s">
        <v>121</v>
      </c>
      <c r="B65" s="146"/>
      <c r="C65" s="147"/>
      <c r="D65" s="148"/>
      <c r="E65" s="149"/>
      <c r="F65" s="148"/>
      <c r="G65" s="150"/>
      <c r="H65" s="151"/>
      <c r="I65" s="152"/>
      <c r="J65" s="153">
        <v>1</v>
      </c>
      <c r="K65" s="154">
        <f t="shared" si="10"/>
        <v>0</v>
      </c>
      <c r="L65" s="154">
        <f t="shared" si="15"/>
        <v>0</v>
      </c>
      <c r="M65" s="155" t="str">
        <f t="array" ref="M65">IFERROR(INDEX(субъект,MATCH(SUM(COUNTIF(M$6:M64,субъект)),COUNTIF(субъект,"&lt;"&amp;субъект),0)),"")</f>
        <v/>
      </c>
      <c r="N65" s="155"/>
      <c r="O65" s="156">
        <v>59</v>
      </c>
      <c r="P65" s="157" t="str">
        <f t="shared" si="1"/>
        <v/>
      </c>
      <c r="Q65" s="158">
        <f t="shared" si="2"/>
        <v>0</v>
      </c>
      <c r="R65" s="158">
        <f t="shared" si="3"/>
        <v>0</v>
      </c>
      <c r="S65" s="159">
        <f t="shared" si="4"/>
        <v>0</v>
      </c>
      <c r="T65" s="160">
        <f t="shared" si="5"/>
        <v>0</v>
      </c>
      <c r="U65" s="160">
        <f t="shared" si="6"/>
        <v>0</v>
      </c>
      <c r="V65" s="160">
        <f t="shared" si="7"/>
        <v>0</v>
      </c>
      <c r="W65" s="160">
        <f t="shared" si="8"/>
        <v>0</v>
      </c>
      <c r="Y65" s="180" t="str">
        <f t="shared" si="16"/>
        <v/>
      </c>
      <c r="Z65" s="163" t="str">
        <f t="shared" si="18"/>
        <v xml:space="preserve"> </v>
      </c>
      <c r="AA65" s="163" t="str">
        <f t="shared" si="18"/>
        <v xml:space="preserve"> </v>
      </c>
      <c r="AB65" s="163" t="str">
        <f t="shared" si="18"/>
        <v xml:space="preserve"> </v>
      </c>
      <c r="AC65" s="163" t="str">
        <f t="shared" si="18"/>
        <v xml:space="preserve"> </v>
      </c>
      <c r="AD65" s="163" t="str">
        <f t="shared" si="14"/>
        <v xml:space="preserve"> </v>
      </c>
      <c r="AE65" s="163" t="str">
        <f t="shared" si="14"/>
        <v xml:space="preserve"> </v>
      </c>
      <c r="AF65" s="163" t="str">
        <f t="shared" si="14"/>
        <v xml:space="preserve"> </v>
      </c>
    </row>
    <row r="66" spans="1:38" ht="26.15" hidden="1" customHeight="1">
      <c r="A66" s="145" t="s">
        <v>122</v>
      </c>
      <c r="B66" s="146"/>
      <c r="C66" s="147"/>
      <c r="D66" s="148"/>
      <c r="E66" s="149"/>
      <c r="F66" s="148"/>
      <c r="G66" s="150"/>
      <c r="H66" s="151"/>
      <c r="I66" s="152"/>
      <c r="J66" s="153">
        <v>1</v>
      </c>
      <c r="K66" s="154">
        <f t="shared" si="10"/>
        <v>0</v>
      </c>
      <c r="L66" s="154">
        <f t="shared" si="15"/>
        <v>0</v>
      </c>
      <c r="M66" s="155" t="str">
        <f t="array" ref="M66">IFERROR(INDEX(субъект,MATCH(SUM(COUNTIF(M$6:M65,субъект)),COUNTIF(субъект,"&lt;"&amp;субъект),0)),"")</f>
        <v/>
      </c>
      <c r="N66" s="155"/>
      <c r="O66" s="156">
        <v>60</v>
      </c>
      <c r="P66" s="157" t="str">
        <f t="shared" si="1"/>
        <v/>
      </c>
      <c r="Q66" s="158">
        <f t="shared" si="2"/>
        <v>0</v>
      </c>
      <c r="R66" s="158">
        <f t="shared" si="3"/>
        <v>0</v>
      </c>
      <c r="S66" s="159">
        <f t="shared" si="4"/>
        <v>0</v>
      </c>
      <c r="T66" s="160">
        <f t="shared" si="5"/>
        <v>0</v>
      </c>
      <c r="U66" s="160">
        <f t="shared" si="6"/>
        <v>0</v>
      </c>
      <c r="V66" s="160">
        <f t="shared" si="7"/>
        <v>0</v>
      </c>
      <c r="W66" s="160">
        <f t="shared" si="8"/>
        <v>0</v>
      </c>
      <c r="Y66" s="180" t="str">
        <f t="shared" si="16"/>
        <v/>
      </c>
      <c r="Z66" s="163" t="str">
        <f t="shared" si="18"/>
        <v xml:space="preserve"> </v>
      </c>
      <c r="AA66" s="163" t="str">
        <f t="shared" si="18"/>
        <v xml:space="preserve"> </v>
      </c>
      <c r="AB66" s="163" t="str">
        <f t="shared" si="18"/>
        <v xml:space="preserve"> </v>
      </c>
      <c r="AC66" s="163" t="str">
        <f t="shared" si="18"/>
        <v xml:space="preserve"> </v>
      </c>
      <c r="AD66" s="163" t="str">
        <f t="shared" si="14"/>
        <v xml:space="preserve"> </v>
      </c>
      <c r="AE66" s="163" t="str">
        <f t="shared" si="14"/>
        <v xml:space="preserve"> </v>
      </c>
      <c r="AF66" s="163" t="str">
        <f t="shared" si="14"/>
        <v xml:space="preserve"> </v>
      </c>
    </row>
    <row r="67" spans="1:38" ht="26.15" hidden="1" customHeight="1">
      <c r="A67" s="145" t="s">
        <v>123</v>
      </c>
      <c r="B67" s="146"/>
      <c r="C67" s="147"/>
      <c r="D67" s="148"/>
      <c r="E67" s="149"/>
      <c r="F67" s="148"/>
      <c r="G67" s="150"/>
      <c r="H67" s="151"/>
      <c r="I67" s="152"/>
      <c r="J67" s="153">
        <v>1</v>
      </c>
      <c r="K67" s="154">
        <f t="shared" si="10"/>
        <v>0</v>
      </c>
      <c r="L67" s="154">
        <f t="shared" si="15"/>
        <v>0</v>
      </c>
      <c r="M67" s="155" t="str">
        <f t="array" ref="M67">IFERROR(INDEX(субъект,MATCH(SUM(COUNTIF(M$6:M66,субъект)),COUNTIF(субъект,"&lt;"&amp;субъект),0)),"")</f>
        <v/>
      </c>
      <c r="N67" s="155"/>
      <c r="O67" s="156">
        <v>61</v>
      </c>
      <c r="P67" s="157" t="str">
        <f t="shared" si="1"/>
        <v/>
      </c>
      <c r="Q67" s="158">
        <f t="shared" si="2"/>
        <v>0</v>
      </c>
      <c r="R67" s="158">
        <f t="shared" si="3"/>
        <v>0</v>
      </c>
      <c r="S67" s="159">
        <f t="shared" si="4"/>
        <v>0</v>
      </c>
      <c r="T67" s="160">
        <f t="shared" si="5"/>
        <v>0</v>
      </c>
      <c r="U67" s="160">
        <f t="shared" si="6"/>
        <v>0</v>
      </c>
      <c r="V67" s="160">
        <f t="shared" si="7"/>
        <v>0</v>
      </c>
      <c r="W67" s="160">
        <f t="shared" si="8"/>
        <v>0</v>
      </c>
      <c r="Y67" s="180" t="str">
        <f t="shared" si="16"/>
        <v/>
      </c>
      <c r="Z67" s="163" t="str">
        <f t="shared" si="18"/>
        <v xml:space="preserve"> </v>
      </c>
      <c r="AA67" s="163" t="str">
        <f t="shared" si="18"/>
        <v xml:space="preserve"> </v>
      </c>
      <c r="AB67" s="163" t="str">
        <f t="shared" si="18"/>
        <v xml:space="preserve"> </v>
      </c>
      <c r="AC67" s="163" t="str">
        <f t="shared" si="18"/>
        <v xml:space="preserve"> </v>
      </c>
      <c r="AD67" s="163" t="str">
        <f t="shared" si="14"/>
        <v xml:space="preserve"> </v>
      </c>
      <c r="AE67" s="163" t="str">
        <f t="shared" si="14"/>
        <v xml:space="preserve"> </v>
      </c>
      <c r="AF67" s="163" t="str">
        <f t="shared" si="14"/>
        <v xml:space="preserve"> </v>
      </c>
    </row>
    <row r="68" spans="1:38" ht="26.15" hidden="1" customHeight="1">
      <c r="A68" s="145" t="s">
        <v>124</v>
      </c>
      <c r="B68" s="146"/>
      <c r="C68" s="147"/>
      <c r="D68" s="148"/>
      <c r="E68" s="149"/>
      <c r="F68" s="148"/>
      <c r="G68" s="150"/>
      <c r="H68" s="151"/>
      <c r="I68" s="152"/>
      <c r="J68" s="153">
        <v>1</v>
      </c>
      <c r="K68" s="154">
        <f t="shared" si="10"/>
        <v>0</v>
      </c>
      <c r="L68" s="154">
        <f t="shared" si="15"/>
        <v>0</v>
      </c>
      <c r="M68" s="155" t="str">
        <f t="array" ref="M68">IFERROR(INDEX(субъект,MATCH(SUM(COUNTIF(M$6:M67,субъект)),COUNTIF(субъект,"&lt;"&amp;субъект),0)),"")</f>
        <v/>
      </c>
      <c r="N68" s="155"/>
      <c r="O68" s="156">
        <v>62</v>
      </c>
      <c r="P68" s="157" t="str">
        <f t="shared" si="1"/>
        <v/>
      </c>
      <c r="Q68" s="158">
        <f t="shared" si="2"/>
        <v>0</v>
      </c>
      <c r="R68" s="158">
        <f t="shared" si="3"/>
        <v>0</v>
      </c>
      <c r="S68" s="159">
        <f t="shared" si="4"/>
        <v>0</v>
      </c>
      <c r="T68" s="160">
        <f t="shared" si="5"/>
        <v>0</v>
      </c>
      <c r="U68" s="160">
        <f t="shared" si="6"/>
        <v>0</v>
      </c>
      <c r="V68" s="160">
        <f t="shared" si="7"/>
        <v>0</v>
      </c>
      <c r="W68" s="160">
        <f t="shared" si="8"/>
        <v>0</v>
      </c>
      <c r="Y68" s="180" t="str">
        <f t="shared" si="16"/>
        <v/>
      </c>
      <c r="Z68" s="163" t="str">
        <f t="shared" si="18"/>
        <v xml:space="preserve"> </v>
      </c>
      <c r="AA68" s="163" t="str">
        <f t="shared" si="18"/>
        <v xml:space="preserve"> </v>
      </c>
      <c r="AB68" s="163" t="str">
        <f t="shared" si="18"/>
        <v xml:space="preserve"> </v>
      </c>
      <c r="AC68" s="163" t="str">
        <f t="shared" si="18"/>
        <v xml:space="preserve"> </v>
      </c>
      <c r="AD68" s="163" t="str">
        <f t="shared" si="14"/>
        <v xml:space="preserve"> </v>
      </c>
      <c r="AE68" s="163" t="str">
        <f t="shared" si="14"/>
        <v xml:space="preserve"> </v>
      </c>
      <c r="AF68" s="163" t="str">
        <f t="shared" si="14"/>
        <v xml:space="preserve"> </v>
      </c>
    </row>
    <row r="69" spans="1:38" ht="26.15" hidden="1" customHeight="1">
      <c r="A69" s="145" t="s">
        <v>125</v>
      </c>
      <c r="B69" s="146"/>
      <c r="C69" s="147"/>
      <c r="D69" s="148"/>
      <c r="E69" s="147"/>
      <c r="F69" s="168"/>
      <c r="G69" s="147"/>
      <c r="H69" s="151"/>
      <c r="I69" s="152"/>
      <c r="J69" s="153">
        <v>1</v>
      </c>
      <c r="K69" s="154">
        <f t="shared" si="10"/>
        <v>0</v>
      </c>
      <c r="L69" s="154">
        <f t="shared" si="15"/>
        <v>0</v>
      </c>
      <c r="M69" s="155" t="str">
        <f t="array" ref="M69">IFERROR(INDEX(субъект,MATCH(SUM(COUNTIF(M$6:M68,субъект)),COUNTIF(субъект,"&lt;"&amp;субъект),0)),"")</f>
        <v/>
      </c>
      <c r="N69" s="155"/>
      <c r="O69" s="156">
        <v>63</v>
      </c>
      <c r="P69" s="157" t="str">
        <f t="shared" si="1"/>
        <v/>
      </c>
      <c r="Q69" s="158">
        <f t="shared" si="2"/>
        <v>0</v>
      </c>
      <c r="R69" s="158">
        <f t="shared" si="3"/>
        <v>0</v>
      </c>
      <c r="S69" s="159">
        <f t="shared" si="4"/>
        <v>0</v>
      </c>
      <c r="T69" s="160">
        <f t="shared" si="5"/>
        <v>0</v>
      </c>
      <c r="U69" s="160">
        <f t="shared" si="6"/>
        <v>0</v>
      </c>
      <c r="V69" s="160">
        <f t="shared" si="7"/>
        <v>0</v>
      </c>
      <c r="W69" s="160">
        <f t="shared" si="8"/>
        <v>0</v>
      </c>
      <c r="Y69" s="180" t="str">
        <f t="shared" si="16"/>
        <v/>
      </c>
      <c r="Z69" s="163" t="str">
        <f t="shared" si="18"/>
        <v xml:space="preserve"> </v>
      </c>
      <c r="AA69" s="163" t="str">
        <f t="shared" si="18"/>
        <v xml:space="preserve"> </v>
      </c>
      <c r="AB69" s="163" t="str">
        <f t="shared" si="18"/>
        <v xml:space="preserve"> </v>
      </c>
      <c r="AC69" s="163" t="str">
        <f t="shared" si="18"/>
        <v xml:space="preserve"> </v>
      </c>
      <c r="AD69" s="163" t="str">
        <f t="shared" si="14"/>
        <v xml:space="preserve"> </v>
      </c>
      <c r="AE69" s="163" t="str">
        <f t="shared" si="14"/>
        <v xml:space="preserve"> </v>
      </c>
      <c r="AF69" s="163" t="str">
        <f t="shared" si="14"/>
        <v xml:space="preserve"> </v>
      </c>
    </row>
    <row r="70" spans="1:38" ht="26.15" hidden="1" customHeight="1">
      <c r="A70" s="145" t="s">
        <v>126</v>
      </c>
      <c r="B70" s="146"/>
      <c r="C70" s="147"/>
      <c r="D70" s="148"/>
      <c r="E70" s="149"/>
      <c r="F70" s="165"/>
      <c r="G70" s="150"/>
      <c r="H70" s="151"/>
      <c r="I70" s="152"/>
      <c r="J70" s="153">
        <v>1</v>
      </c>
      <c r="K70" s="154">
        <f t="shared" si="10"/>
        <v>0</v>
      </c>
      <c r="L70" s="154">
        <f t="shared" si="15"/>
        <v>0</v>
      </c>
      <c r="M70" s="155" t="str">
        <f t="array" ref="M70">IFERROR(INDEX(субъект,MATCH(SUM(COUNTIF(M$6:M69,субъект)),COUNTIF(субъект,"&lt;"&amp;субъект),0)),"")</f>
        <v/>
      </c>
      <c r="N70" s="155"/>
      <c r="O70" s="156">
        <v>64</v>
      </c>
      <c r="P70" s="157" t="str">
        <f t="shared" si="1"/>
        <v/>
      </c>
      <c r="Q70" s="158">
        <f t="shared" si="2"/>
        <v>0</v>
      </c>
      <c r="R70" s="158">
        <f t="shared" si="3"/>
        <v>0</v>
      </c>
      <c r="S70" s="159">
        <f t="shared" si="4"/>
        <v>0</v>
      </c>
      <c r="T70" s="160">
        <f t="shared" si="5"/>
        <v>0</v>
      </c>
      <c r="U70" s="160">
        <f t="shared" si="6"/>
        <v>0</v>
      </c>
      <c r="V70" s="160">
        <f t="shared" si="7"/>
        <v>0</v>
      </c>
      <c r="W70" s="160">
        <f t="shared" si="8"/>
        <v>0</v>
      </c>
      <c r="Y70" s="180" t="str">
        <f t="shared" si="16"/>
        <v/>
      </c>
      <c r="Z70" s="163" t="str">
        <f t="shared" si="18"/>
        <v xml:space="preserve"> </v>
      </c>
      <c r="AA70" s="163" t="str">
        <f t="shared" si="18"/>
        <v xml:space="preserve"> </v>
      </c>
      <c r="AB70" s="163" t="str">
        <f t="shared" si="18"/>
        <v xml:space="preserve"> </v>
      </c>
      <c r="AC70" s="163" t="str">
        <f t="shared" si="18"/>
        <v xml:space="preserve"> </v>
      </c>
      <c r="AD70" s="163" t="str">
        <f t="shared" si="14"/>
        <v xml:space="preserve"> </v>
      </c>
      <c r="AE70" s="163" t="str">
        <f t="shared" si="14"/>
        <v xml:space="preserve"> </v>
      </c>
      <c r="AF70" s="163" t="str">
        <f t="shared" si="14"/>
        <v xml:space="preserve"> </v>
      </c>
      <c r="AH70" s="144"/>
      <c r="AI70" s="260"/>
      <c r="AJ70" s="261"/>
      <c r="AK70" s="261"/>
      <c r="AL70" s="261"/>
    </row>
    <row r="71" spans="1:38" ht="26.15" hidden="1" customHeight="1">
      <c r="A71" s="145" t="s">
        <v>127</v>
      </c>
      <c r="B71" s="167"/>
      <c r="C71" s="154"/>
      <c r="D71" s="154"/>
      <c r="E71" s="172"/>
      <c r="F71" s="154"/>
      <c r="G71" s="173"/>
      <c r="H71" s="154"/>
      <c r="I71" s="169"/>
      <c r="J71" s="153">
        <v>1</v>
      </c>
      <c r="K71" s="154">
        <f t="shared" si="10"/>
        <v>0</v>
      </c>
      <c r="L71" s="154">
        <f t="shared" si="15"/>
        <v>0</v>
      </c>
      <c r="M71" s="155" t="str">
        <f t="array" ref="M71">IFERROR(INDEX(субъект,MATCH(SUM(COUNTIF(M$6:M70,субъект)),COUNTIF(субъект,"&lt;"&amp;субъект),0)),"")</f>
        <v/>
      </c>
      <c r="N71" s="155"/>
      <c r="O71" s="174"/>
      <c r="P71" s="157"/>
      <c r="Q71" s="158"/>
      <c r="R71" s="158"/>
      <c r="S71" s="175"/>
      <c r="T71" s="175"/>
      <c r="U71" s="175"/>
      <c r="V71" s="175"/>
      <c r="W71" s="175"/>
      <c r="X71" s="169">
        <f>SUM(Q7:T70)</f>
        <v>4</v>
      </c>
      <c r="Y71" s="169"/>
      <c r="Z71" s="169"/>
      <c r="AA71" s="169"/>
      <c r="AB71" s="169"/>
      <c r="AC71" s="169"/>
      <c r="AD71" s="169"/>
      <c r="AE71" s="169"/>
      <c r="AF71" s="169"/>
      <c r="AG71" s="169"/>
      <c r="AH71" s="169"/>
      <c r="AI71" s="169"/>
      <c r="AJ71" s="169"/>
      <c r="AK71" s="169"/>
      <c r="AL71" s="169"/>
    </row>
    <row r="72" spans="1:38" ht="26.15" hidden="1" customHeight="1">
      <c r="A72" s="145" t="s">
        <v>128</v>
      </c>
      <c r="B72" s="167"/>
      <c r="C72" s="154"/>
      <c r="D72" s="154"/>
      <c r="E72" s="172"/>
      <c r="F72" s="154"/>
      <c r="G72" s="173"/>
      <c r="H72" s="154"/>
      <c r="I72" s="169"/>
      <c r="J72" s="153">
        <v>1</v>
      </c>
      <c r="K72" s="154">
        <f>IFERROR(RIGHT(D72,LEN(D72)-FIND("*",SUBSTITUTE(D72," ","*",LEN(D72)-LEN(SUBSTITUTE(D72," ",""))))),D72)</f>
        <v>0</v>
      </c>
      <c r="L72" s="154">
        <f t="shared" si="15"/>
        <v>0</v>
      </c>
      <c r="M72" s="155" t="str">
        <f t="array" ref="M72">IFERROR(INDEX(субъект,MATCH(SUM(COUNTIF(M$6:M71,субъект)),COUNTIF(субъект,"&lt;"&amp;субъект),0)),"")</f>
        <v/>
      </c>
      <c r="N72" s="155"/>
      <c r="O72" s="174"/>
      <c r="P72" s="157"/>
      <c r="Q72" s="158"/>
      <c r="R72" s="158"/>
      <c r="S72" s="175"/>
      <c r="T72" s="175"/>
      <c r="U72" s="175"/>
      <c r="V72" s="175"/>
      <c r="W72" s="175"/>
      <c r="AB72" s="176"/>
      <c r="AC72" s="260"/>
      <c r="AD72" s="260"/>
      <c r="AE72" s="260"/>
      <c r="AF72" s="260"/>
    </row>
    <row r="73" spans="1:38" ht="26.15" hidden="1" customHeight="1">
      <c r="A73" s="145" t="s">
        <v>129</v>
      </c>
      <c r="B73" s="167"/>
      <c r="C73" s="154"/>
      <c r="D73" s="154"/>
      <c r="E73" s="172"/>
      <c r="F73" s="154"/>
      <c r="G73" s="173"/>
      <c r="H73" s="154"/>
      <c r="I73" s="169"/>
      <c r="J73" s="153">
        <v>1</v>
      </c>
      <c r="K73" s="154">
        <f>IFERROR(RIGHT(D73,LEN(D73)-FIND("*",SUBSTITUTE(D73," ","*",LEN(D73)-LEN(SUBSTITUTE(D73," ",""))))),D73)</f>
        <v>0</v>
      </c>
      <c r="L73" s="154">
        <f t="shared" si="15"/>
        <v>0</v>
      </c>
      <c r="M73" s="155" t="str">
        <f t="array" ref="M73">IFERROR(INDEX(субъект,MATCH(SUM(COUNTIF(M$6:M72,субъект)),COUNTIF(субъект,"&lt;"&amp;субъект),0)),"")</f>
        <v/>
      </c>
      <c r="N73" s="155"/>
      <c r="O73" s="174"/>
      <c r="P73" s="157"/>
      <c r="Q73" s="158"/>
      <c r="R73" s="158"/>
      <c r="S73" s="175"/>
      <c r="T73" s="175"/>
      <c r="U73" s="175"/>
      <c r="V73" s="175"/>
      <c r="W73" s="175"/>
    </row>
    <row r="74" spans="1:38" ht="26.15" hidden="1" customHeight="1">
      <c r="A74" s="145" t="s">
        <v>130</v>
      </c>
      <c r="B74" s="167"/>
      <c r="C74" s="154"/>
      <c r="D74" s="154"/>
      <c r="E74" s="172"/>
      <c r="F74" s="154"/>
      <c r="G74" s="173"/>
      <c r="H74" s="154"/>
      <c r="I74" s="169"/>
      <c r="J74" s="153">
        <v>1</v>
      </c>
      <c r="K74" s="154">
        <f>IFERROR(RIGHT(D74,LEN(D74)-FIND("*",SUBSTITUTE(D74," ","*",LEN(D74)-LEN(SUBSTITUTE(D74," ",""))))),D74)</f>
        <v>0</v>
      </c>
      <c r="L74" s="154">
        <f t="shared" si="15"/>
        <v>0</v>
      </c>
      <c r="M74" s="155" t="str">
        <f t="array" ref="M74">IFERROR(INDEX(субъект,MATCH(SUM(COUNTIF(M$6:M73,субъект)),COUNTIF(субъект,"&lt;"&amp;субъект),0)),"")</f>
        <v/>
      </c>
      <c r="N74" s="155"/>
      <c r="O74" s="174"/>
      <c r="P74" s="157"/>
      <c r="Q74" s="158"/>
      <c r="R74" s="158"/>
      <c r="S74" s="175"/>
      <c r="T74" s="175"/>
      <c r="U74" s="175"/>
      <c r="V74" s="175"/>
      <c r="W74" s="175"/>
    </row>
    <row r="75" spans="1:38" ht="26.15" hidden="1" customHeight="1">
      <c r="A75" s="145" t="s">
        <v>131</v>
      </c>
      <c r="B75" s="167"/>
      <c r="C75" s="154"/>
      <c r="D75" s="154"/>
      <c r="E75" s="172"/>
      <c r="F75" s="154"/>
      <c r="G75" s="173"/>
      <c r="H75" s="154"/>
      <c r="I75" s="169"/>
      <c r="J75" s="153">
        <v>1</v>
      </c>
      <c r="K75" s="154">
        <f>IFERROR(RIGHT(D75,LEN(D75)-FIND("*",SUBSTITUTE(D75," ","*",LEN(D75)-LEN(SUBSTITUTE(D75," ",""))))),D75)</f>
        <v>0</v>
      </c>
      <c r="L75" s="154">
        <f t="shared" si="15"/>
        <v>0</v>
      </c>
      <c r="M75" s="155" t="str">
        <f t="array" ref="M75">IFERROR(INDEX(субъект,MATCH(SUM(COUNTIF(M$6:M74,субъект)),COUNTIF(субъект,"&lt;"&amp;субъект),0)),"")</f>
        <v/>
      </c>
      <c r="N75" s="155"/>
      <c r="O75" s="174"/>
      <c r="P75" s="157"/>
      <c r="Q75" s="158"/>
      <c r="R75" s="158"/>
      <c r="S75" s="175"/>
      <c r="T75" s="175"/>
      <c r="U75" s="175"/>
      <c r="V75" s="175"/>
      <c r="W75" s="175"/>
    </row>
    <row r="76" spans="1:38" ht="26.15" hidden="1" customHeight="1">
      <c r="A76" s="145" t="s">
        <v>132</v>
      </c>
      <c r="B76" s="167"/>
      <c r="C76" s="154"/>
      <c r="D76" s="154"/>
      <c r="E76" s="172"/>
      <c r="F76" s="154"/>
      <c r="G76" s="173"/>
      <c r="H76" s="154"/>
      <c r="I76" s="169"/>
      <c r="J76" s="153">
        <v>1</v>
      </c>
      <c r="K76" s="154">
        <f>IFERROR(RIGHT(D76,LEN(D76)-FIND("*",SUBSTITUTE(D76," ","*",LEN(D76)-LEN(SUBSTITUTE(D76," ",""))))),D76)</f>
        <v>0</v>
      </c>
      <c r="L76" s="154">
        <f t="shared" si="15"/>
        <v>0</v>
      </c>
      <c r="M76" s="155" t="str">
        <f t="array" ref="M76">IFERROR(INDEX(субъект,MATCH(SUM(COUNTIF(M$6:M75,субъект)),COUNTIF(субъект,"&lt;"&amp;субъект),0)),"")</f>
        <v/>
      </c>
      <c r="N76" s="155"/>
      <c r="O76" s="174"/>
      <c r="P76" s="157"/>
      <c r="Q76" s="158"/>
      <c r="R76" s="158"/>
      <c r="S76" s="175"/>
      <c r="T76" s="175"/>
      <c r="U76" s="175"/>
      <c r="V76" s="175"/>
      <c r="W76" s="175"/>
    </row>
    <row r="77" spans="1:38" ht="13.4" customHeight="1">
      <c r="A77" s="177" t="s">
        <v>80</v>
      </c>
      <c r="D77" s="178"/>
      <c r="E77" s="178"/>
      <c r="F77" s="178"/>
      <c r="G77" s="178"/>
      <c r="H77" s="178"/>
      <c r="I77" s="169"/>
      <c r="J77" s="253"/>
      <c r="K77" s="254"/>
      <c r="L77" s="255"/>
      <c r="M77" s="225"/>
      <c r="N77" s="225"/>
      <c r="O77" s="169"/>
    </row>
    <row r="78" spans="1:38" ht="13.4" customHeight="1">
      <c r="D78" s="178"/>
      <c r="E78" s="178"/>
      <c r="F78" s="178"/>
      <c r="G78" s="178"/>
      <c r="H78" s="178"/>
      <c r="J78" s="253"/>
      <c r="K78" s="254"/>
      <c r="L78" s="255"/>
      <c r="M78" s="225"/>
      <c r="N78" s="225"/>
      <c r="O78" s="169"/>
    </row>
    <row r="79" spans="1:38" ht="13.4" customHeight="1">
      <c r="A79" s="177" t="s">
        <v>81</v>
      </c>
      <c r="D79" s="178"/>
      <c r="E79" s="178"/>
      <c r="F79" s="178"/>
      <c r="G79" s="178"/>
      <c r="H79" s="178"/>
      <c r="J79" s="253"/>
      <c r="K79" s="254"/>
      <c r="L79" s="255"/>
      <c r="M79" s="225"/>
      <c r="N79" s="225"/>
      <c r="O79" s="169"/>
    </row>
    <row r="80" spans="1:38" ht="13.4" customHeight="1">
      <c r="D80" s="178"/>
      <c r="E80" s="178"/>
      <c r="F80" s="178"/>
      <c r="G80" s="178"/>
      <c r="H80" s="178"/>
      <c r="J80" s="253"/>
      <c r="K80" s="254"/>
      <c r="L80" s="255"/>
      <c r="M80" s="225"/>
      <c r="N80" s="225"/>
      <c r="O80" s="169"/>
    </row>
    <row r="81" spans="1:15" ht="13.4" customHeight="1">
      <c r="A81" s="177" t="s">
        <v>82</v>
      </c>
      <c r="D81" s="178"/>
      <c r="E81" s="178"/>
      <c r="F81" s="178"/>
      <c r="G81" s="178"/>
      <c r="H81" s="178"/>
      <c r="J81" s="253"/>
      <c r="K81" s="254"/>
      <c r="L81" s="255"/>
      <c r="M81" s="225"/>
      <c r="N81" s="225"/>
      <c r="O81" s="169"/>
    </row>
    <row r="82" spans="1:15" ht="13.4" customHeight="1">
      <c r="D82" s="178"/>
      <c r="E82" s="178"/>
      <c r="F82" s="178"/>
      <c r="G82" s="178"/>
      <c r="H82" s="178"/>
      <c r="J82" s="253"/>
      <c r="K82" s="254"/>
      <c r="L82" s="255"/>
      <c r="M82" s="225"/>
      <c r="N82" s="225"/>
      <c r="O82" s="169"/>
    </row>
    <row r="83" spans="1:15" ht="13.4" customHeight="1">
      <c r="A83" s="177" t="s">
        <v>83</v>
      </c>
      <c r="D83" s="178"/>
      <c r="E83" s="178"/>
      <c r="F83" s="178"/>
      <c r="G83" s="178"/>
      <c r="H83" s="178"/>
      <c r="J83" s="253"/>
      <c r="K83" s="254"/>
      <c r="L83" s="255"/>
      <c r="M83" s="225"/>
      <c r="N83" s="225"/>
      <c r="O83" s="169"/>
    </row>
    <row r="84" spans="1:15" ht="13.4" customHeight="1">
      <c r="A84" s="178"/>
      <c r="B84" s="178"/>
      <c r="C84" s="178"/>
      <c r="D84" s="178"/>
      <c r="E84" s="178"/>
      <c r="F84" s="178"/>
      <c r="G84" s="178"/>
      <c r="H84" s="178"/>
      <c r="J84" s="253"/>
      <c r="K84" s="254"/>
      <c r="L84" s="255"/>
      <c r="M84" s="225"/>
      <c r="N84" s="225"/>
      <c r="O84" s="169"/>
    </row>
  </sheetData>
  <sortState ref="B7:H16">
    <sortCondition ref="B7:B76"/>
  </sortState>
  <mergeCells count="27">
    <mergeCell ref="A1:H1"/>
    <mergeCell ref="A3:H3"/>
    <mergeCell ref="Y4:AE4"/>
    <mergeCell ref="A5:A6"/>
    <mergeCell ref="B5:B6"/>
    <mergeCell ref="C5:C6"/>
    <mergeCell ref="D5:D6"/>
    <mergeCell ref="E5:F6"/>
    <mergeCell ref="G5:G6"/>
    <mergeCell ref="H5:H6"/>
    <mergeCell ref="Q5:S5"/>
    <mergeCell ref="A2:H2"/>
    <mergeCell ref="J83:J84"/>
    <mergeCell ref="K83:K84"/>
    <mergeCell ref="L83:L84"/>
    <mergeCell ref="AH7:AI8"/>
    <mergeCell ref="AI70:AL70"/>
    <mergeCell ref="AC72:AF72"/>
    <mergeCell ref="J77:J78"/>
    <mergeCell ref="K77:K78"/>
    <mergeCell ref="L77:L78"/>
    <mergeCell ref="J79:J80"/>
    <mergeCell ref="K79:K80"/>
    <mergeCell ref="L79:L80"/>
    <mergeCell ref="J81:J82"/>
    <mergeCell ref="K81:K82"/>
    <mergeCell ref="L81:L82"/>
  </mergeCells>
  <pageMargins left="0.19685039370078741" right="0.19685039370078741" top="0" bottom="0" header="0.51181102362204722" footer="0.118110236220472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2" r:id="rId5" name="Button 2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3" r:id="rId6" name="Button 3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4" r:id="rId7" name="Button 4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5" r:id="rId8" name="Button 5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6" r:id="rId9" name="Button 6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indexed="46"/>
  </sheetPr>
  <dimension ref="A1:T68"/>
  <sheetViews>
    <sheetView workbookViewId="0">
      <selection activeCell="B1" sqref="B1:J12"/>
    </sheetView>
  </sheetViews>
  <sheetFormatPr defaultRowHeight="12.5"/>
  <cols>
    <col min="1" max="1" width="0.54296875" customWidth="1"/>
    <col min="2" max="2" width="5.453125" customWidth="1"/>
    <col min="3" max="3" width="22.1796875" customWidth="1"/>
    <col min="4" max="4" width="8.81640625" customWidth="1"/>
    <col min="5" max="5" width="5.453125" customWidth="1"/>
    <col min="6" max="6" width="12.54296875" customWidth="1"/>
    <col min="7" max="7" width="28.81640625" customWidth="1"/>
    <col min="8" max="8" width="6.453125" customWidth="1"/>
    <col min="9" max="9" width="5.453125" customWidth="1"/>
    <col min="10" max="10" width="7.1796875" customWidth="1"/>
    <col min="11" max="11" width="1.453125" customWidth="1"/>
    <col min="12" max="12" width="5.81640625" customWidth="1"/>
    <col min="13" max="13" width="22.1796875" customWidth="1"/>
    <col min="14" max="14" width="8.453125" style="61" customWidth="1"/>
    <col min="15" max="15" width="5.453125" customWidth="1"/>
    <col min="16" max="16" width="11.81640625" customWidth="1"/>
    <col min="17" max="17" width="29.1796875" customWidth="1"/>
    <col min="18" max="18" width="6.453125" customWidth="1"/>
    <col min="19" max="19" width="5.54296875" customWidth="1"/>
    <col min="20" max="20" width="6.1796875" customWidth="1"/>
  </cols>
  <sheetData>
    <row r="1" spans="1:20" ht="23.25" customHeight="1">
      <c r="A1" s="10"/>
      <c r="B1" s="294" t="s">
        <v>141</v>
      </c>
      <c r="C1" s="294"/>
      <c r="D1" s="219">
        <v>1</v>
      </c>
      <c r="E1" s="218"/>
      <c r="F1" s="295" t="s">
        <v>142</v>
      </c>
      <c r="G1" s="295"/>
      <c r="H1" s="295"/>
      <c r="I1" s="295"/>
      <c r="J1" s="295"/>
      <c r="L1" s="294" t="s">
        <v>141</v>
      </c>
      <c r="M1" s="294"/>
      <c r="N1" s="219">
        <f>D1</f>
        <v>1</v>
      </c>
      <c r="O1" s="218"/>
      <c r="P1" s="295" t="s">
        <v>142</v>
      </c>
      <c r="Q1" s="295"/>
      <c r="R1" s="295"/>
      <c r="S1" s="295"/>
      <c r="T1" s="295"/>
    </row>
    <row r="2" spans="1:20" ht="15" customHeight="1" thickBot="1">
      <c r="A2" s="10"/>
      <c r="B2" s="11"/>
      <c r="C2" s="11" t="s">
        <v>75</v>
      </c>
      <c r="D2" s="39" t="s">
        <v>0</v>
      </c>
      <c r="E2" s="39"/>
      <c r="F2" s="11"/>
      <c r="G2" s="217" t="str">
        <f>пр.взв!D4</f>
        <v>В.к. 52 кг.</v>
      </c>
      <c r="H2" s="11"/>
      <c r="I2" s="11"/>
      <c r="J2" s="11"/>
      <c r="L2" s="1"/>
      <c r="M2" s="1" t="s">
        <v>75</v>
      </c>
      <c r="N2" s="40" t="s">
        <v>32</v>
      </c>
      <c r="O2" s="40"/>
      <c r="P2" s="1"/>
      <c r="Q2" s="217" t="str">
        <f>G2</f>
        <v>В.к. 52 кг.</v>
      </c>
      <c r="R2" s="1"/>
      <c r="S2" s="1"/>
      <c r="T2" s="1"/>
    </row>
    <row r="3" spans="1:20" ht="25.5" customHeight="1">
      <c r="A3" s="273"/>
      <c r="B3" s="274" t="s">
        <v>5</v>
      </c>
      <c r="C3" s="276" t="s">
        <v>2</v>
      </c>
      <c r="D3" s="278" t="s">
        <v>23</v>
      </c>
      <c r="E3" s="280" t="s">
        <v>4</v>
      </c>
      <c r="F3" s="281"/>
      <c r="G3" s="276" t="s">
        <v>25</v>
      </c>
      <c r="H3" s="278" t="s">
        <v>26</v>
      </c>
      <c r="I3" s="276" t="s">
        <v>27</v>
      </c>
      <c r="J3" s="284" t="s">
        <v>28</v>
      </c>
      <c r="L3" s="286" t="s">
        <v>5</v>
      </c>
      <c r="M3" s="288" t="s">
        <v>2</v>
      </c>
      <c r="N3" s="290" t="s">
        <v>23</v>
      </c>
      <c r="O3" s="280" t="s">
        <v>4</v>
      </c>
      <c r="P3" s="281"/>
      <c r="Q3" s="288" t="s">
        <v>25</v>
      </c>
      <c r="R3" s="290" t="s">
        <v>26</v>
      </c>
      <c r="S3" s="288" t="s">
        <v>27</v>
      </c>
      <c r="T3" s="292" t="s">
        <v>28</v>
      </c>
    </row>
    <row r="4" spans="1:20" ht="13" thickBot="1">
      <c r="A4" s="273"/>
      <c r="B4" s="275"/>
      <c r="C4" s="277"/>
      <c r="D4" s="279"/>
      <c r="E4" s="282"/>
      <c r="F4" s="283"/>
      <c r="G4" s="277"/>
      <c r="H4" s="279"/>
      <c r="I4" s="277"/>
      <c r="J4" s="285"/>
      <c r="L4" s="287"/>
      <c r="M4" s="289"/>
      <c r="N4" s="291"/>
      <c r="O4" s="282"/>
      <c r="P4" s="283"/>
      <c r="Q4" s="289"/>
      <c r="R4" s="291"/>
      <c r="S4" s="289"/>
      <c r="T4" s="293"/>
    </row>
    <row r="5" spans="1:20" ht="12" customHeight="1">
      <c r="A5" s="273"/>
      <c r="B5" s="296">
        <v>1</v>
      </c>
      <c r="C5" s="298" t="str">
        <f>IFERROR(VLOOKUP(B5,пр.взв!$B$7:$H$76,2,0),"")</f>
        <v>ГАВРИЛОВА Полина Сергеевна</v>
      </c>
      <c r="D5" s="300" t="str">
        <f>IFERROR(VLOOKUP(B5,пр.взв!$B$7:$H$76,3,0),"")</f>
        <v>23.06.96, КМС</v>
      </c>
      <c r="E5" s="300" t="str">
        <f>IFERROR(VLOOKUP(B5,пр.взв!$B$7:$H$76,4,0),"")</f>
        <v>УФО</v>
      </c>
      <c r="F5" s="302" t="str">
        <f>IFERROR(VLOOKUP(B5,пр.взв!$B$7:$H$76,5,0),"")</f>
        <v>Свердловская, Серов</v>
      </c>
      <c r="G5" s="304"/>
      <c r="H5" s="304"/>
      <c r="I5" s="306"/>
      <c r="J5" s="308"/>
      <c r="L5" s="310"/>
      <c r="M5" s="298" t="str">
        <f>IFERROR(VLOOKUP(L5,пр.взв!$B$7:$H$76,2,0),"")</f>
        <v/>
      </c>
      <c r="N5" s="300" t="str">
        <f>IFERROR(VLOOKUP(L5,пр.взв!$B$7:$H$76,3,0),"")</f>
        <v/>
      </c>
      <c r="O5" s="300" t="str">
        <f>IFERROR(VLOOKUP(L5,пр.взв!$B$7:$H$76,4,0),"")</f>
        <v/>
      </c>
      <c r="P5" s="302" t="str">
        <f>IFERROR(VLOOKUP(L5,пр.взв!$B$7:$H$76,5,0),"")</f>
        <v/>
      </c>
      <c r="Q5" s="304"/>
      <c r="R5" s="304"/>
      <c r="S5" s="306"/>
      <c r="T5" s="308"/>
    </row>
    <row r="6" spans="1:20" ht="12" customHeight="1">
      <c r="A6" s="273"/>
      <c r="B6" s="297"/>
      <c r="C6" s="299"/>
      <c r="D6" s="301"/>
      <c r="E6" s="301"/>
      <c r="F6" s="303"/>
      <c r="G6" s="305"/>
      <c r="H6" s="305"/>
      <c r="I6" s="307"/>
      <c r="J6" s="309"/>
      <c r="L6" s="311"/>
      <c r="M6" s="299"/>
      <c r="N6" s="301"/>
      <c r="O6" s="301"/>
      <c r="P6" s="303"/>
      <c r="Q6" s="305"/>
      <c r="R6" s="305"/>
      <c r="S6" s="307"/>
      <c r="T6" s="309"/>
    </row>
    <row r="7" spans="1:20" ht="12" customHeight="1">
      <c r="A7" s="273"/>
      <c r="B7" s="312">
        <v>2</v>
      </c>
      <c r="C7" s="313" t="str">
        <f>IFERROR(VLOOKUP(B7,пр.взв!$B$7:$H$76,2,0),"")</f>
        <v>ШКЕТ Ольга Владимировна</v>
      </c>
      <c r="D7" s="315" t="str">
        <f>IFERROR(VLOOKUP(B7,пр.взв!$B$7:$H$76,3,0),"")</f>
        <v>11.05.96, МС</v>
      </c>
      <c r="E7" s="315" t="str">
        <f>IFERROR(VLOOKUP(B7,пр.взв!$B$7:$H$76,4,0),"")</f>
        <v>УФО</v>
      </c>
      <c r="F7" s="315" t="str">
        <f>IFERROR(VLOOKUP(B7,пр.взв!$B$7:$H$76,5,0),"")</f>
        <v>Курганская, Курган, СШОР№1</v>
      </c>
      <c r="G7" s="305"/>
      <c r="H7" s="305"/>
      <c r="I7" s="307"/>
      <c r="J7" s="309"/>
      <c r="L7" s="311"/>
      <c r="M7" s="313" t="str">
        <f>IFERROR(VLOOKUP(L7,пр.взв!$B$7:$H$76,2,0),"")</f>
        <v/>
      </c>
      <c r="N7" s="315" t="str">
        <f>IFERROR(VLOOKUP(L7,пр.взв!$B$7:$H$76,3,0),"")</f>
        <v/>
      </c>
      <c r="O7" s="315" t="str">
        <f>IFERROR(VLOOKUP(L7,пр.взв!$B$7:$H$76,4,0),"")</f>
        <v/>
      </c>
      <c r="P7" s="315" t="str">
        <f>IFERROR(VLOOKUP(L7,пр.взв!$B$7:$H$76,5,0),"")</f>
        <v/>
      </c>
      <c r="Q7" s="305"/>
      <c r="R7" s="305"/>
      <c r="S7" s="307"/>
      <c r="T7" s="309"/>
    </row>
    <row r="8" spans="1:20" ht="12" customHeight="1" thickBot="1">
      <c r="A8" s="273"/>
      <c r="B8" s="297"/>
      <c r="C8" s="314"/>
      <c r="D8" s="316"/>
      <c r="E8" s="316"/>
      <c r="F8" s="316"/>
      <c r="G8" s="317"/>
      <c r="H8" s="317"/>
      <c r="I8" s="318"/>
      <c r="J8" s="319"/>
      <c r="L8" s="320"/>
      <c r="M8" s="314"/>
      <c r="N8" s="316"/>
      <c r="O8" s="316"/>
      <c r="P8" s="316"/>
      <c r="Q8" s="317"/>
      <c r="R8" s="317"/>
      <c r="S8" s="318"/>
      <c r="T8" s="319"/>
    </row>
    <row r="9" spans="1:20" ht="12" customHeight="1">
      <c r="A9" s="273"/>
      <c r="B9" s="296">
        <v>3</v>
      </c>
      <c r="C9" s="321" t="str">
        <f>IFERROR(VLOOKUP(B9,пр.взв!$B$7:$H$76,2,0),"")</f>
        <v>ВИНИЧЕНКО Екатерина Константиновна</v>
      </c>
      <c r="D9" s="302" t="str">
        <f>IFERROR(VLOOKUP(B9,пр.взв!$B$7:$H$76,3,0),"")</f>
        <v>16.02.97, КМС</v>
      </c>
      <c r="E9" s="302" t="str">
        <f>IFERROR(VLOOKUP(B9,пр.взв!$B$7:$H$76,4,0),"")</f>
        <v>УФО</v>
      </c>
      <c r="F9" s="302" t="str">
        <f>IFERROR(VLOOKUP(B9,пр.взв!$B$7:$H$76,5,0),"")</f>
        <v>Свердловская, Екатеринбург, СШОР ПО САМБО И ДЗЮДО</v>
      </c>
      <c r="G9" s="304"/>
      <c r="H9" s="304"/>
      <c r="I9" s="306"/>
      <c r="J9" s="308"/>
      <c r="L9" s="323"/>
      <c r="M9" s="321" t="str">
        <f>IFERROR(VLOOKUP(L9,пр.взв!$B$7:$H$76,2,0),"")</f>
        <v/>
      </c>
      <c r="N9" s="302" t="str">
        <f>IFERROR(VLOOKUP(L9,пр.взв!$B$7:$H$76,3,0),"")</f>
        <v/>
      </c>
      <c r="O9" s="302" t="str">
        <f>IFERROR(VLOOKUP(L9,пр.взв!$B$7:$H$76,4,0),"")</f>
        <v/>
      </c>
      <c r="P9" s="302" t="str">
        <f>IFERROR(VLOOKUP(L9,пр.взв!$B$7:$H$76,5,0),"")</f>
        <v/>
      </c>
      <c r="Q9" s="304"/>
      <c r="R9" s="304"/>
      <c r="S9" s="306"/>
      <c r="T9" s="308"/>
    </row>
    <row r="10" spans="1:20" ht="12" customHeight="1">
      <c r="A10" s="273"/>
      <c r="B10" s="297"/>
      <c r="C10" s="322"/>
      <c r="D10" s="303"/>
      <c r="E10" s="303"/>
      <c r="F10" s="303"/>
      <c r="G10" s="305"/>
      <c r="H10" s="305"/>
      <c r="I10" s="307"/>
      <c r="J10" s="309"/>
      <c r="L10" s="324"/>
      <c r="M10" s="322"/>
      <c r="N10" s="303"/>
      <c r="O10" s="303"/>
      <c r="P10" s="303"/>
      <c r="Q10" s="305"/>
      <c r="R10" s="305"/>
      <c r="S10" s="307"/>
      <c r="T10" s="309"/>
    </row>
    <row r="11" spans="1:20" ht="12" customHeight="1">
      <c r="A11" s="273"/>
      <c r="B11" s="312">
        <v>4</v>
      </c>
      <c r="C11" s="313" t="str">
        <f>IFERROR(VLOOKUP(B11,пр.взв!$B$7:$H$76,2,0),"")</f>
        <v>ГАСПАРЯН Наре Петросовна</v>
      </c>
      <c r="D11" s="315" t="str">
        <f>IFERROR(VLOOKUP(B11,пр.взв!$B$7:$H$76,3,0),"")</f>
        <v>26.02.97, КМС</v>
      </c>
      <c r="E11" s="315" t="str">
        <f>IFERROR(VLOOKUP(B11,пр.взв!$B$7:$H$76,4,0),"")</f>
        <v>УФО</v>
      </c>
      <c r="F11" s="315" t="str">
        <f>IFERROR(VLOOKUP(B11,пр.взв!$B$7:$H$76,5,0),"")</f>
        <v>Челябинская, Челябинск</v>
      </c>
      <c r="G11" s="305"/>
      <c r="H11" s="305"/>
      <c r="I11" s="307"/>
      <c r="J11" s="309"/>
      <c r="L11" s="325"/>
      <c r="M11" s="313" t="str">
        <f>IFERROR(VLOOKUP(L11,пр.взв!$B$7:$H$76,2,0),"")</f>
        <v/>
      </c>
      <c r="N11" s="315" t="str">
        <f>IFERROR(VLOOKUP(L11,пр.взв!$B$7:$H$76,3,0),"")</f>
        <v/>
      </c>
      <c r="O11" s="315" t="str">
        <f>IFERROR(VLOOKUP(L11,пр.взв!$B$7:$H$76,4,0),"")</f>
        <v/>
      </c>
      <c r="P11" s="315" t="str">
        <f>IFERROR(VLOOKUP(L11,пр.взв!$B$7:$H$76,5,0),"")</f>
        <v/>
      </c>
      <c r="Q11" s="305"/>
      <c r="R11" s="305"/>
      <c r="S11" s="307"/>
      <c r="T11" s="309"/>
    </row>
    <row r="12" spans="1:20" ht="12" customHeight="1" thickBot="1">
      <c r="A12" s="273"/>
      <c r="B12" s="297"/>
      <c r="C12" s="314"/>
      <c r="D12" s="316"/>
      <c r="E12" s="316"/>
      <c r="F12" s="316"/>
      <c r="G12" s="317"/>
      <c r="H12" s="317"/>
      <c r="I12" s="318"/>
      <c r="J12" s="319"/>
      <c r="L12" s="326"/>
      <c r="M12" s="314"/>
      <c r="N12" s="316"/>
      <c r="O12" s="316"/>
      <c r="P12" s="316"/>
      <c r="Q12" s="317"/>
      <c r="R12" s="317"/>
      <c r="S12" s="318"/>
      <c r="T12" s="319"/>
    </row>
    <row r="13" spans="1:20" ht="12" customHeight="1">
      <c r="A13" s="273"/>
      <c r="B13" s="296">
        <v>5</v>
      </c>
      <c r="C13" s="321" t="str">
        <f>IFERROR(VLOOKUP(B13,пр.взв!$B$7:$H$76,2,0),"")</f>
        <v/>
      </c>
      <c r="D13" s="302" t="str">
        <f>IFERROR(VLOOKUP(B13,пр.взв!$B$7:$H$76,3,0),"")</f>
        <v/>
      </c>
      <c r="E13" s="302" t="str">
        <f>IFERROR(VLOOKUP(B13,пр.взв!$B$7:$H$76,4,0),"")</f>
        <v/>
      </c>
      <c r="F13" s="302" t="str">
        <f>IFERROR(VLOOKUP(B13,пр.взв!$B$7:$H$76,5,0),"")</f>
        <v/>
      </c>
      <c r="G13" s="304"/>
      <c r="H13" s="304"/>
      <c r="I13" s="306"/>
      <c r="J13" s="308"/>
      <c r="L13" s="323"/>
      <c r="M13" s="321" t="str">
        <f>IFERROR(VLOOKUP(L13,пр.взв!$B$7:$H$76,2,0),"")</f>
        <v/>
      </c>
      <c r="N13" s="302" t="str">
        <f>IFERROR(VLOOKUP(L13,пр.взв!$B$7:$H$76,3,0),"")</f>
        <v/>
      </c>
      <c r="O13" s="302" t="str">
        <f>IFERROR(VLOOKUP(L13,пр.взв!$B$7:$H$76,4,0),"")</f>
        <v/>
      </c>
      <c r="P13" s="302" t="str">
        <f>IFERROR(VLOOKUP(L13,пр.взв!$B$7:$H$76,5,0),"")</f>
        <v/>
      </c>
      <c r="Q13" s="304"/>
      <c r="R13" s="304"/>
      <c r="S13" s="306"/>
      <c r="T13" s="308"/>
    </row>
    <row r="14" spans="1:20" ht="12" customHeight="1">
      <c r="A14" s="273"/>
      <c r="B14" s="297"/>
      <c r="C14" s="322"/>
      <c r="D14" s="303"/>
      <c r="E14" s="303"/>
      <c r="F14" s="303"/>
      <c r="G14" s="305"/>
      <c r="H14" s="305"/>
      <c r="I14" s="307"/>
      <c r="J14" s="309"/>
      <c r="L14" s="324"/>
      <c r="M14" s="322"/>
      <c r="N14" s="303"/>
      <c r="O14" s="303"/>
      <c r="P14" s="303"/>
      <c r="Q14" s="305"/>
      <c r="R14" s="305"/>
      <c r="S14" s="307"/>
      <c r="T14" s="309"/>
    </row>
    <row r="15" spans="1:20" ht="12" customHeight="1">
      <c r="A15" s="273"/>
      <c r="B15" s="312">
        <v>6</v>
      </c>
      <c r="C15" s="327" t="str">
        <f>IFERROR(VLOOKUP(B15,пр.взв!$B$7:$H$76,2,0),"")</f>
        <v/>
      </c>
      <c r="D15" s="329" t="str">
        <f>IFERROR(VLOOKUP(B15,пр.взв!$B$7:$H$76,3,0),"")</f>
        <v/>
      </c>
      <c r="E15" s="329" t="str">
        <f>IFERROR(VLOOKUP(B15,пр.взв!$B$7:$H$76,4,0),"")</f>
        <v/>
      </c>
      <c r="F15" s="329" t="str">
        <f>IFERROR(VLOOKUP(B15,пр.взв!$B$7:$H$76,5,0),"")</f>
        <v/>
      </c>
      <c r="G15" s="305"/>
      <c r="H15" s="305"/>
      <c r="I15" s="307"/>
      <c r="J15" s="309"/>
      <c r="L15" s="325"/>
      <c r="M15" s="327" t="str">
        <f>IFERROR(VLOOKUP(L15,пр.взв!$B$7:$H$76,2,0),"")</f>
        <v/>
      </c>
      <c r="N15" s="329" t="str">
        <f>IFERROR(VLOOKUP(L15,пр.взв!$B$7:$H$76,3,0),"")</f>
        <v/>
      </c>
      <c r="O15" s="329" t="str">
        <f>IFERROR(VLOOKUP(L15,пр.взв!$B$7:$H$76,4,0),"")</f>
        <v/>
      </c>
      <c r="P15" s="329" t="str">
        <f>IFERROR(VLOOKUP(L15,пр.взв!$B$7:$H$76,5,0),"")</f>
        <v/>
      </c>
      <c r="Q15" s="305"/>
      <c r="R15" s="305"/>
      <c r="S15" s="307"/>
      <c r="T15" s="309"/>
    </row>
    <row r="16" spans="1:20" ht="12" customHeight="1" thickBot="1">
      <c r="A16" s="273"/>
      <c r="B16" s="297"/>
      <c r="C16" s="328"/>
      <c r="D16" s="330"/>
      <c r="E16" s="330"/>
      <c r="F16" s="330"/>
      <c r="G16" s="317"/>
      <c r="H16" s="317"/>
      <c r="I16" s="318"/>
      <c r="J16" s="319"/>
      <c r="L16" s="326"/>
      <c r="M16" s="328"/>
      <c r="N16" s="330"/>
      <c r="O16" s="330"/>
      <c r="P16" s="330"/>
      <c r="Q16" s="317"/>
      <c r="R16" s="317"/>
      <c r="S16" s="318"/>
      <c r="T16" s="319"/>
    </row>
    <row r="17" spans="1:20" ht="12" customHeight="1">
      <c r="A17" s="273"/>
      <c r="B17" s="296">
        <v>7</v>
      </c>
      <c r="C17" s="331" t="str">
        <f>IFERROR(VLOOKUP(B17,пр.взв!$B$7:$H$76,2,0),"")</f>
        <v/>
      </c>
      <c r="D17" s="333" t="str">
        <f>IFERROR(VLOOKUP(B17,пр.взв!$B$7:$H$76,3,0),"")</f>
        <v/>
      </c>
      <c r="E17" s="333" t="str">
        <f>IFERROR(VLOOKUP(B17,пр.взв!$B$7:$H$76,4,0),"")</f>
        <v/>
      </c>
      <c r="F17" s="333" t="str">
        <f>IFERROR(VLOOKUP(B17,пр.взв!$B$7:$H$76,5,0),"")</f>
        <v/>
      </c>
      <c r="G17" s="304"/>
      <c r="H17" s="304"/>
      <c r="I17" s="306"/>
      <c r="J17" s="308"/>
      <c r="K17" s="60"/>
      <c r="L17" s="323"/>
      <c r="M17" s="331" t="str">
        <f>IFERROR(VLOOKUP(L17,пр.взв!$B$7:$H$76,2,0),"")</f>
        <v/>
      </c>
      <c r="N17" s="333" t="str">
        <f>IFERROR(VLOOKUP(L17,пр.взв!$B$7:$H$76,3,0),"")</f>
        <v/>
      </c>
      <c r="O17" s="333" t="str">
        <f>IFERROR(VLOOKUP(L17,пр.взв!$B$7:$H$76,4,0),"")</f>
        <v/>
      </c>
      <c r="P17" s="333" t="str">
        <f>IFERROR(VLOOKUP(L17,пр.взв!$B$7:$H$76,5,0),"")</f>
        <v/>
      </c>
      <c r="Q17" s="304"/>
      <c r="R17" s="304"/>
      <c r="S17" s="306"/>
      <c r="T17" s="308"/>
    </row>
    <row r="18" spans="1:20" ht="12" customHeight="1">
      <c r="A18" s="273"/>
      <c r="B18" s="297"/>
      <c r="C18" s="332"/>
      <c r="D18" s="334"/>
      <c r="E18" s="334"/>
      <c r="F18" s="334"/>
      <c r="G18" s="305"/>
      <c r="H18" s="305"/>
      <c r="I18" s="307"/>
      <c r="J18" s="309"/>
      <c r="K18" s="60"/>
      <c r="L18" s="324"/>
      <c r="M18" s="332"/>
      <c r="N18" s="334"/>
      <c r="O18" s="334"/>
      <c r="P18" s="334"/>
      <c r="Q18" s="305"/>
      <c r="R18" s="305"/>
      <c r="S18" s="307"/>
      <c r="T18" s="309"/>
    </row>
    <row r="19" spans="1:20" ht="12" customHeight="1">
      <c r="A19" s="273"/>
      <c r="B19" s="312">
        <v>8</v>
      </c>
      <c r="C19" s="327" t="str">
        <f>IFERROR(VLOOKUP(B19,пр.взв!$B$7:$H$76,2,0),"")</f>
        <v/>
      </c>
      <c r="D19" s="329" t="str">
        <f>IFERROR(VLOOKUP(B19,пр.взв!$B$7:$H$76,3,0),"")</f>
        <v/>
      </c>
      <c r="E19" s="329" t="str">
        <f>IFERROR(VLOOKUP(B19,пр.взв!$B$7:$H$76,4,0),"")</f>
        <v/>
      </c>
      <c r="F19" s="329" t="str">
        <f>IFERROR(VLOOKUP(B19,пр.взв!$B$7:$H$76,5,0),"")</f>
        <v/>
      </c>
      <c r="G19" s="305"/>
      <c r="H19" s="305"/>
      <c r="I19" s="307"/>
      <c r="J19" s="309"/>
      <c r="K19" s="60"/>
      <c r="L19" s="325"/>
      <c r="M19" s="327" t="str">
        <f>IFERROR(VLOOKUP(L19,пр.взв!$B$7:$H$76,2,0),"")</f>
        <v/>
      </c>
      <c r="N19" s="329" t="str">
        <f>IFERROR(VLOOKUP(L19,пр.взв!$B$7:$H$76,3,0),"")</f>
        <v/>
      </c>
      <c r="O19" s="329" t="str">
        <f>IFERROR(VLOOKUP(L19,пр.взв!$B$7:$H$76,4,0),"")</f>
        <v/>
      </c>
      <c r="P19" s="329" t="str">
        <f>IFERROR(VLOOKUP(L19,пр.взв!$B$7:$H$76,5,0),"")</f>
        <v/>
      </c>
      <c r="Q19" s="305"/>
      <c r="R19" s="305"/>
      <c r="S19" s="307"/>
      <c r="T19" s="309"/>
    </row>
    <row r="20" spans="1:20" ht="12" customHeight="1" thickBot="1">
      <c r="A20" s="273"/>
      <c r="B20" s="297"/>
      <c r="C20" s="328"/>
      <c r="D20" s="330"/>
      <c r="E20" s="330"/>
      <c r="F20" s="330"/>
      <c r="G20" s="317"/>
      <c r="H20" s="317"/>
      <c r="I20" s="318"/>
      <c r="J20" s="319"/>
      <c r="K20" s="60"/>
      <c r="L20" s="326"/>
      <c r="M20" s="328"/>
      <c r="N20" s="330"/>
      <c r="O20" s="330"/>
      <c r="P20" s="330"/>
      <c r="Q20" s="317"/>
      <c r="R20" s="317"/>
      <c r="S20" s="318"/>
      <c r="T20" s="319"/>
    </row>
    <row r="21" spans="1:20" ht="12" customHeight="1">
      <c r="A21" s="273"/>
      <c r="B21" s="296">
        <f>пр.хода!B24</f>
        <v>9</v>
      </c>
      <c r="C21" s="331" t="str">
        <f>IFERROR(VLOOKUP(B21,пр.взв!$B$7:$H$76,2,0),"")</f>
        <v/>
      </c>
      <c r="D21" s="333" t="str">
        <f>IFERROR(VLOOKUP(B21,пр.взв!$B$7:$H$76,3,0),"")</f>
        <v/>
      </c>
      <c r="E21" s="333" t="str">
        <f>IFERROR(VLOOKUP(B21,пр.взв!$B$7:$H$76,4,0),"")</f>
        <v/>
      </c>
      <c r="F21" s="333" t="str">
        <f>IFERROR(VLOOKUP(B21,пр.взв!$B$7:$H$76,5,0),"")</f>
        <v/>
      </c>
      <c r="G21" s="335"/>
      <c r="H21" s="304"/>
      <c r="I21" s="306"/>
      <c r="J21" s="308"/>
      <c r="L21" s="323"/>
      <c r="M21" s="331" t="str">
        <f>IFERROR(VLOOKUP(L21,пр.взв!$B$7:$H$76,2,0),"")</f>
        <v/>
      </c>
      <c r="N21" s="333" t="str">
        <f>IFERROR(VLOOKUP(L21,пр.взв!$B$7:$H$76,3,0),"")</f>
        <v/>
      </c>
      <c r="O21" s="333" t="str">
        <f>IFERROR(VLOOKUP(L21,пр.взв!$B$7:$H$76,4,0),"")</f>
        <v/>
      </c>
      <c r="P21" s="333" t="str">
        <f>IFERROR(VLOOKUP(L21,пр.взв!$B$7:$H$76,5,0),"")</f>
        <v/>
      </c>
      <c r="Q21" s="304"/>
      <c r="R21" s="304"/>
      <c r="S21" s="306"/>
      <c r="T21" s="308"/>
    </row>
    <row r="22" spans="1:20" ht="12" customHeight="1">
      <c r="A22" s="273"/>
      <c r="B22" s="297"/>
      <c r="C22" s="332"/>
      <c r="D22" s="334"/>
      <c r="E22" s="334"/>
      <c r="F22" s="334"/>
      <c r="G22" s="336"/>
      <c r="H22" s="305"/>
      <c r="I22" s="307"/>
      <c r="J22" s="309"/>
      <c r="L22" s="324"/>
      <c r="M22" s="332"/>
      <c r="N22" s="334"/>
      <c r="O22" s="334"/>
      <c r="P22" s="334"/>
      <c r="Q22" s="305"/>
      <c r="R22" s="305"/>
      <c r="S22" s="307"/>
      <c r="T22" s="309"/>
    </row>
    <row r="23" spans="1:20" ht="12" customHeight="1">
      <c r="A23" s="273"/>
      <c r="B23" s="312">
        <f>пр.хода!F24</f>
        <v>0</v>
      </c>
      <c r="C23" s="327" t="str">
        <f>IFERROR(VLOOKUP(B23,пр.взв!$B$7:$H$76,2,0),"")</f>
        <v/>
      </c>
      <c r="D23" s="329" t="str">
        <f>IFERROR(VLOOKUP(B23,пр.взв!$B$7:$H$76,3,0),"")</f>
        <v/>
      </c>
      <c r="E23" s="329" t="str">
        <f>IFERROR(VLOOKUP(B23,пр.взв!$B$7:$H$76,4,0),"")</f>
        <v/>
      </c>
      <c r="F23" s="329" t="str">
        <f>IFERROR(VLOOKUP(B23,пр.взв!$B$7:$H$76,5,0),"")</f>
        <v/>
      </c>
      <c r="G23" s="305"/>
      <c r="H23" s="305"/>
      <c r="I23" s="307"/>
      <c r="J23" s="309"/>
      <c r="L23" s="325"/>
      <c r="M23" s="327" t="str">
        <f>IFERROR(VLOOKUP(L23,пр.взв!$B$7:$H$76,2,0),"")</f>
        <v/>
      </c>
      <c r="N23" s="329" t="str">
        <f>IFERROR(VLOOKUP(L23,пр.взв!$B$7:$H$76,3,0),"")</f>
        <v/>
      </c>
      <c r="O23" s="329" t="str">
        <f>IFERROR(VLOOKUP(L23,пр.взв!$B$7:$H$76,4,0),"")</f>
        <v/>
      </c>
      <c r="P23" s="329" t="str">
        <f>IFERROR(VLOOKUP(L23,пр.взв!$B$7:$H$76,5,0),"")</f>
        <v/>
      </c>
      <c r="Q23" s="305"/>
      <c r="R23" s="305"/>
      <c r="S23" s="307"/>
      <c r="T23" s="309"/>
    </row>
    <row r="24" spans="1:20" ht="12" customHeight="1" thickBot="1">
      <c r="A24" s="273"/>
      <c r="B24" s="297"/>
      <c r="C24" s="328"/>
      <c r="D24" s="330"/>
      <c r="E24" s="330"/>
      <c r="F24" s="330"/>
      <c r="G24" s="317"/>
      <c r="H24" s="317"/>
      <c r="I24" s="318"/>
      <c r="J24" s="319"/>
      <c r="L24" s="326"/>
      <c r="M24" s="328"/>
      <c r="N24" s="330"/>
      <c r="O24" s="330"/>
      <c r="P24" s="330"/>
      <c r="Q24" s="317"/>
      <c r="R24" s="317"/>
      <c r="S24" s="318"/>
      <c r="T24" s="319"/>
    </row>
    <row r="25" spans="1:20" ht="12" customHeight="1">
      <c r="A25" s="273"/>
      <c r="B25" s="296">
        <f>пр.хода!B28</f>
        <v>11</v>
      </c>
      <c r="C25" s="321" t="str">
        <f>IFERROR(VLOOKUP(B25,пр.взв!$B$7:$H$76,2,0),"")</f>
        <v/>
      </c>
      <c r="D25" s="302" t="str">
        <f>IFERROR(VLOOKUP(B25,пр.взв!$B$7:$H$76,3,0),"")</f>
        <v/>
      </c>
      <c r="E25" s="302" t="str">
        <f>IFERROR(VLOOKUP(B25,пр.взв!$B$7:$H$76,4,0),"")</f>
        <v/>
      </c>
      <c r="F25" s="302" t="str">
        <f>IFERROR(VLOOKUP(B25,пр.взв!$B$7:$H$76,5,0),"")</f>
        <v/>
      </c>
      <c r="G25" s="304"/>
      <c r="H25" s="304"/>
      <c r="I25" s="306"/>
      <c r="J25" s="308"/>
      <c r="L25" s="323"/>
      <c r="M25" s="321" t="str">
        <f>IFERROR(VLOOKUP(L25,пр.взв!$B$7:$H$76,2,0),"")</f>
        <v/>
      </c>
      <c r="N25" s="302" t="str">
        <f>IFERROR(VLOOKUP(L25,пр.взв!$B$7:$H$76,3,0),"")</f>
        <v/>
      </c>
      <c r="O25" s="302" t="str">
        <f>IFERROR(VLOOKUP(L25,пр.взв!$B$7:$H$76,4,0),"")</f>
        <v/>
      </c>
      <c r="P25" s="302" t="str">
        <f>IFERROR(VLOOKUP(L25,пр.взв!$B$7:$H$76,5,0),"")</f>
        <v/>
      </c>
      <c r="Q25" s="304"/>
      <c r="R25" s="304"/>
      <c r="S25" s="306"/>
      <c r="T25" s="308"/>
    </row>
    <row r="26" spans="1:20" ht="12" customHeight="1">
      <c r="A26" s="273"/>
      <c r="B26" s="297"/>
      <c r="C26" s="322"/>
      <c r="D26" s="303"/>
      <c r="E26" s="303"/>
      <c r="F26" s="303"/>
      <c r="G26" s="305"/>
      <c r="H26" s="305"/>
      <c r="I26" s="307"/>
      <c r="J26" s="309"/>
      <c r="L26" s="324"/>
      <c r="M26" s="322"/>
      <c r="N26" s="303"/>
      <c r="O26" s="303"/>
      <c r="P26" s="303"/>
      <c r="Q26" s="305"/>
      <c r="R26" s="305"/>
      <c r="S26" s="307"/>
      <c r="T26" s="309"/>
    </row>
    <row r="27" spans="1:20" ht="12" customHeight="1">
      <c r="A27" s="273"/>
      <c r="B27" s="312">
        <f>пр.хода!F28</f>
        <v>0</v>
      </c>
      <c r="C27" s="313" t="str">
        <f>IFERROR(VLOOKUP(B27,пр.взв!$B$7:$H$76,2,0),"")</f>
        <v/>
      </c>
      <c r="D27" s="315" t="str">
        <f>IFERROR(VLOOKUP(B27,пр.взв!$B$7:$H$76,3,0),"")</f>
        <v/>
      </c>
      <c r="E27" s="315" t="str">
        <f>IFERROR(VLOOKUP(B27,пр.взв!$B$7:$H$76,4,0),"")</f>
        <v/>
      </c>
      <c r="F27" s="315" t="str">
        <f>IFERROR(VLOOKUP(B27,пр.взв!$B$7:$H$76,5,0),"")</f>
        <v/>
      </c>
      <c r="G27" s="305"/>
      <c r="H27" s="305"/>
      <c r="I27" s="307"/>
      <c r="J27" s="309"/>
      <c r="L27" s="325"/>
      <c r="M27" s="313" t="str">
        <f>IFERROR(VLOOKUP(L27,пр.взв!$B$7:$H$76,2,0),"")</f>
        <v/>
      </c>
      <c r="N27" s="315" t="str">
        <f>IFERROR(VLOOKUP(L27,пр.взв!$B$7:$H$76,3,0),"")</f>
        <v/>
      </c>
      <c r="O27" s="315" t="str">
        <f>IFERROR(VLOOKUP(L27,пр.взв!$B$7:$H$76,4,0),"")</f>
        <v/>
      </c>
      <c r="P27" s="315" t="str">
        <f>IFERROR(VLOOKUP(L27,пр.взв!$B$7:$H$76,5,0),"")</f>
        <v/>
      </c>
      <c r="Q27" s="305"/>
      <c r="R27" s="305"/>
      <c r="S27" s="307"/>
      <c r="T27" s="309"/>
    </row>
    <row r="28" spans="1:20" ht="12" customHeight="1" thickBot="1">
      <c r="A28" s="273"/>
      <c r="B28" s="297"/>
      <c r="C28" s="314"/>
      <c r="D28" s="316"/>
      <c r="E28" s="316"/>
      <c r="F28" s="316"/>
      <c r="G28" s="317"/>
      <c r="H28" s="317"/>
      <c r="I28" s="318"/>
      <c r="J28" s="319"/>
      <c r="L28" s="326"/>
      <c r="M28" s="314"/>
      <c r="N28" s="316"/>
      <c r="O28" s="316"/>
      <c r="P28" s="316"/>
      <c r="Q28" s="317"/>
      <c r="R28" s="317"/>
      <c r="S28" s="318"/>
      <c r="T28" s="319"/>
    </row>
    <row r="29" spans="1:20" ht="12" customHeight="1">
      <c r="A29" s="273"/>
      <c r="B29" s="296">
        <f>пр.хода!B32</f>
        <v>13</v>
      </c>
      <c r="C29" s="321" t="str">
        <f>IFERROR(VLOOKUP(B29,пр.взв!$B$7:$H$76,2,0),"")</f>
        <v/>
      </c>
      <c r="D29" s="302" t="str">
        <f>IFERROR(VLOOKUP(B29,пр.взв!$B$7:$H$76,3,0),"")</f>
        <v/>
      </c>
      <c r="E29" s="302" t="str">
        <f>IFERROR(VLOOKUP(B29,пр.взв!$B$7:$H$76,4,0),"")</f>
        <v/>
      </c>
      <c r="F29" s="302" t="str">
        <f>IFERROR(VLOOKUP(B29,пр.взв!$B$7:$H$76,5,0),"")</f>
        <v/>
      </c>
      <c r="G29" s="304"/>
      <c r="H29" s="304"/>
      <c r="I29" s="306"/>
      <c r="J29" s="308"/>
      <c r="L29" s="323"/>
      <c r="M29" s="321" t="str">
        <f>IFERROR(VLOOKUP(L29,пр.взв!$B$7:$H$76,2,0),"")</f>
        <v/>
      </c>
      <c r="N29" s="302" t="str">
        <f>IFERROR(VLOOKUP(L29,пр.взв!$B$7:$H$76,3,0),"")</f>
        <v/>
      </c>
      <c r="O29" s="302" t="str">
        <f>IFERROR(VLOOKUP(L29,пр.взв!$B$7:$H$76,4,0),"")</f>
        <v/>
      </c>
      <c r="P29" s="302" t="str">
        <f>IFERROR(VLOOKUP(L29,пр.взв!$B$7:$H$76,5,0),"")</f>
        <v/>
      </c>
      <c r="Q29" s="304"/>
      <c r="R29" s="304"/>
      <c r="S29" s="306"/>
      <c r="T29" s="308"/>
    </row>
    <row r="30" spans="1:20" ht="12" customHeight="1">
      <c r="A30" s="273"/>
      <c r="B30" s="297"/>
      <c r="C30" s="322"/>
      <c r="D30" s="303"/>
      <c r="E30" s="303"/>
      <c r="F30" s="303"/>
      <c r="G30" s="305"/>
      <c r="H30" s="305"/>
      <c r="I30" s="307"/>
      <c r="J30" s="309"/>
      <c r="L30" s="324"/>
      <c r="M30" s="322"/>
      <c r="N30" s="303"/>
      <c r="O30" s="303"/>
      <c r="P30" s="303"/>
      <c r="Q30" s="305"/>
      <c r="R30" s="305"/>
      <c r="S30" s="307"/>
      <c r="T30" s="309"/>
    </row>
    <row r="31" spans="1:20" ht="12" customHeight="1">
      <c r="A31" s="273"/>
      <c r="B31" s="312">
        <f>пр.хода!F32</f>
        <v>0</v>
      </c>
      <c r="C31" s="313" t="str">
        <f>IFERROR(VLOOKUP(B31,пр.взв!$B$7:$H$76,2,0),"")</f>
        <v/>
      </c>
      <c r="D31" s="315" t="str">
        <f>IFERROR(VLOOKUP(B31,пр.взв!$B$7:$H$76,3,0),"")</f>
        <v/>
      </c>
      <c r="E31" s="315" t="str">
        <f>IFERROR(VLOOKUP(B31,пр.взв!$B$7:$H$76,4,0),"")</f>
        <v/>
      </c>
      <c r="F31" s="315" t="str">
        <f>IFERROR(VLOOKUP(B31,пр.взв!$B$7:$H$76,5,0),"")</f>
        <v/>
      </c>
      <c r="G31" s="305"/>
      <c r="H31" s="305"/>
      <c r="I31" s="307"/>
      <c r="J31" s="309"/>
      <c r="L31" s="325"/>
      <c r="M31" s="313" t="str">
        <f>IFERROR(VLOOKUP(L31,пр.взв!$B$7:$H$76,2,0),"")</f>
        <v/>
      </c>
      <c r="N31" s="315" t="str">
        <f>IFERROR(VLOOKUP(L31,пр.взв!$B$7:$H$76,3,0),"")</f>
        <v/>
      </c>
      <c r="O31" s="315" t="str">
        <f>IFERROR(VLOOKUP(L31,пр.взв!$B$7:$H$76,4,0),"")</f>
        <v/>
      </c>
      <c r="P31" s="315" t="str">
        <f>IFERROR(VLOOKUP(L31,пр.взв!$B$7:$H$76,5,0),"")</f>
        <v/>
      </c>
      <c r="Q31" s="305"/>
      <c r="R31" s="305"/>
      <c r="S31" s="307"/>
      <c r="T31" s="309"/>
    </row>
    <row r="32" spans="1:20" ht="12" customHeight="1" thickBot="1">
      <c r="A32" s="273"/>
      <c r="B32" s="297"/>
      <c r="C32" s="314"/>
      <c r="D32" s="316"/>
      <c r="E32" s="316"/>
      <c r="F32" s="316"/>
      <c r="G32" s="317"/>
      <c r="H32" s="317"/>
      <c r="I32" s="318"/>
      <c r="J32" s="319"/>
      <c r="L32" s="326"/>
      <c r="M32" s="314"/>
      <c r="N32" s="316"/>
      <c r="O32" s="316"/>
      <c r="P32" s="316"/>
      <c r="Q32" s="317"/>
      <c r="R32" s="317"/>
      <c r="S32" s="318"/>
      <c r="T32" s="319"/>
    </row>
    <row r="33" spans="1:20" ht="12" customHeight="1">
      <c r="A33" s="273"/>
      <c r="B33" s="296">
        <f>пр.хода!B36</f>
        <v>15</v>
      </c>
      <c r="C33" s="321" t="str">
        <f>IFERROR(VLOOKUP(B33,пр.взв!$B$7:$H$76,2,0),"")</f>
        <v/>
      </c>
      <c r="D33" s="302" t="str">
        <f>IFERROR(VLOOKUP(B33,пр.взв!$B$7:$H$76,3,0),"")</f>
        <v/>
      </c>
      <c r="E33" s="302" t="str">
        <f>IFERROR(VLOOKUP(B33,пр.взв!$B$7:$H$76,4,0),"")</f>
        <v/>
      </c>
      <c r="F33" s="302" t="str">
        <f>IFERROR(VLOOKUP(B33,пр.взв!$B$7:$H$76,5,0),"")</f>
        <v/>
      </c>
      <c r="G33" s="304"/>
      <c r="H33" s="304"/>
      <c r="I33" s="306"/>
      <c r="J33" s="308"/>
      <c r="L33" s="323"/>
      <c r="M33" s="321" t="str">
        <f>IFERROR(VLOOKUP(L33,пр.взв!$B$7:$H$76,2,0),"")</f>
        <v/>
      </c>
      <c r="N33" s="302" t="str">
        <f>IFERROR(VLOOKUP(L33,пр.взв!$B$7:$H$76,3,0),"")</f>
        <v/>
      </c>
      <c r="O33" s="302" t="str">
        <f>IFERROR(VLOOKUP(L33,пр.взв!$B$7:$H$76,4,0),"")</f>
        <v/>
      </c>
      <c r="P33" s="302" t="str">
        <f>IFERROR(VLOOKUP(L33,пр.взв!$B$7:$H$76,5,0),"")</f>
        <v/>
      </c>
      <c r="Q33" s="304"/>
      <c r="R33" s="304"/>
      <c r="S33" s="306"/>
      <c r="T33" s="308"/>
    </row>
    <row r="34" spans="1:20" ht="12" customHeight="1">
      <c r="A34" s="273"/>
      <c r="B34" s="297"/>
      <c r="C34" s="322"/>
      <c r="D34" s="303"/>
      <c r="E34" s="303"/>
      <c r="F34" s="303"/>
      <c r="G34" s="305"/>
      <c r="H34" s="305"/>
      <c r="I34" s="307"/>
      <c r="J34" s="309"/>
      <c r="L34" s="324"/>
      <c r="M34" s="322"/>
      <c r="N34" s="303"/>
      <c r="O34" s="303"/>
      <c r="P34" s="303"/>
      <c r="Q34" s="305"/>
      <c r="R34" s="305"/>
      <c r="S34" s="307"/>
      <c r="T34" s="309"/>
    </row>
    <row r="35" spans="1:20" ht="12" customHeight="1">
      <c r="A35" s="273"/>
      <c r="B35" s="312">
        <f>пр.хода!F36</f>
        <v>0</v>
      </c>
      <c r="C35" s="313" t="str">
        <f>IFERROR(VLOOKUP(B35,пр.взв!$B$7:$H$76,2,0),"")</f>
        <v/>
      </c>
      <c r="D35" s="315" t="str">
        <f>IFERROR(VLOOKUP(B35,пр.взв!$B$7:$H$76,3,0),"")</f>
        <v/>
      </c>
      <c r="E35" s="315" t="str">
        <f>IFERROR(VLOOKUP(B35,пр.взв!$B$7:$H$76,4,0),"")</f>
        <v/>
      </c>
      <c r="F35" s="315" t="str">
        <f>IFERROR(VLOOKUP(B35,пр.взв!$B$7:$H$76,5,0),"")</f>
        <v/>
      </c>
      <c r="G35" s="305"/>
      <c r="H35" s="305"/>
      <c r="I35" s="307"/>
      <c r="J35" s="309"/>
      <c r="L35" s="325"/>
      <c r="M35" s="313" t="str">
        <f>IFERROR(VLOOKUP(L35,пр.взв!$B$7:$H$76,2,0),"")</f>
        <v/>
      </c>
      <c r="N35" s="315" t="str">
        <f>IFERROR(VLOOKUP(L35,пр.взв!$B$7:$H$76,3,0),"")</f>
        <v/>
      </c>
      <c r="O35" s="315" t="str">
        <f>IFERROR(VLOOKUP(L35,пр.взв!$B$7:$H$76,4,0),"")</f>
        <v/>
      </c>
      <c r="P35" s="315" t="str">
        <f>IFERROR(VLOOKUP(L35,пр.взв!$B$7:$H$76,5,0),"")</f>
        <v/>
      </c>
      <c r="Q35" s="305"/>
      <c r="R35" s="305"/>
      <c r="S35" s="307"/>
      <c r="T35" s="309"/>
    </row>
    <row r="36" spans="1:20" ht="12" customHeight="1" thickBot="1">
      <c r="A36" s="273"/>
      <c r="B36" s="297"/>
      <c r="C36" s="314"/>
      <c r="D36" s="316"/>
      <c r="E36" s="316"/>
      <c r="F36" s="316"/>
      <c r="G36" s="317"/>
      <c r="H36" s="317"/>
      <c r="I36" s="318"/>
      <c r="J36" s="319"/>
      <c r="L36" s="326"/>
      <c r="M36" s="314"/>
      <c r="N36" s="316"/>
      <c r="O36" s="316"/>
      <c r="P36" s="316"/>
      <c r="Q36" s="317"/>
      <c r="R36" s="317"/>
      <c r="S36" s="318"/>
      <c r="T36" s="319"/>
    </row>
    <row r="37" spans="1:20" ht="12" customHeight="1">
      <c r="A37" s="273"/>
      <c r="B37" s="296">
        <f>пр.хода!B40</f>
        <v>17</v>
      </c>
      <c r="C37" s="321" t="str">
        <f>IFERROR(VLOOKUP(B37,пр.взв!$B$7:$H$76,2,0),"")</f>
        <v/>
      </c>
      <c r="D37" s="302" t="str">
        <f>IFERROR(VLOOKUP(B37,пр.взв!$B$7:$H$76,3,0),"")</f>
        <v/>
      </c>
      <c r="E37" s="302" t="str">
        <f>IFERROR(VLOOKUP(B37,пр.взв!$B$7:$H$76,4,0),"")</f>
        <v/>
      </c>
      <c r="F37" s="302" t="str">
        <f>IFERROR(VLOOKUP(B37,пр.взв!$B$7:$H$76,5,0),"")</f>
        <v/>
      </c>
      <c r="G37" s="304"/>
      <c r="H37" s="304"/>
      <c r="I37" s="306"/>
      <c r="J37" s="308"/>
      <c r="L37" s="323"/>
      <c r="M37" s="321" t="str">
        <f>IFERROR(VLOOKUP(L37,пр.взв!$B$7:$H$76,2,0),"")</f>
        <v/>
      </c>
      <c r="N37" s="302" t="str">
        <f>IFERROR(VLOOKUP(L37,пр.взв!$B$7:$H$76,3,0),"")</f>
        <v/>
      </c>
      <c r="O37" s="302" t="str">
        <f>IFERROR(VLOOKUP(L37,пр.взв!$B$7:$H$76,4,0),"")</f>
        <v/>
      </c>
      <c r="P37" s="302" t="str">
        <f>IFERROR(VLOOKUP(L37,пр.взв!$B$7:$H$76,5,0),"")</f>
        <v/>
      </c>
      <c r="Q37" s="304"/>
      <c r="R37" s="304"/>
      <c r="S37" s="306"/>
      <c r="T37" s="308"/>
    </row>
    <row r="38" spans="1:20" ht="12" customHeight="1">
      <c r="A38" s="273"/>
      <c r="B38" s="297"/>
      <c r="C38" s="322"/>
      <c r="D38" s="303"/>
      <c r="E38" s="303"/>
      <c r="F38" s="303"/>
      <c r="G38" s="305"/>
      <c r="H38" s="305"/>
      <c r="I38" s="307"/>
      <c r="J38" s="309"/>
      <c r="L38" s="324"/>
      <c r="M38" s="322"/>
      <c r="N38" s="303"/>
      <c r="O38" s="303"/>
      <c r="P38" s="303"/>
      <c r="Q38" s="305"/>
      <c r="R38" s="305"/>
      <c r="S38" s="307"/>
      <c r="T38" s="309"/>
    </row>
    <row r="39" spans="1:20" ht="12" customHeight="1">
      <c r="A39" s="273"/>
      <c r="B39" s="312">
        <f>пр.хода!F40</f>
        <v>0</v>
      </c>
      <c r="C39" s="313" t="str">
        <f>IFERROR(VLOOKUP(B39,пр.взв!$B$7:$H$76,2,0),"")</f>
        <v/>
      </c>
      <c r="D39" s="315" t="str">
        <f>IFERROR(VLOOKUP(B39,пр.взв!$B$7:$H$76,3,0),"")</f>
        <v/>
      </c>
      <c r="E39" s="315" t="str">
        <f>IFERROR(VLOOKUP(B39,пр.взв!$B$7:$H$76,4,0),"")</f>
        <v/>
      </c>
      <c r="F39" s="315" t="str">
        <f>IFERROR(VLOOKUP(B39,пр.взв!$B$7:$H$76,5,0),"")</f>
        <v/>
      </c>
      <c r="G39" s="305"/>
      <c r="H39" s="305"/>
      <c r="I39" s="307"/>
      <c r="J39" s="309"/>
      <c r="L39" s="325"/>
      <c r="M39" s="313" t="str">
        <f>IFERROR(VLOOKUP(L39,пр.взв!$B$7:$H$76,2,0),"")</f>
        <v/>
      </c>
      <c r="N39" s="315" t="str">
        <f>IFERROR(VLOOKUP(L39,пр.взв!$B$7:$H$76,3,0),"")</f>
        <v/>
      </c>
      <c r="O39" s="315" t="str">
        <f>IFERROR(VLOOKUP(L39,пр.взв!$B$7:$H$76,4,0),"")</f>
        <v/>
      </c>
      <c r="P39" s="315" t="str">
        <f>IFERROR(VLOOKUP(L39,пр.взв!$B$7:$H$76,5,0),"")</f>
        <v/>
      </c>
      <c r="Q39" s="305"/>
      <c r="R39" s="305"/>
      <c r="S39" s="307"/>
      <c r="T39" s="309"/>
    </row>
    <row r="40" spans="1:20" ht="12" customHeight="1" thickBot="1">
      <c r="A40" s="273"/>
      <c r="B40" s="297"/>
      <c r="C40" s="314"/>
      <c r="D40" s="316"/>
      <c r="E40" s="316"/>
      <c r="F40" s="316"/>
      <c r="G40" s="317"/>
      <c r="H40" s="317"/>
      <c r="I40" s="318"/>
      <c r="J40" s="319"/>
      <c r="L40" s="326"/>
      <c r="M40" s="314"/>
      <c r="N40" s="316"/>
      <c r="O40" s="316"/>
      <c r="P40" s="316"/>
      <c r="Q40" s="317"/>
      <c r="R40" s="317"/>
      <c r="S40" s="318"/>
      <c r="T40" s="319"/>
    </row>
    <row r="41" spans="1:20" ht="12" customHeight="1">
      <c r="A41" s="273"/>
      <c r="B41" s="296">
        <f>пр.хода!B44</f>
        <v>19</v>
      </c>
      <c r="C41" s="321" t="str">
        <f>IFERROR(VLOOKUP(B41,пр.взв!$B$7:$H$76,2,0),"")</f>
        <v/>
      </c>
      <c r="D41" s="302" t="str">
        <f>IFERROR(VLOOKUP(B41,пр.взв!$B$7:$H$76,3,0),"")</f>
        <v/>
      </c>
      <c r="E41" s="302" t="str">
        <f>IFERROR(VLOOKUP(B41,пр.взв!$B$7:$H$76,4,0),"")</f>
        <v/>
      </c>
      <c r="F41" s="302" t="str">
        <f>IFERROR(VLOOKUP(B41,пр.взв!$B$7:$H$76,5,0),"")</f>
        <v/>
      </c>
      <c r="G41" s="304"/>
      <c r="H41" s="304"/>
      <c r="I41" s="306"/>
      <c r="J41" s="308"/>
      <c r="L41" s="323"/>
      <c r="M41" s="321" t="str">
        <f>IFERROR(VLOOKUP(L41,пр.взв!$B$7:$H$76,2,0),"")</f>
        <v/>
      </c>
      <c r="N41" s="302" t="str">
        <f>IFERROR(VLOOKUP(L41,пр.взв!$B$7:$H$76,3,0),"")</f>
        <v/>
      </c>
      <c r="O41" s="302" t="str">
        <f>IFERROR(VLOOKUP(L41,пр.взв!$B$7:$H$76,4,0),"")</f>
        <v/>
      </c>
      <c r="P41" s="302" t="str">
        <f>IFERROR(VLOOKUP(L41,пр.взв!$B$7:$H$76,5,0),"")</f>
        <v/>
      </c>
      <c r="Q41" s="304"/>
      <c r="R41" s="304"/>
      <c r="S41" s="306"/>
      <c r="T41" s="308"/>
    </row>
    <row r="42" spans="1:20" ht="12" customHeight="1">
      <c r="A42" s="273"/>
      <c r="B42" s="297"/>
      <c r="C42" s="322"/>
      <c r="D42" s="303"/>
      <c r="E42" s="303"/>
      <c r="F42" s="303"/>
      <c r="G42" s="305"/>
      <c r="H42" s="305"/>
      <c r="I42" s="307"/>
      <c r="J42" s="309"/>
      <c r="L42" s="324"/>
      <c r="M42" s="322"/>
      <c r="N42" s="303"/>
      <c r="O42" s="303"/>
      <c r="P42" s="303"/>
      <c r="Q42" s="305"/>
      <c r="R42" s="305"/>
      <c r="S42" s="307"/>
      <c r="T42" s="309"/>
    </row>
    <row r="43" spans="1:20" ht="12" customHeight="1">
      <c r="A43" s="273"/>
      <c r="B43" s="312">
        <f>пр.хода!F44</f>
        <v>0</v>
      </c>
      <c r="C43" s="313" t="str">
        <f>IFERROR(VLOOKUP(B43,пр.взв!$B$7:$H$76,2,0),"")</f>
        <v/>
      </c>
      <c r="D43" s="315" t="str">
        <f>IFERROR(VLOOKUP(B43,пр.взв!$B$7:$H$76,3,0),"")</f>
        <v/>
      </c>
      <c r="E43" s="315" t="str">
        <f>IFERROR(VLOOKUP(B43,пр.взв!$B$7:$H$76,4,0),"")</f>
        <v/>
      </c>
      <c r="F43" s="315" t="str">
        <f>IFERROR(VLOOKUP(B43,пр.взв!$B$7:$H$76,5,0),"")</f>
        <v/>
      </c>
      <c r="G43" s="305"/>
      <c r="H43" s="305"/>
      <c r="I43" s="307"/>
      <c r="J43" s="309"/>
      <c r="L43" s="325"/>
      <c r="M43" s="313" t="str">
        <f>IFERROR(VLOOKUP(L43,пр.взв!$B$7:$H$76,2,0),"")</f>
        <v/>
      </c>
      <c r="N43" s="315" t="str">
        <f>IFERROR(VLOOKUP(L43,пр.взв!$B$7:$H$76,3,0),"")</f>
        <v/>
      </c>
      <c r="O43" s="315" t="str">
        <f>IFERROR(VLOOKUP(L43,пр.взв!$B$7:$H$76,4,0),"")</f>
        <v/>
      </c>
      <c r="P43" s="315" t="str">
        <f>IFERROR(VLOOKUP(L43,пр.взв!$B$7:$H$76,5,0),"")</f>
        <v/>
      </c>
      <c r="Q43" s="305"/>
      <c r="R43" s="305"/>
      <c r="S43" s="307"/>
      <c r="T43" s="309"/>
    </row>
    <row r="44" spans="1:20" ht="12" customHeight="1" thickBot="1">
      <c r="A44" s="273"/>
      <c r="B44" s="297"/>
      <c r="C44" s="314"/>
      <c r="D44" s="316"/>
      <c r="E44" s="316"/>
      <c r="F44" s="316"/>
      <c r="G44" s="317"/>
      <c r="H44" s="317"/>
      <c r="I44" s="318"/>
      <c r="J44" s="319"/>
      <c r="L44" s="326"/>
      <c r="M44" s="314"/>
      <c r="N44" s="316"/>
      <c r="O44" s="316"/>
      <c r="P44" s="316"/>
      <c r="Q44" s="317"/>
      <c r="R44" s="317"/>
      <c r="S44" s="318"/>
      <c r="T44" s="319"/>
    </row>
    <row r="45" spans="1:20" ht="12" customHeight="1">
      <c r="A45" s="273"/>
      <c r="B45" s="296">
        <f>пр.хода!B48</f>
        <v>21</v>
      </c>
      <c r="C45" s="321" t="str">
        <f>IFERROR(VLOOKUP(B45,пр.взв!$B$7:$H$76,2,0),"")</f>
        <v/>
      </c>
      <c r="D45" s="302" t="str">
        <f>IFERROR(VLOOKUP(B45,пр.взв!$B$7:$H$76,3,0),"")</f>
        <v/>
      </c>
      <c r="E45" s="302" t="str">
        <f>IFERROR(VLOOKUP(B45,пр.взв!$B$7:$H$76,4,0),"")</f>
        <v/>
      </c>
      <c r="F45" s="302" t="str">
        <f>IFERROR(VLOOKUP(B45,пр.взв!$B$7:$H$76,5,0),"")</f>
        <v/>
      </c>
      <c r="G45" s="304"/>
      <c r="H45" s="304"/>
      <c r="I45" s="306"/>
      <c r="J45" s="308"/>
      <c r="L45" s="323"/>
      <c r="M45" s="321" t="str">
        <f>IFERROR(VLOOKUP(L45,пр.взв!$B$7:$H$76,2,0),"")</f>
        <v/>
      </c>
      <c r="N45" s="302" t="str">
        <f>IFERROR(VLOOKUP(L45,пр.взв!$B$7:$H$76,3,0),"")</f>
        <v/>
      </c>
      <c r="O45" s="302" t="str">
        <f>IFERROR(VLOOKUP(L45,пр.взв!$B$7:$H$76,4,0),"")</f>
        <v/>
      </c>
      <c r="P45" s="302" t="str">
        <f>IFERROR(VLOOKUP(L45,пр.взв!$B$7:$H$76,5,0),"")</f>
        <v/>
      </c>
      <c r="Q45" s="304"/>
      <c r="R45" s="304"/>
      <c r="S45" s="306"/>
      <c r="T45" s="308"/>
    </row>
    <row r="46" spans="1:20" ht="12" customHeight="1">
      <c r="A46" s="273"/>
      <c r="B46" s="297"/>
      <c r="C46" s="322"/>
      <c r="D46" s="303"/>
      <c r="E46" s="303"/>
      <c r="F46" s="303"/>
      <c r="G46" s="305"/>
      <c r="H46" s="305"/>
      <c r="I46" s="307"/>
      <c r="J46" s="309"/>
      <c r="L46" s="324"/>
      <c r="M46" s="322"/>
      <c r="N46" s="303"/>
      <c r="O46" s="303"/>
      <c r="P46" s="303"/>
      <c r="Q46" s="305"/>
      <c r="R46" s="305"/>
      <c r="S46" s="307"/>
      <c r="T46" s="309"/>
    </row>
    <row r="47" spans="1:20" ht="12" customHeight="1">
      <c r="A47" s="273"/>
      <c r="B47" s="312">
        <f>пр.хода!F48</f>
        <v>0</v>
      </c>
      <c r="C47" s="313" t="str">
        <f>IFERROR(VLOOKUP(B47,пр.взв!$B$7:$H$76,2,0),"")</f>
        <v/>
      </c>
      <c r="D47" s="315" t="str">
        <f>IFERROR(VLOOKUP(B47,пр.взв!$B$7:$H$76,3,0),"")</f>
        <v/>
      </c>
      <c r="E47" s="315" t="str">
        <f>IFERROR(VLOOKUP(B47,пр.взв!$B$7:$H$76,4,0),"")</f>
        <v/>
      </c>
      <c r="F47" s="315" t="str">
        <f>IFERROR(VLOOKUP(B47,пр.взв!$B$7:$H$76,5,0),"")</f>
        <v/>
      </c>
      <c r="G47" s="305"/>
      <c r="H47" s="305"/>
      <c r="I47" s="307"/>
      <c r="J47" s="309"/>
      <c r="L47" s="325"/>
      <c r="M47" s="313" t="str">
        <f>IFERROR(VLOOKUP(L47,пр.взв!$B$7:$H$76,2,0),"")</f>
        <v/>
      </c>
      <c r="N47" s="315" t="str">
        <f>IFERROR(VLOOKUP(L47,пр.взв!$B$7:$H$76,3,0),"")</f>
        <v/>
      </c>
      <c r="O47" s="315" t="str">
        <f>IFERROR(VLOOKUP(L47,пр.взв!$B$7:$H$76,4,0),"")</f>
        <v/>
      </c>
      <c r="P47" s="315" t="str">
        <f>IFERROR(VLOOKUP(L47,пр.взв!$B$7:$H$76,5,0),"")</f>
        <v/>
      </c>
      <c r="Q47" s="305"/>
      <c r="R47" s="305"/>
      <c r="S47" s="307"/>
      <c r="T47" s="309"/>
    </row>
    <row r="48" spans="1:20" ht="12" customHeight="1" thickBot="1">
      <c r="A48" s="273"/>
      <c r="B48" s="297"/>
      <c r="C48" s="314"/>
      <c r="D48" s="316"/>
      <c r="E48" s="316"/>
      <c r="F48" s="316"/>
      <c r="G48" s="317"/>
      <c r="H48" s="317"/>
      <c r="I48" s="318"/>
      <c r="J48" s="319"/>
      <c r="L48" s="326"/>
      <c r="M48" s="314"/>
      <c r="N48" s="316"/>
      <c r="O48" s="316"/>
      <c r="P48" s="316"/>
      <c r="Q48" s="317"/>
      <c r="R48" s="317"/>
      <c r="S48" s="318"/>
      <c r="T48" s="319"/>
    </row>
    <row r="49" spans="1:20" ht="12" customHeight="1">
      <c r="A49" s="273"/>
      <c r="B49" s="296">
        <f>пр.хода!B52</f>
        <v>23</v>
      </c>
      <c r="C49" s="321" t="str">
        <f>IFERROR(VLOOKUP(B49,пр.взв!$B$7:$H$76,2,0),"")</f>
        <v/>
      </c>
      <c r="D49" s="302" t="str">
        <f>IFERROR(VLOOKUP(B49,пр.взв!$B$7:$H$76,3,0),"")</f>
        <v/>
      </c>
      <c r="E49" s="302" t="str">
        <f>IFERROR(VLOOKUP(B49,пр.взв!$B$7:$H$76,4,0),"")</f>
        <v/>
      </c>
      <c r="F49" s="302" t="str">
        <f>IFERROR(VLOOKUP(B49,пр.взв!$B$7:$H$76,5,0),"")</f>
        <v/>
      </c>
      <c r="G49" s="304"/>
      <c r="H49" s="304"/>
      <c r="I49" s="306"/>
      <c r="J49" s="308"/>
      <c r="L49" s="323"/>
      <c r="M49" s="321" t="str">
        <f>IFERROR(VLOOKUP(L49,пр.взв!$B$7:$H$76,2,0),"")</f>
        <v/>
      </c>
      <c r="N49" s="302" t="str">
        <f>IFERROR(VLOOKUP(L49,пр.взв!$B$7:$H$76,3,0),"")</f>
        <v/>
      </c>
      <c r="O49" s="302" t="str">
        <f>IFERROR(VLOOKUP(L49,пр.взв!$B$7:$H$76,4,0),"")</f>
        <v/>
      </c>
      <c r="P49" s="302" t="str">
        <f>IFERROR(VLOOKUP(L49,пр.взв!$B$7:$H$76,5,0),"")</f>
        <v/>
      </c>
      <c r="Q49" s="304"/>
      <c r="R49" s="304"/>
      <c r="S49" s="306"/>
      <c r="T49" s="308"/>
    </row>
    <row r="50" spans="1:20" ht="12" customHeight="1">
      <c r="A50" s="273"/>
      <c r="B50" s="297"/>
      <c r="C50" s="322"/>
      <c r="D50" s="303"/>
      <c r="E50" s="303"/>
      <c r="F50" s="303"/>
      <c r="G50" s="305"/>
      <c r="H50" s="305"/>
      <c r="I50" s="307"/>
      <c r="J50" s="309"/>
      <c r="L50" s="324"/>
      <c r="M50" s="322"/>
      <c r="N50" s="303"/>
      <c r="O50" s="303"/>
      <c r="P50" s="303"/>
      <c r="Q50" s="305"/>
      <c r="R50" s="305"/>
      <c r="S50" s="307"/>
      <c r="T50" s="309"/>
    </row>
    <row r="51" spans="1:20" ht="12" customHeight="1">
      <c r="A51" s="273"/>
      <c r="B51" s="312">
        <f>пр.хода!F52</f>
        <v>0</v>
      </c>
      <c r="C51" s="313" t="str">
        <f>IFERROR(VLOOKUP(B51,пр.взв!$B$7:$H$76,2,0),"")</f>
        <v/>
      </c>
      <c r="D51" s="315" t="str">
        <f>IFERROR(VLOOKUP(B51,пр.взв!$B$7:$H$76,3,0),"")</f>
        <v/>
      </c>
      <c r="E51" s="315" t="str">
        <f>IFERROR(VLOOKUP(B51,пр.взв!$B$7:$H$76,4,0),"")</f>
        <v/>
      </c>
      <c r="F51" s="315" t="str">
        <f>IFERROR(VLOOKUP(B51,пр.взв!$B$7:$H$76,5,0),"")</f>
        <v/>
      </c>
      <c r="G51" s="305"/>
      <c r="H51" s="305"/>
      <c r="I51" s="307"/>
      <c r="J51" s="309"/>
      <c r="L51" s="325"/>
      <c r="M51" s="313" t="str">
        <f>IFERROR(VLOOKUP(L51,пр.взв!$B$7:$H$76,2,0),"")</f>
        <v/>
      </c>
      <c r="N51" s="315" t="str">
        <f>IFERROR(VLOOKUP(L51,пр.взв!$B$7:$H$76,3,0),"")</f>
        <v/>
      </c>
      <c r="O51" s="315" t="str">
        <f>IFERROR(VLOOKUP(L51,пр.взв!$B$7:$H$76,4,0),"")</f>
        <v/>
      </c>
      <c r="P51" s="315" t="str">
        <f>IFERROR(VLOOKUP(L51,пр.взв!$B$7:$H$76,5,0),"")</f>
        <v/>
      </c>
      <c r="Q51" s="305"/>
      <c r="R51" s="305"/>
      <c r="S51" s="307"/>
      <c r="T51" s="309"/>
    </row>
    <row r="52" spans="1:20" ht="12" customHeight="1" thickBot="1">
      <c r="A52" s="273"/>
      <c r="B52" s="297"/>
      <c r="C52" s="314"/>
      <c r="D52" s="316"/>
      <c r="E52" s="316"/>
      <c r="F52" s="316"/>
      <c r="G52" s="317"/>
      <c r="H52" s="317"/>
      <c r="I52" s="318"/>
      <c r="J52" s="319"/>
      <c r="L52" s="326"/>
      <c r="M52" s="314"/>
      <c r="N52" s="316"/>
      <c r="O52" s="316"/>
      <c r="P52" s="316"/>
      <c r="Q52" s="317"/>
      <c r="R52" s="317"/>
      <c r="S52" s="318"/>
      <c r="T52" s="319"/>
    </row>
    <row r="53" spans="1:20" ht="12" customHeight="1">
      <c r="A53" s="273"/>
      <c r="B53" s="296">
        <f>пр.хода!B56</f>
        <v>25</v>
      </c>
      <c r="C53" s="321" t="str">
        <f>IFERROR(VLOOKUP(B53,пр.взв!$B$7:$H$76,2,0),"")</f>
        <v/>
      </c>
      <c r="D53" s="302" t="str">
        <f>IFERROR(VLOOKUP(B53,пр.взв!$B$7:$H$76,3,0),"")</f>
        <v/>
      </c>
      <c r="E53" s="302" t="str">
        <f>IFERROR(VLOOKUP(B53,пр.взв!$B$7:$H$76,4,0),"")</f>
        <v/>
      </c>
      <c r="F53" s="302" t="str">
        <f>IFERROR(VLOOKUP(B53,пр.взв!$B$7:$H$76,5,0),"")</f>
        <v/>
      </c>
      <c r="G53" s="304"/>
      <c r="H53" s="304"/>
      <c r="I53" s="306"/>
      <c r="J53" s="308"/>
      <c r="L53" s="323"/>
      <c r="M53" s="321" t="str">
        <f>IFERROR(VLOOKUP(L53,пр.взв!$B$7:$H$76,2,0),"")</f>
        <v/>
      </c>
      <c r="N53" s="302" t="str">
        <f>IFERROR(VLOOKUP(L53,пр.взв!$B$7:$H$76,3,0),"")</f>
        <v/>
      </c>
      <c r="O53" s="302" t="str">
        <f>IFERROR(VLOOKUP(L53,пр.взв!$B$7:$H$76,4,0),"")</f>
        <v/>
      </c>
      <c r="P53" s="302" t="str">
        <f>IFERROR(VLOOKUP(L53,пр.взв!$B$7:$H$76,5,0),"")</f>
        <v/>
      </c>
      <c r="Q53" s="304"/>
      <c r="R53" s="304"/>
      <c r="S53" s="306"/>
      <c r="T53" s="308"/>
    </row>
    <row r="54" spans="1:20" ht="12" customHeight="1">
      <c r="A54" s="273"/>
      <c r="B54" s="297"/>
      <c r="C54" s="322"/>
      <c r="D54" s="303"/>
      <c r="E54" s="303"/>
      <c r="F54" s="303"/>
      <c r="G54" s="305"/>
      <c r="H54" s="305"/>
      <c r="I54" s="307"/>
      <c r="J54" s="309"/>
      <c r="L54" s="324"/>
      <c r="M54" s="322"/>
      <c r="N54" s="303"/>
      <c r="O54" s="303"/>
      <c r="P54" s="303"/>
      <c r="Q54" s="305"/>
      <c r="R54" s="305"/>
      <c r="S54" s="307"/>
      <c r="T54" s="309"/>
    </row>
    <row r="55" spans="1:20" ht="12" customHeight="1">
      <c r="A55" s="273"/>
      <c r="B55" s="312">
        <f>пр.хода!F56</f>
        <v>0</v>
      </c>
      <c r="C55" s="313" t="str">
        <f>IFERROR(VLOOKUP(B55,пр.взв!$B$7:$H$76,2,0),"")</f>
        <v/>
      </c>
      <c r="D55" s="315" t="str">
        <f>IFERROR(VLOOKUP(B55,пр.взв!$B$7:$H$76,3,0),"")</f>
        <v/>
      </c>
      <c r="E55" s="315" t="str">
        <f>IFERROR(VLOOKUP(B55,пр.взв!$B$7:$H$76,4,0),"")</f>
        <v/>
      </c>
      <c r="F55" s="315" t="str">
        <f>IFERROR(VLOOKUP(B55,пр.взв!$B$7:$H$76,5,0),"")</f>
        <v/>
      </c>
      <c r="G55" s="305"/>
      <c r="H55" s="305"/>
      <c r="I55" s="307"/>
      <c r="J55" s="309"/>
      <c r="L55" s="325"/>
      <c r="M55" s="313" t="str">
        <f>IFERROR(VLOOKUP(L55,пр.взв!$B$7:$H$76,2,0),"")</f>
        <v/>
      </c>
      <c r="N55" s="315" t="str">
        <f>IFERROR(VLOOKUP(L55,пр.взв!$B$7:$H$76,3,0),"")</f>
        <v/>
      </c>
      <c r="O55" s="315" t="str">
        <f>IFERROR(VLOOKUP(L55,пр.взв!$B$7:$H$76,4,0),"")</f>
        <v/>
      </c>
      <c r="P55" s="315" t="str">
        <f>IFERROR(VLOOKUP(L55,пр.взв!$B$7:$H$76,5,0),"")</f>
        <v/>
      </c>
      <c r="Q55" s="305"/>
      <c r="R55" s="305"/>
      <c r="S55" s="307"/>
      <c r="T55" s="309"/>
    </row>
    <row r="56" spans="1:20" ht="12" customHeight="1" thickBot="1">
      <c r="A56" s="273"/>
      <c r="B56" s="297"/>
      <c r="C56" s="314"/>
      <c r="D56" s="316"/>
      <c r="E56" s="316"/>
      <c r="F56" s="316"/>
      <c r="G56" s="317"/>
      <c r="H56" s="317"/>
      <c r="I56" s="318"/>
      <c r="J56" s="319"/>
      <c r="L56" s="326"/>
      <c r="M56" s="314"/>
      <c r="N56" s="316"/>
      <c r="O56" s="316"/>
      <c r="P56" s="316"/>
      <c r="Q56" s="317"/>
      <c r="R56" s="317"/>
      <c r="S56" s="318"/>
      <c r="T56" s="319"/>
    </row>
    <row r="57" spans="1:20" ht="12" customHeight="1">
      <c r="A57" s="273"/>
      <c r="B57" s="296">
        <f>пр.хода!B60</f>
        <v>27</v>
      </c>
      <c r="C57" s="321" t="str">
        <f>IFERROR(VLOOKUP(B57,пр.взв!$B$7:$H$76,2,0),"")</f>
        <v/>
      </c>
      <c r="D57" s="302" t="str">
        <f>IFERROR(VLOOKUP(B57,пр.взв!$B$7:$H$76,3,0),"")</f>
        <v/>
      </c>
      <c r="E57" s="302" t="str">
        <f>IFERROR(VLOOKUP(B57,пр.взв!$B$7:$H$76,4,0),"")</f>
        <v/>
      </c>
      <c r="F57" s="302" t="str">
        <f>IFERROR(VLOOKUP(B57,пр.взв!$B$7:$H$76,5,0),"")</f>
        <v/>
      </c>
      <c r="G57" s="337"/>
      <c r="H57" s="304"/>
      <c r="I57" s="306"/>
      <c r="J57" s="308"/>
      <c r="L57" s="323"/>
      <c r="M57" s="321" t="str">
        <f>IFERROR(VLOOKUP(L57,пр.взв!$B$7:$H$76,2,0),"")</f>
        <v/>
      </c>
      <c r="N57" s="302" t="str">
        <f>IFERROR(VLOOKUP(L57,пр.взв!$B$7:$H$76,3,0),"")</f>
        <v/>
      </c>
      <c r="O57" s="302" t="str">
        <f>IFERROR(VLOOKUP(L57,пр.взв!$B$7:$H$76,4,0),"")</f>
        <v/>
      </c>
      <c r="P57" s="302" t="str">
        <f>IFERROR(VLOOKUP(L57,пр.взв!$B$7:$H$76,5,0),"")</f>
        <v/>
      </c>
      <c r="Q57" s="337"/>
      <c r="R57" s="304"/>
      <c r="S57" s="306"/>
      <c r="T57" s="308"/>
    </row>
    <row r="58" spans="1:20" ht="12" customHeight="1">
      <c r="A58" s="273"/>
      <c r="B58" s="297"/>
      <c r="C58" s="322"/>
      <c r="D58" s="303"/>
      <c r="E58" s="303"/>
      <c r="F58" s="303"/>
      <c r="G58" s="338"/>
      <c r="H58" s="305"/>
      <c r="I58" s="307"/>
      <c r="J58" s="309"/>
      <c r="L58" s="324"/>
      <c r="M58" s="322"/>
      <c r="N58" s="303"/>
      <c r="O58" s="303"/>
      <c r="P58" s="303"/>
      <c r="Q58" s="338"/>
      <c r="R58" s="305"/>
      <c r="S58" s="307"/>
      <c r="T58" s="309"/>
    </row>
    <row r="59" spans="1:20" ht="12" customHeight="1">
      <c r="A59" s="273"/>
      <c r="B59" s="312">
        <f>пр.хода!F60</f>
        <v>0</v>
      </c>
      <c r="C59" s="313" t="str">
        <f>IFERROR(VLOOKUP(B59,пр.взв!$B$7:$H$76,2,0),"")</f>
        <v/>
      </c>
      <c r="D59" s="315" t="str">
        <f>IFERROR(VLOOKUP(B59,пр.взв!$B$7:$H$76,3,0),"")</f>
        <v/>
      </c>
      <c r="E59" s="315" t="str">
        <f>IFERROR(VLOOKUP(B59,пр.взв!$B$7:$H$76,4,0),"")</f>
        <v/>
      </c>
      <c r="F59" s="315" t="str">
        <f>IFERROR(VLOOKUP(B59,пр.взв!$B$7:$H$76,5,0),"")</f>
        <v/>
      </c>
      <c r="G59" s="338"/>
      <c r="H59" s="305"/>
      <c r="I59" s="307"/>
      <c r="J59" s="309"/>
      <c r="L59" s="325"/>
      <c r="M59" s="313" t="str">
        <f>IFERROR(VLOOKUP(L59,пр.взв!$B$7:$H$76,2,0),"")</f>
        <v/>
      </c>
      <c r="N59" s="315" t="str">
        <f>IFERROR(VLOOKUP(L59,пр.взв!$B$7:$H$76,3,0),"")</f>
        <v/>
      </c>
      <c r="O59" s="315" t="str">
        <f>IFERROR(VLOOKUP(L59,пр.взв!$B$7:$H$76,4,0),"")</f>
        <v/>
      </c>
      <c r="P59" s="315" t="str">
        <f>IFERROR(VLOOKUP(L59,пр.взв!$B$7:$H$76,5,0),"")</f>
        <v/>
      </c>
      <c r="Q59" s="338"/>
      <c r="R59" s="305"/>
      <c r="S59" s="307"/>
      <c r="T59" s="309"/>
    </row>
    <row r="60" spans="1:20" ht="12" customHeight="1" thickBot="1">
      <c r="A60" s="273"/>
      <c r="B60" s="297"/>
      <c r="C60" s="314"/>
      <c r="D60" s="316"/>
      <c r="E60" s="316"/>
      <c r="F60" s="316"/>
      <c r="G60" s="339"/>
      <c r="H60" s="317"/>
      <c r="I60" s="318"/>
      <c r="J60" s="319"/>
      <c r="L60" s="326"/>
      <c r="M60" s="314"/>
      <c r="N60" s="316"/>
      <c r="O60" s="316"/>
      <c r="P60" s="316"/>
      <c r="Q60" s="339"/>
      <c r="R60" s="317"/>
      <c r="S60" s="318"/>
      <c r="T60" s="319"/>
    </row>
    <row r="61" spans="1:20" ht="12" customHeight="1">
      <c r="A61" s="273"/>
      <c r="B61" s="296">
        <f>пр.хода!B64</f>
        <v>29</v>
      </c>
      <c r="C61" s="321" t="str">
        <f>IFERROR(VLOOKUP(B61,пр.взв!$B$7:$H$76,2,0),"")</f>
        <v/>
      </c>
      <c r="D61" s="302" t="str">
        <f>IFERROR(VLOOKUP(B61,пр.взв!$B$7:$H$76,3,0),"")</f>
        <v/>
      </c>
      <c r="E61" s="302" t="str">
        <f>IFERROR(VLOOKUP(B61,пр.взв!$B$7:$H$76,4,0),"")</f>
        <v/>
      </c>
      <c r="F61" s="302" t="str">
        <f>IFERROR(VLOOKUP(B61,пр.взв!$B$7:$H$76,5,0),"")</f>
        <v/>
      </c>
      <c r="G61" s="304"/>
      <c r="H61" s="304"/>
      <c r="I61" s="306"/>
      <c r="J61" s="308"/>
      <c r="L61" s="310"/>
      <c r="M61" s="321" t="str">
        <f>IFERROR(VLOOKUP(L61,пр.взв!$B$7:$H$76,2,0),"")</f>
        <v/>
      </c>
      <c r="N61" s="302" t="str">
        <f>IFERROR(VLOOKUP(L61,пр.взв!$B$7:$H$76,3,0),"")</f>
        <v/>
      </c>
      <c r="O61" s="302" t="str">
        <f>IFERROR(VLOOKUP(L61,пр.взв!$B$7:$H$76,4,0),"")</f>
        <v/>
      </c>
      <c r="P61" s="302" t="str">
        <f>IFERROR(VLOOKUP(L61,пр.взв!$B$7:$H$76,5,0),"")</f>
        <v/>
      </c>
      <c r="Q61" s="304"/>
      <c r="R61" s="304"/>
      <c r="S61" s="306"/>
      <c r="T61" s="308"/>
    </row>
    <row r="62" spans="1:20" ht="12" customHeight="1">
      <c r="A62" s="273"/>
      <c r="B62" s="297"/>
      <c r="C62" s="322"/>
      <c r="D62" s="303"/>
      <c r="E62" s="303"/>
      <c r="F62" s="303"/>
      <c r="G62" s="305"/>
      <c r="H62" s="305"/>
      <c r="I62" s="307"/>
      <c r="J62" s="309"/>
      <c r="L62" s="311"/>
      <c r="M62" s="322"/>
      <c r="N62" s="303"/>
      <c r="O62" s="303"/>
      <c r="P62" s="303"/>
      <c r="Q62" s="305"/>
      <c r="R62" s="305"/>
      <c r="S62" s="307"/>
      <c r="T62" s="309"/>
    </row>
    <row r="63" spans="1:20">
      <c r="A63" s="273"/>
      <c r="B63" s="312">
        <f>пр.хода!F64</f>
        <v>0</v>
      </c>
      <c r="C63" s="313" t="str">
        <f>IFERROR(VLOOKUP(B63,пр.взв!$B$7:$H$76,2,0),"")</f>
        <v/>
      </c>
      <c r="D63" s="315" t="str">
        <f>IFERROR(VLOOKUP(B63,пр.взв!$B$7:$H$76,3,0),"")</f>
        <v/>
      </c>
      <c r="E63" s="315" t="str">
        <f>IFERROR(VLOOKUP(B63,пр.взв!$B$7:$H$76,4,0),"")</f>
        <v/>
      </c>
      <c r="F63" s="315" t="str">
        <f>IFERROR(VLOOKUP(B63,пр.взв!$B$7:$H$76,5,0),"")</f>
        <v/>
      </c>
      <c r="G63" s="305"/>
      <c r="H63" s="305"/>
      <c r="I63" s="307"/>
      <c r="J63" s="309"/>
      <c r="L63" s="311"/>
      <c r="M63" s="313" t="str">
        <f>IFERROR(VLOOKUP(L63,пр.взв!$B$7:$H$76,2,0),"")</f>
        <v/>
      </c>
      <c r="N63" s="315" t="str">
        <f>IFERROR(VLOOKUP(L63,пр.взв!$B$7:$H$76,3,0),"")</f>
        <v/>
      </c>
      <c r="O63" s="315" t="str">
        <f>IFERROR(VLOOKUP(L63,пр.взв!$B$7:$H$76,4,0),"")</f>
        <v/>
      </c>
      <c r="P63" s="315" t="str">
        <f>IFERROR(VLOOKUP(L63,пр.взв!$B$7:$H$76,5,0),"")</f>
        <v/>
      </c>
      <c r="Q63" s="305"/>
      <c r="R63" s="305"/>
      <c r="S63" s="307"/>
      <c r="T63" s="309"/>
    </row>
    <row r="64" spans="1:20" ht="13" thickBot="1">
      <c r="A64" s="273"/>
      <c r="B64" s="297"/>
      <c r="C64" s="314"/>
      <c r="D64" s="316"/>
      <c r="E64" s="316"/>
      <c r="F64" s="316"/>
      <c r="G64" s="317"/>
      <c r="H64" s="317"/>
      <c r="I64" s="318"/>
      <c r="J64" s="319"/>
      <c r="L64" s="320"/>
      <c r="M64" s="314"/>
      <c r="N64" s="316"/>
      <c r="O64" s="316"/>
      <c r="P64" s="316"/>
      <c r="Q64" s="317"/>
      <c r="R64" s="317"/>
      <c r="S64" s="318"/>
      <c r="T64" s="319"/>
    </row>
    <row r="65" spans="1:20" ht="12.65" customHeight="1">
      <c r="A65" s="273"/>
      <c r="B65" s="296">
        <f>пр.хода!B68</f>
        <v>31</v>
      </c>
      <c r="C65" s="321" t="str">
        <f>IFERROR(VLOOKUP(B65,пр.взв!$B$7:$H$76,2,0),"")</f>
        <v/>
      </c>
      <c r="D65" s="302" t="str">
        <f>IFERROR(VLOOKUP(B65,пр.взв!$B$7:$H$76,3,0),"")</f>
        <v/>
      </c>
      <c r="E65" s="302" t="str">
        <f>IFERROR(VLOOKUP(B65,пр.взв!$B$7:$H$76,4,0),"")</f>
        <v/>
      </c>
      <c r="F65" s="302" t="str">
        <f>IFERROR(VLOOKUP(B65,пр.взв!$B$7:$H$76,5,0),"")</f>
        <v/>
      </c>
      <c r="G65" s="337"/>
      <c r="H65" s="304"/>
      <c r="I65" s="306"/>
      <c r="J65" s="308"/>
      <c r="L65" s="310"/>
      <c r="M65" s="321" t="str">
        <f>IFERROR(VLOOKUP(L65,пр.взв!$B$7:$H$76,2,0),"")</f>
        <v/>
      </c>
      <c r="N65" s="302" t="str">
        <f>IFERROR(VLOOKUP(L65,пр.взв!$B$7:$H$76,3,0),"")</f>
        <v/>
      </c>
      <c r="O65" s="302" t="str">
        <f>IFERROR(VLOOKUP(L65,пр.взв!$B$7:$H$76,4,0),"")</f>
        <v/>
      </c>
      <c r="P65" s="302" t="str">
        <f>IFERROR(VLOOKUP(L65,пр.взв!$B$7:$H$76,5,0),"")</f>
        <v/>
      </c>
      <c r="Q65" s="337"/>
      <c r="R65" s="304"/>
      <c r="S65" s="306"/>
      <c r="T65" s="308"/>
    </row>
    <row r="66" spans="1:20">
      <c r="A66" s="273"/>
      <c r="B66" s="297"/>
      <c r="C66" s="322"/>
      <c r="D66" s="303"/>
      <c r="E66" s="303"/>
      <c r="F66" s="303"/>
      <c r="G66" s="338"/>
      <c r="H66" s="305"/>
      <c r="I66" s="307"/>
      <c r="J66" s="309"/>
      <c r="L66" s="311"/>
      <c r="M66" s="322"/>
      <c r="N66" s="303"/>
      <c r="O66" s="303"/>
      <c r="P66" s="303"/>
      <c r="Q66" s="338"/>
      <c r="R66" s="305"/>
      <c r="S66" s="307"/>
      <c r="T66" s="309"/>
    </row>
    <row r="67" spans="1:20">
      <c r="A67" s="273"/>
      <c r="B67" s="297">
        <f>пр.хода!F68</f>
        <v>0</v>
      </c>
      <c r="C67" s="313" t="str">
        <f>IFERROR(VLOOKUP(B67,пр.взв!$B$7:$H$76,2,0),"")</f>
        <v/>
      </c>
      <c r="D67" s="315" t="str">
        <f>IFERROR(VLOOKUP(B67,пр.взв!$B$7:$H$76,3,0),"")</f>
        <v/>
      </c>
      <c r="E67" s="315" t="str">
        <f>IFERROR(VLOOKUP(B67,пр.взв!$B$7:$H$76,4,0),"")</f>
        <v/>
      </c>
      <c r="F67" s="315" t="str">
        <f>IFERROR(VLOOKUP(B67,пр.взв!$B$7:$H$76,5,0),"")</f>
        <v/>
      </c>
      <c r="G67" s="338"/>
      <c r="H67" s="305"/>
      <c r="I67" s="307"/>
      <c r="J67" s="309"/>
      <c r="L67" s="311"/>
      <c r="M67" s="313" t="str">
        <f>IFERROR(VLOOKUP(L67,пр.взв!$B$7:$H$76,2,0),"")</f>
        <v/>
      </c>
      <c r="N67" s="315" t="str">
        <f>IFERROR(VLOOKUP(L67,пр.взв!$B$7:$H$76,3,0),"")</f>
        <v/>
      </c>
      <c r="O67" s="315" t="str">
        <f>IFERROR(VLOOKUP(L67,пр.взв!$B$7:$H$76,4,0),"")</f>
        <v/>
      </c>
      <c r="P67" s="315" t="str">
        <f>IFERROR(VLOOKUP(L67,пр.взв!$B$7:$H$76,5,0),"")</f>
        <v/>
      </c>
      <c r="Q67" s="338"/>
      <c r="R67" s="305"/>
      <c r="S67" s="307"/>
      <c r="T67" s="309"/>
    </row>
    <row r="68" spans="1:20" ht="13" thickBot="1">
      <c r="A68" s="273"/>
      <c r="B68" s="340"/>
      <c r="C68" s="314"/>
      <c r="D68" s="316"/>
      <c r="E68" s="316"/>
      <c r="F68" s="316"/>
      <c r="G68" s="339"/>
      <c r="H68" s="317"/>
      <c r="I68" s="318"/>
      <c r="J68" s="319"/>
      <c r="L68" s="320"/>
      <c r="M68" s="314"/>
      <c r="N68" s="316"/>
      <c r="O68" s="316"/>
      <c r="P68" s="316"/>
      <c r="Q68" s="339"/>
      <c r="R68" s="317"/>
      <c r="S68" s="318"/>
      <c r="T68" s="319"/>
    </row>
  </sheetData>
  <mergeCells count="629">
    <mergeCell ref="O41:O42"/>
    <mergeCell ref="O43:O44"/>
    <mergeCell ref="O45:O46"/>
    <mergeCell ref="O47:O48"/>
    <mergeCell ref="O49:O50"/>
    <mergeCell ref="O51:O52"/>
    <mergeCell ref="O53:O54"/>
    <mergeCell ref="O67:O68"/>
    <mergeCell ref="O55:O56"/>
    <mergeCell ref="O57:O58"/>
    <mergeCell ref="O59:O60"/>
    <mergeCell ref="O61:O62"/>
    <mergeCell ref="O63:O64"/>
    <mergeCell ref="O65:O66"/>
    <mergeCell ref="O23:O24"/>
    <mergeCell ref="O25:O26"/>
    <mergeCell ref="O27:O28"/>
    <mergeCell ref="O29:O30"/>
    <mergeCell ref="O31:O32"/>
    <mergeCell ref="O33:O34"/>
    <mergeCell ref="O35:O36"/>
    <mergeCell ref="O37:O38"/>
    <mergeCell ref="O39:O40"/>
    <mergeCell ref="O5:O6"/>
    <mergeCell ref="O7:O8"/>
    <mergeCell ref="O9:O10"/>
    <mergeCell ref="O11:O12"/>
    <mergeCell ref="O13:O14"/>
    <mergeCell ref="P11:P12"/>
    <mergeCell ref="P9:P10"/>
    <mergeCell ref="O15:O16"/>
    <mergeCell ref="O17:O18"/>
    <mergeCell ref="A67:A68"/>
    <mergeCell ref="B67:B68"/>
    <mergeCell ref="C67:C68"/>
    <mergeCell ref="D67:D68"/>
    <mergeCell ref="F67:F68"/>
    <mergeCell ref="G67:G68"/>
    <mergeCell ref="P67:P68"/>
    <mergeCell ref="Q67:Q68"/>
    <mergeCell ref="R67:R68"/>
    <mergeCell ref="H67:H68"/>
    <mergeCell ref="I67:I68"/>
    <mergeCell ref="J67:J68"/>
    <mergeCell ref="L67:L68"/>
    <mergeCell ref="M67:M68"/>
    <mergeCell ref="E67:E68"/>
    <mergeCell ref="L65:L66"/>
    <mergeCell ref="M65:M66"/>
    <mergeCell ref="N65:N66"/>
    <mergeCell ref="P65:P66"/>
    <mergeCell ref="Q65:Q66"/>
    <mergeCell ref="R65:R66"/>
    <mergeCell ref="S65:S66"/>
    <mergeCell ref="T65:T66"/>
    <mergeCell ref="N67:N68"/>
    <mergeCell ref="S67:S68"/>
    <mergeCell ref="T67:T68"/>
    <mergeCell ref="A65:A66"/>
    <mergeCell ref="B65:B66"/>
    <mergeCell ref="C65:C66"/>
    <mergeCell ref="D65:D66"/>
    <mergeCell ref="F65:F66"/>
    <mergeCell ref="G65:G66"/>
    <mergeCell ref="H65:H66"/>
    <mergeCell ref="I65:I66"/>
    <mergeCell ref="J65:J66"/>
    <mergeCell ref="E65:E66"/>
    <mergeCell ref="T61:T62"/>
    <mergeCell ref="A63:A64"/>
    <mergeCell ref="B63:B64"/>
    <mergeCell ref="C63:C64"/>
    <mergeCell ref="D63:D64"/>
    <mergeCell ref="F63:F64"/>
    <mergeCell ref="G63:G64"/>
    <mergeCell ref="H63:H64"/>
    <mergeCell ref="I63:I64"/>
    <mergeCell ref="J63:J64"/>
    <mergeCell ref="L63:L64"/>
    <mergeCell ref="M63:M64"/>
    <mergeCell ref="N63:N64"/>
    <mergeCell ref="P63:P64"/>
    <mergeCell ref="Q63:Q64"/>
    <mergeCell ref="R63:R64"/>
    <mergeCell ref="S63:S64"/>
    <mergeCell ref="T63:T64"/>
    <mergeCell ref="E61:E62"/>
    <mergeCell ref="E63:E64"/>
    <mergeCell ref="L59:L60"/>
    <mergeCell ref="M59:M60"/>
    <mergeCell ref="N59:N60"/>
    <mergeCell ref="P59:P60"/>
    <mergeCell ref="Q59:Q60"/>
    <mergeCell ref="R59:R60"/>
    <mergeCell ref="S59:S60"/>
    <mergeCell ref="T59:T60"/>
    <mergeCell ref="A61:A62"/>
    <mergeCell ref="B61:B62"/>
    <mergeCell ref="C61:C62"/>
    <mergeCell ref="D61:D62"/>
    <mergeCell ref="F61:F62"/>
    <mergeCell ref="G61:G62"/>
    <mergeCell ref="H61:H62"/>
    <mergeCell ref="I61:I62"/>
    <mergeCell ref="J61:J62"/>
    <mergeCell ref="L61:L62"/>
    <mergeCell ref="M61:M62"/>
    <mergeCell ref="N61:N62"/>
    <mergeCell ref="P61:P62"/>
    <mergeCell ref="Q61:Q62"/>
    <mergeCell ref="R61:R62"/>
    <mergeCell ref="S61:S62"/>
    <mergeCell ref="A59:A60"/>
    <mergeCell ref="B59:B60"/>
    <mergeCell ref="C59:C60"/>
    <mergeCell ref="D59:D60"/>
    <mergeCell ref="F59:F60"/>
    <mergeCell ref="G59:G60"/>
    <mergeCell ref="H59:H60"/>
    <mergeCell ref="I59:I60"/>
    <mergeCell ref="J59:J60"/>
    <mergeCell ref="E59:E60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T57:T58"/>
    <mergeCell ref="E55:E56"/>
    <mergeCell ref="E57:E58"/>
    <mergeCell ref="L53:L54"/>
    <mergeCell ref="M53:M54"/>
    <mergeCell ref="N53:N54"/>
    <mergeCell ref="P53:P54"/>
    <mergeCell ref="Q53:Q54"/>
    <mergeCell ref="R53:R54"/>
    <mergeCell ref="S53:S54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E53:E54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T51:T52"/>
    <mergeCell ref="E49:E50"/>
    <mergeCell ref="E51:E52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E47:E48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T45:T46"/>
    <mergeCell ref="E43:E44"/>
    <mergeCell ref="E45:E46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E41:E42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T39:T40"/>
    <mergeCell ref="E37:E38"/>
    <mergeCell ref="E39:E40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E35:E36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T33:T34"/>
    <mergeCell ref="E31:E32"/>
    <mergeCell ref="E33:E34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E29:E30"/>
    <mergeCell ref="T25:T26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S27:S28"/>
    <mergeCell ref="T27:T28"/>
    <mergeCell ref="E25:E26"/>
    <mergeCell ref="E27:E28"/>
    <mergeCell ref="L23:L24"/>
    <mergeCell ref="M23:M24"/>
    <mergeCell ref="N23:N24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L25:L26"/>
    <mergeCell ref="M25:M26"/>
    <mergeCell ref="N25:N26"/>
    <mergeCell ref="P25:P26"/>
    <mergeCell ref="Q25:Q26"/>
    <mergeCell ref="R25:R26"/>
    <mergeCell ref="S25:S26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E23:E24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E21:E22"/>
    <mergeCell ref="O19:O20"/>
    <mergeCell ref="O21:O22"/>
    <mergeCell ref="L17:L18"/>
    <mergeCell ref="M17:M18"/>
    <mergeCell ref="N17:N18"/>
    <mergeCell ref="P17:P18"/>
    <mergeCell ref="Q17:Q18"/>
    <mergeCell ref="R17:R18"/>
    <mergeCell ref="S17:S18"/>
    <mergeCell ref="T17:T18"/>
    <mergeCell ref="A19:A20"/>
    <mergeCell ref="B19:B20"/>
    <mergeCell ref="C19:C20"/>
    <mergeCell ref="D19:D20"/>
    <mergeCell ref="F19:F20"/>
    <mergeCell ref="G19:G20"/>
    <mergeCell ref="E19:E20"/>
    <mergeCell ref="H19:H20"/>
    <mergeCell ref="I19:I20"/>
    <mergeCell ref="J19:J20"/>
    <mergeCell ref="L19:L20"/>
    <mergeCell ref="M19:M20"/>
    <mergeCell ref="N19:N20"/>
    <mergeCell ref="P19:P20"/>
    <mergeCell ref="Q19:Q20"/>
    <mergeCell ref="R19:R20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E17:E18"/>
    <mergeCell ref="J15:J16"/>
    <mergeCell ref="L15:L16"/>
    <mergeCell ref="M15:M16"/>
    <mergeCell ref="N15:N16"/>
    <mergeCell ref="P15:P16"/>
    <mergeCell ref="Q15:Q16"/>
    <mergeCell ref="R15:R16"/>
    <mergeCell ref="S15:S16"/>
    <mergeCell ref="T15:T16"/>
    <mergeCell ref="A15:A16"/>
    <mergeCell ref="B15:B16"/>
    <mergeCell ref="C15:C16"/>
    <mergeCell ref="D15:D16"/>
    <mergeCell ref="F15:F16"/>
    <mergeCell ref="G15:G16"/>
    <mergeCell ref="E15:E16"/>
    <mergeCell ref="H15:H16"/>
    <mergeCell ref="I15:I16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G13:G14"/>
    <mergeCell ref="H13:H14"/>
    <mergeCell ref="I13:I14"/>
    <mergeCell ref="J13:J14"/>
    <mergeCell ref="L13:L14"/>
    <mergeCell ref="M13:M14"/>
    <mergeCell ref="N13:N14"/>
    <mergeCell ref="P13:P14"/>
    <mergeCell ref="Q13:Q14"/>
    <mergeCell ref="R13:R14"/>
    <mergeCell ref="S13:S14"/>
    <mergeCell ref="T13:T14"/>
    <mergeCell ref="E11:E12"/>
    <mergeCell ref="E13:E14"/>
    <mergeCell ref="L11:L12"/>
    <mergeCell ref="M11:M12"/>
    <mergeCell ref="N11:N12"/>
    <mergeCell ref="Q9:Q10"/>
    <mergeCell ref="J9:J10"/>
    <mergeCell ref="L9:L10"/>
    <mergeCell ref="M9:M10"/>
    <mergeCell ref="N9:N10"/>
    <mergeCell ref="Q11:Q12"/>
    <mergeCell ref="A11:A12"/>
    <mergeCell ref="B11:B12"/>
    <mergeCell ref="C11:C12"/>
    <mergeCell ref="D11:D12"/>
    <mergeCell ref="F11:F12"/>
    <mergeCell ref="G11:G12"/>
    <mergeCell ref="I9:I10"/>
    <mergeCell ref="I11:I12"/>
    <mergeCell ref="J11:J12"/>
    <mergeCell ref="E9:E10"/>
    <mergeCell ref="T7:T8"/>
    <mergeCell ref="A9:A10"/>
    <mergeCell ref="B9:B10"/>
    <mergeCell ref="C9:C10"/>
    <mergeCell ref="D9:D10"/>
    <mergeCell ref="F9:F10"/>
    <mergeCell ref="G9:G10"/>
    <mergeCell ref="H9:H10"/>
    <mergeCell ref="R9:R10"/>
    <mergeCell ref="S9:S10"/>
    <mergeCell ref="T9:T10"/>
    <mergeCell ref="E7:E8"/>
    <mergeCell ref="L5:L6"/>
    <mergeCell ref="M5:M6"/>
    <mergeCell ref="N5:N6"/>
    <mergeCell ref="P5:P6"/>
    <mergeCell ref="Q5:Q6"/>
    <mergeCell ref="R5:R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J7:J8"/>
    <mergeCell ref="L7:L8"/>
    <mergeCell ref="M7:M8"/>
    <mergeCell ref="N7:N8"/>
    <mergeCell ref="P7:P8"/>
    <mergeCell ref="Q7:Q8"/>
    <mergeCell ref="R7:R8"/>
    <mergeCell ref="S7:S8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A3:A4"/>
    <mergeCell ref="B3:B4"/>
    <mergeCell ref="C3:C4"/>
    <mergeCell ref="D3:D4"/>
    <mergeCell ref="G3:G4"/>
    <mergeCell ref="H3:H4"/>
    <mergeCell ref="E3:F4"/>
    <mergeCell ref="J3:J4"/>
    <mergeCell ref="L3:L4"/>
  </mergeCells>
  <printOptions horizontalCentered="1"/>
  <pageMargins left="0" right="0" top="0" bottom="0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46"/>
  </sheetPr>
  <dimension ref="A1:T68"/>
  <sheetViews>
    <sheetView topLeftCell="E1" workbookViewId="0">
      <selection activeCell="T9" sqref="L1:T10"/>
    </sheetView>
  </sheetViews>
  <sheetFormatPr defaultRowHeight="12.5"/>
  <cols>
    <col min="1" max="1" width="0.54296875" customWidth="1"/>
    <col min="2" max="2" width="5.1796875" customWidth="1"/>
    <col min="3" max="3" width="22.1796875" customWidth="1"/>
    <col min="4" max="4" width="9.1796875" customWidth="1"/>
    <col min="5" max="5" width="6.1796875" customWidth="1"/>
    <col min="6" max="6" width="12.54296875" customWidth="1"/>
    <col min="7" max="7" width="30.81640625" customWidth="1"/>
    <col min="8" max="8" width="6.1796875" customWidth="1"/>
    <col min="9" max="9" width="4.54296875" customWidth="1"/>
    <col min="10" max="10" width="5.1796875" customWidth="1"/>
    <col min="11" max="11" width="1.1796875" customWidth="1"/>
    <col min="12" max="12" width="5" customWidth="1"/>
    <col min="13" max="13" width="22.1796875" customWidth="1"/>
    <col min="14" max="14" width="8.81640625" style="61" customWidth="1"/>
    <col min="15" max="15" width="5.54296875" customWidth="1"/>
    <col min="16" max="16" width="11.1796875" customWidth="1"/>
    <col min="17" max="17" width="30.81640625" customWidth="1"/>
    <col min="18" max="18" width="6.1796875" customWidth="1"/>
    <col min="19" max="19" width="5.453125" customWidth="1"/>
    <col min="20" max="20" width="5.54296875" customWidth="1"/>
  </cols>
  <sheetData>
    <row r="1" spans="1:20" ht="23.25" customHeight="1">
      <c r="A1" s="10"/>
      <c r="B1" s="294" t="s">
        <v>141</v>
      </c>
      <c r="C1" s="294"/>
      <c r="D1" s="219">
        <f>кр1!D1</f>
        <v>1</v>
      </c>
      <c r="E1" s="218"/>
      <c r="F1" s="295" t="s">
        <v>142</v>
      </c>
      <c r="G1" s="295"/>
      <c r="H1" s="295"/>
      <c r="I1" s="295"/>
      <c r="J1" s="295"/>
      <c r="L1" s="294" t="s">
        <v>141</v>
      </c>
      <c r="M1" s="294"/>
      <c r="N1" s="219">
        <f>кр1!N1</f>
        <v>1</v>
      </c>
      <c r="O1" s="218"/>
      <c r="P1" s="295" t="s">
        <v>142</v>
      </c>
      <c r="Q1" s="295"/>
      <c r="R1" s="295"/>
      <c r="S1" s="295"/>
      <c r="T1" s="295"/>
    </row>
    <row r="2" spans="1:20" ht="15" customHeight="1" thickBot="1">
      <c r="A2" s="10"/>
      <c r="B2" s="11"/>
      <c r="C2" s="11" t="s">
        <v>143</v>
      </c>
      <c r="D2" s="39" t="s">
        <v>0</v>
      </c>
      <c r="E2" s="39"/>
      <c r="F2" s="11"/>
      <c r="G2" s="217" t="str">
        <f>пр.взв!D4</f>
        <v>В.к. 52 кг.</v>
      </c>
      <c r="H2" s="11"/>
      <c r="I2" s="11"/>
      <c r="J2" s="11"/>
      <c r="L2" s="1"/>
      <c r="M2" s="1" t="s">
        <v>143</v>
      </c>
      <c r="N2" s="40" t="s">
        <v>32</v>
      </c>
      <c r="O2" s="40"/>
      <c r="P2" s="1"/>
      <c r="Q2" s="217" t="str">
        <f>G2</f>
        <v>В.к. 52 кг.</v>
      </c>
      <c r="R2" s="1"/>
      <c r="S2" s="1"/>
      <c r="T2" s="1"/>
    </row>
    <row r="3" spans="1:20" ht="25.5" customHeight="1">
      <c r="A3" s="273"/>
      <c r="B3" s="274" t="s">
        <v>5</v>
      </c>
      <c r="C3" s="276" t="s">
        <v>2</v>
      </c>
      <c r="D3" s="278" t="s">
        <v>23</v>
      </c>
      <c r="E3" s="280" t="s">
        <v>4</v>
      </c>
      <c r="F3" s="281"/>
      <c r="G3" s="276" t="s">
        <v>25</v>
      </c>
      <c r="H3" s="278" t="s">
        <v>26</v>
      </c>
      <c r="I3" s="276" t="s">
        <v>27</v>
      </c>
      <c r="J3" s="284" t="s">
        <v>28</v>
      </c>
      <c r="L3" s="286" t="s">
        <v>5</v>
      </c>
      <c r="M3" s="288" t="s">
        <v>2</v>
      </c>
      <c r="N3" s="290" t="s">
        <v>23</v>
      </c>
      <c r="O3" s="280" t="s">
        <v>4</v>
      </c>
      <c r="P3" s="281"/>
      <c r="Q3" s="288" t="s">
        <v>25</v>
      </c>
      <c r="R3" s="290" t="s">
        <v>26</v>
      </c>
      <c r="S3" s="288" t="s">
        <v>27</v>
      </c>
      <c r="T3" s="292" t="s">
        <v>28</v>
      </c>
    </row>
    <row r="4" spans="1:20" ht="13" thickBot="1">
      <c r="A4" s="273"/>
      <c r="B4" s="275"/>
      <c r="C4" s="277"/>
      <c r="D4" s="279"/>
      <c r="E4" s="282"/>
      <c r="F4" s="283"/>
      <c r="G4" s="277"/>
      <c r="H4" s="279"/>
      <c r="I4" s="277"/>
      <c r="J4" s="285"/>
      <c r="L4" s="287"/>
      <c r="M4" s="289"/>
      <c r="N4" s="291"/>
      <c r="O4" s="282"/>
      <c r="P4" s="283"/>
      <c r="Q4" s="289"/>
      <c r="R4" s="291"/>
      <c r="S4" s="289"/>
      <c r="T4" s="293"/>
    </row>
    <row r="5" spans="1:20" ht="12" customHeight="1">
      <c r="A5" s="273"/>
      <c r="B5" s="296">
        <v>1</v>
      </c>
      <c r="C5" s="298" t="str">
        <f>IFERROR(VLOOKUP(B5,пр.взв!$B$7:$H$76,2,0),"")</f>
        <v>ГАВРИЛОВА Полина Сергеевна</v>
      </c>
      <c r="D5" s="300" t="str">
        <f>IFERROR(VLOOKUP(B5,пр.взв!$B$7:$H$76,3,0),"")</f>
        <v>23.06.96, КМС</v>
      </c>
      <c r="E5" s="300" t="str">
        <f>IFERROR(VLOOKUP(B5,пр.взв!$B$7:$H$76,4,0),"")</f>
        <v>УФО</v>
      </c>
      <c r="F5" s="302" t="str">
        <f>IFERROR(VLOOKUP(B5,пр.взв!$B$7:$H$76,5,0),"")</f>
        <v>Свердловская, Серов</v>
      </c>
      <c r="G5" s="304"/>
      <c r="H5" s="304"/>
      <c r="I5" s="306"/>
      <c r="J5" s="308"/>
      <c r="L5" s="323"/>
      <c r="M5" s="298" t="str">
        <f>IFERROR(VLOOKUP(L5,пр.взв!$B$7:$H$76,2,0),"")</f>
        <v/>
      </c>
      <c r="N5" s="300" t="str">
        <f>IFERROR(VLOOKUP(L5,пр.взв!$B$7:$H$76,3,0),"")</f>
        <v/>
      </c>
      <c r="O5" s="300" t="str">
        <f>IFERROR(VLOOKUP(L5,пр.взв!$B$7:$H$76,4,0),"")</f>
        <v/>
      </c>
      <c r="P5" s="302" t="str">
        <f>IFERROR(VLOOKUP(L5,пр.взв!$B$7:$H$76,5,0),"")</f>
        <v/>
      </c>
      <c r="Q5" s="304"/>
      <c r="R5" s="304"/>
      <c r="S5" s="306"/>
      <c r="T5" s="308"/>
    </row>
    <row r="6" spans="1:20" ht="12" customHeight="1">
      <c r="A6" s="273"/>
      <c r="B6" s="297"/>
      <c r="C6" s="299"/>
      <c r="D6" s="301"/>
      <c r="E6" s="301"/>
      <c r="F6" s="303"/>
      <c r="G6" s="305"/>
      <c r="H6" s="305"/>
      <c r="I6" s="307"/>
      <c r="J6" s="309"/>
      <c r="L6" s="324"/>
      <c r="M6" s="299"/>
      <c r="N6" s="301"/>
      <c r="O6" s="301"/>
      <c r="P6" s="303"/>
      <c r="Q6" s="305"/>
      <c r="R6" s="305"/>
      <c r="S6" s="307"/>
      <c r="T6" s="309"/>
    </row>
    <row r="7" spans="1:20" ht="12" customHeight="1">
      <c r="A7" s="273"/>
      <c r="B7" s="312">
        <v>3</v>
      </c>
      <c r="C7" s="313" t="str">
        <f>IFERROR(VLOOKUP(B7,пр.взв!$B$7:$H$76,2,0),"")</f>
        <v>ВИНИЧЕНКО Екатерина Константиновна</v>
      </c>
      <c r="D7" s="315" t="str">
        <f>IFERROR(VLOOKUP(B7,пр.взв!$B$7:$H$76,3,0),"")</f>
        <v>16.02.97, КМС</v>
      </c>
      <c r="E7" s="315" t="str">
        <f>IFERROR(VLOOKUP(B7,пр.взв!$B$7:$H$76,4,0),"")</f>
        <v>УФО</v>
      </c>
      <c r="F7" s="315" t="str">
        <f>IFERROR(VLOOKUP(B7,пр.взв!$B$7:$H$76,5,0),"")</f>
        <v>Свердловская, Екатеринбург, СШОР ПО САМБО И ДЗЮДО</v>
      </c>
      <c r="G7" s="305"/>
      <c r="H7" s="305"/>
      <c r="I7" s="307"/>
      <c r="J7" s="309"/>
      <c r="L7" s="325"/>
      <c r="M7" s="313" t="str">
        <f>IFERROR(VLOOKUP(L7,пр.взв!$B$7:$H$76,2,0),"")</f>
        <v/>
      </c>
      <c r="N7" s="315" t="str">
        <f>IFERROR(VLOOKUP(L7,пр.взв!$B$7:$H$76,3,0),"")</f>
        <v/>
      </c>
      <c r="O7" s="315" t="str">
        <f>IFERROR(VLOOKUP(L7,пр.взв!$B$7:$H$76,4,0),"")</f>
        <v/>
      </c>
      <c r="P7" s="315" t="str">
        <f>IFERROR(VLOOKUP(L7,пр.взв!$B$7:$H$76,5,0),"")</f>
        <v/>
      </c>
      <c r="Q7" s="305"/>
      <c r="R7" s="305"/>
      <c r="S7" s="307"/>
      <c r="T7" s="309"/>
    </row>
    <row r="8" spans="1:20" ht="12" customHeight="1" thickBot="1">
      <c r="A8" s="273"/>
      <c r="B8" s="297"/>
      <c r="C8" s="314"/>
      <c r="D8" s="316"/>
      <c r="E8" s="316"/>
      <c r="F8" s="316"/>
      <c r="G8" s="317"/>
      <c r="H8" s="317"/>
      <c r="I8" s="318"/>
      <c r="J8" s="319"/>
      <c r="L8" s="326"/>
      <c r="M8" s="314"/>
      <c r="N8" s="316"/>
      <c r="O8" s="316"/>
      <c r="P8" s="316"/>
      <c r="Q8" s="317"/>
      <c r="R8" s="317"/>
      <c r="S8" s="318"/>
      <c r="T8" s="319"/>
    </row>
    <row r="9" spans="1:20" ht="12" customHeight="1">
      <c r="A9" s="273"/>
      <c r="B9" s="296">
        <v>2</v>
      </c>
      <c r="C9" s="321" t="str">
        <f>IFERROR(VLOOKUP(B9,пр.взв!$B$7:$H$76,2,0),"")</f>
        <v>ШКЕТ Ольга Владимировна</v>
      </c>
      <c r="D9" s="302" t="str">
        <f>IFERROR(VLOOKUP(B9,пр.взв!$B$7:$H$76,3,0),"")</f>
        <v>11.05.96, МС</v>
      </c>
      <c r="E9" s="302" t="str">
        <f>IFERROR(VLOOKUP(B9,пр.взв!$B$7:$H$76,4,0),"")</f>
        <v>УФО</v>
      </c>
      <c r="F9" s="302" t="str">
        <f>IFERROR(VLOOKUP(B9,пр.взв!$B$7:$H$76,5,0),"")</f>
        <v>Курганская, Курган, СШОР№1</v>
      </c>
      <c r="G9" s="304"/>
      <c r="H9" s="304"/>
      <c r="I9" s="306"/>
      <c r="J9" s="308"/>
      <c r="L9" s="323"/>
      <c r="M9" s="321" t="str">
        <f>IFERROR(VLOOKUP(L9,пр.взв!$B$7:$H$76,2,0),"")</f>
        <v/>
      </c>
      <c r="N9" s="302" t="str">
        <f>IFERROR(VLOOKUP(L9,пр.взв!$B$7:$H$76,3,0),"")</f>
        <v/>
      </c>
      <c r="O9" s="302" t="str">
        <f>IFERROR(VLOOKUP(L9,пр.взв!$B$7:$H$76,4,0),"")</f>
        <v/>
      </c>
      <c r="P9" s="302" t="str">
        <f>IFERROR(VLOOKUP(L9,пр.взв!$B$7:$H$76,5,0),"")</f>
        <v/>
      </c>
      <c r="Q9" s="304"/>
      <c r="R9" s="304"/>
      <c r="S9" s="306"/>
      <c r="T9" s="308"/>
    </row>
    <row r="10" spans="1:20" ht="12" customHeight="1">
      <c r="A10" s="273"/>
      <c r="B10" s="297"/>
      <c r="C10" s="322"/>
      <c r="D10" s="303"/>
      <c r="E10" s="303"/>
      <c r="F10" s="303"/>
      <c r="G10" s="305"/>
      <c r="H10" s="305"/>
      <c r="I10" s="307"/>
      <c r="J10" s="309"/>
      <c r="L10" s="324"/>
      <c r="M10" s="322"/>
      <c r="N10" s="303"/>
      <c r="O10" s="303"/>
      <c r="P10" s="303"/>
      <c r="Q10" s="305"/>
      <c r="R10" s="305"/>
      <c r="S10" s="307"/>
      <c r="T10" s="309"/>
    </row>
    <row r="11" spans="1:20" ht="12" customHeight="1">
      <c r="A11" s="273"/>
      <c r="B11" s="312">
        <v>4</v>
      </c>
      <c r="C11" s="313" t="str">
        <f>IFERROR(VLOOKUP(B11,пр.взв!$B$7:$H$76,2,0),"")</f>
        <v>ГАСПАРЯН Наре Петросовна</v>
      </c>
      <c r="D11" s="315" t="str">
        <f>IFERROR(VLOOKUP(B11,пр.взв!$B$7:$H$76,3,0),"")</f>
        <v>26.02.97, КМС</v>
      </c>
      <c r="E11" s="315" t="str">
        <f>IFERROR(VLOOKUP(B11,пр.взв!$B$7:$H$76,4,0),"")</f>
        <v>УФО</v>
      </c>
      <c r="F11" s="315" t="str">
        <f>IFERROR(VLOOKUP(B11,пр.взв!$B$7:$H$76,5,0),"")</f>
        <v>Челябинская, Челябинск</v>
      </c>
      <c r="G11" s="305"/>
      <c r="H11" s="305"/>
      <c r="I11" s="307"/>
      <c r="J11" s="309"/>
      <c r="L11" s="325"/>
      <c r="M11" s="313" t="str">
        <f>IFERROR(VLOOKUP(L11,пр.взв!$B$7:$H$76,2,0),"")</f>
        <v/>
      </c>
      <c r="N11" s="315" t="str">
        <f>IFERROR(VLOOKUP(L11,пр.взв!$B$7:$H$76,3,0),"")</f>
        <v/>
      </c>
      <c r="O11" s="315" t="str">
        <f>IFERROR(VLOOKUP(L11,пр.взв!$B$7:$H$76,4,0),"")</f>
        <v/>
      </c>
      <c r="P11" s="315" t="str">
        <f>IFERROR(VLOOKUP(L11,пр.взв!$B$7:$H$76,5,0),"")</f>
        <v/>
      </c>
      <c r="Q11" s="305"/>
      <c r="R11" s="305"/>
      <c r="S11" s="307"/>
      <c r="T11" s="309"/>
    </row>
    <row r="12" spans="1:20" ht="12" customHeight="1" thickBot="1">
      <c r="A12" s="273"/>
      <c r="B12" s="297"/>
      <c r="C12" s="314"/>
      <c r="D12" s="316"/>
      <c r="E12" s="316"/>
      <c r="F12" s="316"/>
      <c r="G12" s="317"/>
      <c r="H12" s="317"/>
      <c r="I12" s="318"/>
      <c r="J12" s="319"/>
      <c r="L12" s="326"/>
      <c r="M12" s="314"/>
      <c r="N12" s="316"/>
      <c r="O12" s="316"/>
      <c r="P12" s="316"/>
      <c r="Q12" s="317"/>
      <c r="R12" s="317"/>
      <c r="S12" s="318"/>
      <c r="T12" s="319"/>
    </row>
    <row r="13" spans="1:20" ht="12" customHeight="1">
      <c r="A13" s="273"/>
      <c r="B13" s="296">
        <v>5</v>
      </c>
      <c r="C13" s="321" t="str">
        <f>IFERROR(VLOOKUP(B13,пр.взв!$B$7:$H$76,2,0),"")</f>
        <v/>
      </c>
      <c r="D13" s="302" t="str">
        <f>IFERROR(VLOOKUP(B13,пр.взв!$B$7:$H$76,3,0),"")</f>
        <v/>
      </c>
      <c r="E13" s="302" t="str">
        <f>IFERROR(VLOOKUP(B13,пр.взв!$B$7:$H$76,4,0),"")</f>
        <v/>
      </c>
      <c r="F13" s="302" t="str">
        <f>IFERROR(VLOOKUP(B13,пр.взв!$B$7:$H$76,5,0),"")</f>
        <v/>
      </c>
      <c r="G13" s="304"/>
      <c r="H13" s="304"/>
      <c r="I13" s="306"/>
      <c r="J13" s="308"/>
      <c r="L13" s="323"/>
      <c r="M13" s="321" t="str">
        <f>IFERROR(VLOOKUP(L13,пр.взв!$B$7:$H$76,2,0),"")</f>
        <v/>
      </c>
      <c r="N13" s="302" t="str">
        <f>IFERROR(VLOOKUP(L13,пр.взв!$B$7:$H$76,3,0),"")</f>
        <v/>
      </c>
      <c r="O13" s="302" t="str">
        <f>IFERROR(VLOOKUP(L13,пр.взв!$B$7:$H$76,4,0),"")</f>
        <v/>
      </c>
      <c r="P13" s="302" t="str">
        <f>IFERROR(VLOOKUP(L13,пр.взв!$B$7:$H$76,5,0),"")</f>
        <v/>
      </c>
      <c r="Q13" s="304"/>
      <c r="R13" s="304"/>
      <c r="S13" s="306"/>
      <c r="T13" s="308"/>
    </row>
    <row r="14" spans="1:20" ht="12" customHeight="1">
      <c r="A14" s="273"/>
      <c r="B14" s="297"/>
      <c r="C14" s="322"/>
      <c r="D14" s="303"/>
      <c r="E14" s="303"/>
      <c r="F14" s="303"/>
      <c r="G14" s="305"/>
      <c r="H14" s="305"/>
      <c r="I14" s="307"/>
      <c r="J14" s="309"/>
      <c r="L14" s="324"/>
      <c r="M14" s="322"/>
      <c r="N14" s="303"/>
      <c r="O14" s="303"/>
      <c r="P14" s="303"/>
      <c r="Q14" s="305"/>
      <c r="R14" s="305"/>
      <c r="S14" s="307"/>
      <c r="T14" s="309"/>
    </row>
    <row r="15" spans="1:20" ht="12" customHeight="1">
      <c r="A15" s="273"/>
      <c r="B15" s="312">
        <v>7</v>
      </c>
      <c r="C15" s="327" t="str">
        <f>IFERROR(VLOOKUP(B15,пр.взв!$B$7:$H$76,2,0),"")</f>
        <v/>
      </c>
      <c r="D15" s="329" t="str">
        <f>IFERROR(VLOOKUP(B15,пр.взв!$B$7:$H$76,3,0),"")</f>
        <v/>
      </c>
      <c r="E15" s="329" t="str">
        <f>IFERROR(VLOOKUP(B15,пр.взв!$B$7:$H$76,4,0),"")</f>
        <v/>
      </c>
      <c r="F15" s="329" t="str">
        <f>IFERROR(VLOOKUP(B15,пр.взв!$B$7:$H$76,5,0),"")</f>
        <v/>
      </c>
      <c r="G15" s="341"/>
      <c r="H15" s="305"/>
      <c r="I15" s="307"/>
      <c r="J15" s="309"/>
      <c r="L15" s="325"/>
      <c r="M15" s="327" t="str">
        <f>IFERROR(VLOOKUP(L15,пр.взв!$B$7:$H$76,2,0),"")</f>
        <v/>
      </c>
      <c r="N15" s="329" t="str">
        <f>IFERROR(VLOOKUP(L15,пр.взв!$B$7:$H$76,3,0),"")</f>
        <v/>
      </c>
      <c r="O15" s="329" t="str">
        <f>IFERROR(VLOOKUP(L15,пр.взв!$B$7:$H$76,4,0),"")</f>
        <v/>
      </c>
      <c r="P15" s="329" t="str">
        <f>IFERROR(VLOOKUP(L15,пр.взв!$B$7:$H$76,5,0),"")</f>
        <v/>
      </c>
      <c r="Q15" s="305"/>
      <c r="R15" s="305"/>
      <c r="S15" s="307"/>
      <c r="T15" s="309"/>
    </row>
    <row r="16" spans="1:20" ht="12" customHeight="1" thickBot="1">
      <c r="A16" s="273"/>
      <c r="B16" s="297"/>
      <c r="C16" s="328"/>
      <c r="D16" s="330"/>
      <c r="E16" s="330"/>
      <c r="F16" s="330"/>
      <c r="G16" s="342"/>
      <c r="H16" s="317"/>
      <c r="I16" s="318"/>
      <c r="J16" s="319"/>
      <c r="L16" s="326"/>
      <c r="M16" s="328"/>
      <c r="N16" s="330"/>
      <c r="O16" s="330"/>
      <c r="P16" s="330"/>
      <c r="Q16" s="317"/>
      <c r="R16" s="317"/>
      <c r="S16" s="318"/>
      <c r="T16" s="319"/>
    </row>
    <row r="17" spans="1:20" ht="12" customHeight="1">
      <c r="A17" s="273"/>
      <c r="B17" s="296">
        <v>6</v>
      </c>
      <c r="C17" s="331" t="str">
        <f>IFERROR(VLOOKUP(B17,пр.взв!$B$7:$H$76,2,0),"")</f>
        <v/>
      </c>
      <c r="D17" s="333" t="str">
        <f>IFERROR(VLOOKUP(B17,пр.взв!$B$7:$H$76,3,0),"")</f>
        <v/>
      </c>
      <c r="E17" s="333" t="str">
        <f>IFERROR(VLOOKUP(B17,пр.взв!$B$7:$H$76,4,0),"")</f>
        <v/>
      </c>
      <c r="F17" s="333" t="str">
        <f>IFERROR(VLOOKUP(B17,пр.взв!$B$7:$H$76,5,0),"")</f>
        <v/>
      </c>
      <c r="G17" s="304"/>
      <c r="H17" s="304"/>
      <c r="I17" s="306"/>
      <c r="J17" s="308"/>
      <c r="K17" s="60"/>
      <c r="L17" s="323"/>
      <c r="M17" s="331" t="str">
        <f>IFERROR(VLOOKUP(L17,пр.взв!$B$7:$H$76,2,0),"")</f>
        <v/>
      </c>
      <c r="N17" s="333" t="str">
        <f>IFERROR(VLOOKUP(L17,пр.взв!$B$7:$H$76,3,0),"")</f>
        <v/>
      </c>
      <c r="O17" s="333" t="str">
        <f>IFERROR(VLOOKUP(L17,пр.взв!$B$7:$H$76,4,0),"")</f>
        <v/>
      </c>
      <c r="P17" s="333" t="str">
        <f>IFERROR(VLOOKUP(L17,пр.взв!$B$7:$H$76,5,0),"")</f>
        <v/>
      </c>
      <c r="Q17" s="304"/>
      <c r="R17" s="304"/>
      <c r="S17" s="306"/>
      <c r="T17" s="308"/>
    </row>
    <row r="18" spans="1:20" ht="12" customHeight="1">
      <c r="A18" s="273"/>
      <c r="B18" s="297"/>
      <c r="C18" s="332"/>
      <c r="D18" s="334"/>
      <c r="E18" s="334"/>
      <c r="F18" s="334"/>
      <c r="G18" s="305"/>
      <c r="H18" s="305"/>
      <c r="I18" s="307"/>
      <c r="J18" s="309"/>
      <c r="K18" s="60"/>
      <c r="L18" s="324"/>
      <c r="M18" s="332"/>
      <c r="N18" s="334"/>
      <c r="O18" s="334"/>
      <c r="P18" s="334"/>
      <c r="Q18" s="305"/>
      <c r="R18" s="305"/>
      <c r="S18" s="307"/>
      <c r="T18" s="309"/>
    </row>
    <row r="19" spans="1:20" ht="12" customHeight="1">
      <c r="A19" s="273"/>
      <c r="B19" s="312">
        <v>8</v>
      </c>
      <c r="C19" s="327" t="str">
        <f>IFERROR(VLOOKUP(B19,пр.взв!$B$7:$H$76,2,0),"")</f>
        <v/>
      </c>
      <c r="D19" s="329" t="str">
        <f>IFERROR(VLOOKUP(B19,пр.взв!$B$7:$H$76,3,0),"")</f>
        <v/>
      </c>
      <c r="E19" s="329" t="str">
        <f>IFERROR(VLOOKUP(B19,пр.взв!$B$7:$H$76,4,0),"")</f>
        <v/>
      </c>
      <c r="F19" s="329" t="str">
        <f>IFERROR(VLOOKUP(B19,пр.взв!$B$7:$H$76,5,0),"")</f>
        <v/>
      </c>
      <c r="G19" s="305"/>
      <c r="H19" s="305"/>
      <c r="I19" s="307"/>
      <c r="J19" s="309"/>
      <c r="K19" s="60"/>
      <c r="L19" s="325"/>
      <c r="M19" s="327" t="str">
        <f>IFERROR(VLOOKUP(L19,пр.взв!$B$7:$H$76,2,0),"")</f>
        <v/>
      </c>
      <c r="N19" s="329" t="str">
        <f>IFERROR(VLOOKUP(L19,пр.взв!$B$7:$H$76,3,0),"")</f>
        <v/>
      </c>
      <c r="O19" s="329" t="str">
        <f>IFERROR(VLOOKUP(L19,пр.взв!$B$7:$H$76,4,0),"")</f>
        <v/>
      </c>
      <c r="P19" s="329" t="str">
        <f>IFERROR(VLOOKUP(L19,пр.взв!$B$7:$H$76,5,0),"")</f>
        <v/>
      </c>
      <c r="Q19" s="305"/>
      <c r="R19" s="305"/>
      <c r="S19" s="307"/>
      <c r="T19" s="309"/>
    </row>
    <row r="20" spans="1:20" ht="12" customHeight="1" thickBot="1">
      <c r="A20" s="273"/>
      <c r="B20" s="297"/>
      <c r="C20" s="328"/>
      <c r="D20" s="330"/>
      <c r="E20" s="330"/>
      <c r="F20" s="330"/>
      <c r="G20" s="317"/>
      <c r="H20" s="317"/>
      <c r="I20" s="318"/>
      <c r="J20" s="319"/>
      <c r="K20" s="60"/>
      <c r="L20" s="326"/>
      <c r="M20" s="328"/>
      <c r="N20" s="330"/>
      <c r="O20" s="330"/>
      <c r="P20" s="330"/>
      <c r="Q20" s="317"/>
      <c r="R20" s="317"/>
      <c r="S20" s="318"/>
      <c r="T20" s="319"/>
    </row>
    <row r="21" spans="1:20" ht="12" customHeight="1">
      <c r="A21" s="273"/>
      <c r="B21" s="296">
        <v>9</v>
      </c>
      <c r="C21" s="331" t="str">
        <f>IFERROR(VLOOKUP(B21,пр.взв!$B$7:$H$76,2,0),"")</f>
        <v/>
      </c>
      <c r="D21" s="333" t="str">
        <f>IFERROR(VLOOKUP(B21,пр.взв!$B$7:$H$76,3,0),"")</f>
        <v/>
      </c>
      <c r="E21" s="333" t="str">
        <f>IFERROR(VLOOKUP(B21,пр.взв!$B$7:$H$76,4,0),"")</f>
        <v/>
      </c>
      <c r="F21" s="333" t="str">
        <f>IFERROR(VLOOKUP(B21,пр.взв!$B$7:$H$76,5,0),"")</f>
        <v/>
      </c>
      <c r="G21" s="335"/>
      <c r="H21" s="304"/>
      <c r="I21" s="306"/>
      <c r="J21" s="308"/>
      <c r="L21" s="323"/>
      <c r="M21" s="331" t="str">
        <f>IFERROR(VLOOKUP(L21,пр.взв!$B$7:$H$76,2,0),"")</f>
        <v/>
      </c>
      <c r="N21" s="333" t="str">
        <f>IFERROR(VLOOKUP(L21,пр.взв!$B$7:$H$76,3,0),"")</f>
        <v/>
      </c>
      <c r="O21" s="333" t="str">
        <f>IFERROR(VLOOKUP(L21,пр.взв!$B$7:$H$76,4,0),"")</f>
        <v/>
      </c>
      <c r="P21" s="333" t="str">
        <f>IFERROR(VLOOKUP(L21,пр.взв!$B$7:$H$76,5,0),"")</f>
        <v/>
      </c>
      <c r="Q21" s="304"/>
      <c r="R21" s="304"/>
      <c r="S21" s="306"/>
      <c r="T21" s="308"/>
    </row>
    <row r="22" spans="1:20" ht="12" customHeight="1">
      <c r="A22" s="273"/>
      <c r="B22" s="297"/>
      <c r="C22" s="332"/>
      <c r="D22" s="334"/>
      <c r="E22" s="334"/>
      <c r="F22" s="334"/>
      <c r="G22" s="336"/>
      <c r="H22" s="305"/>
      <c r="I22" s="307"/>
      <c r="J22" s="309"/>
      <c r="L22" s="324"/>
      <c r="M22" s="332"/>
      <c r="N22" s="334"/>
      <c r="O22" s="334"/>
      <c r="P22" s="334"/>
      <c r="Q22" s="305"/>
      <c r="R22" s="305"/>
      <c r="S22" s="307"/>
      <c r="T22" s="309"/>
    </row>
    <row r="23" spans="1:20" ht="12" customHeight="1">
      <c r="A23" s="273"/>
      <c r="B23" s="312">
        <v>11</v>
      </c>
      <c r="C23" s="327" t="str">
        <f>IFERROR(VLOOKUP(B23,пр.взв!$B$7:$H$76,2,0),"")</f>
        <v/>
      </c>
      <c r="D23" s="329" t="str">
        <f>IFERROR(VLOOKUP(B23,пр.взв!$B$7:$H$76,3,0),"")</f>
        <v/>
      </c>
      <c r="E23" s="329" t="str">
        <f>IFERROR(VLOOKUP(B23,пр.взв!$B$7:$H$76,4,0),"")</f>
        <v/>
      </c>
      <c r="F23" s="329" t="str">
        <f>IFERROR(VLOOKUP(B23,пр.взв!$B$7:$H$76,5,0),"")</f>
        <v/>
      </c>
      <c r="G23" s="305"/>
      <c r="H23" s="305"/>
      <c r="I23" s="307"/>
      <c r="J23" s="309"/>
      <c r="L23" s="325"/>
      <c r="M23" s="327" t="str">
        <f>IFERROR(VLOOKUP(L23,пр.взв!$B$7:$H$76,2,0),"")</f>
        <v/>
      </c>
      <c r="N23" s="329" t="str">
        <f>IFERROR(VLOOKUP(L23,пр.взв!$B$7:$H$76,3,0),"")</f>
        <v/>
      </c>
      <c r="O23" s="329" t="str">
        <f>IFERROR(VLOOKUP(L23,пр.взв!$B$7:$H$76,4,0),"")</f>
        <v/>
      </c>
      <c r="P23" s="329" t="str">
        <f>IFERROR(VLOOKUP(L23,пр.взв!$B$7:$H$76,5,0),"")</f>
        <v/>
      </c>
      <c r="Q23" s="305"/>
      <c r="R23" s="305"/>
      <c r="S23" s="307"/>
      <c r="T23" s="309"/>
    </row>
    <row r="24" spans="1:20" ht="12" customHeight="1" thickBot="1">
      <c r="A24" s="273"/>
      <c r="B24" s="297"/>
      <c r="C24" s="328"/>
      <c r="D24" s="330"/>
      <c r="E24" s="330"/>
      <c r="F24" s="330"/>
      <c r="G24" s="317"/>
      <c r="H24" s="317"/>
      <c r="I24" s="318"/>
      <c r="J24" s="319"/>
      <c r="L24" s="326"/>
      <c r="M24" s="328"/>
      <c r="N24" s="330"/>
      <c r="O24" s="330"/>
      <c r="P24" s="330"/>
      <c r="Q24" s="317"/>
      <c r="R24" s="317"/>
      <c r="S24" s="318"/>
      <c r="T24" s="319"/>
    </row>
    <row r="25" spans="1:20" ht="12" customHeight="1">
      <c r="A25" s="273"/>
      <c r="B25" s="296">
        <v>10</v>
      </c>
      <c r="C25" s="321" t="str">
        <f>IFERROR(VLOOKUP(B25,пр.взв!$B$7:$H$76,2,0),"")</f>
        <v/>
      </c>
      <c r="D25" s="302" t="str">
        <f>IFERROR(VLOOKUP(B25,пр.взв!$B$7:$H$76,3,0),"")</f>
        <v/>
      </c>
      <c r="E25" s="302" t="str">
        <f>IFERROR(VLOOKUP(B25,пр.взв!$B$7:$H$76,4,0),"")</f>
        <v/>
      </c>
      <c r="F25" s="302" t="str">
        <f>IFERROR(VLOOKUP(B25,пр.взв!$B$7:$H$76,5,0),"")</f>
        <v/>
      </c>
      <c r="G25" s="304"/>
      <c r="H25" s="304"/>
      <c r="I25" s="306"/>
      <c r="J25" s="308"/>
      <c r="L25" s="323"/>
      <c r="M25" s="321" t="str">
        <f>IFERROR(VLOOKUP(L25,пр.взв!$B$7:$H$76,2,0),"")</f>
        <v/>
      </c>
      <c r="N25" s="302" t="str">
        <f>IFERROR(VLOOKUP(L25,пр.взв!$B$7:$H$76,3,0),"")</f>
        <v/>
      </c>
      <c r="O25" s="302" t="str">
        <f>IFERROR(VLOOKUP(L25,пр.взв!$B$7:$H$76,4,0),"")</f>
        <v/>
      </c>
      <c r="P25" s="302" t="str">
        <f>IFERROR(VLOOKUP(L25,пр.взв!$B$7:$H$76,5,0),"")</f>
        <v/>
      </c>
      <c r="Q25" s="304"/>
      <c r="R25" s="304"/>
      <c r="S25" s="306"/>
      <c r="T25" s="308"/>
    </row>
    <row r="26" spans="1:20" ht="12" customHeight="1">
      <c r="A26" s="273"/>
      <c r="B26" s="297"/>
      <c r="C26" s="322"/>
      <c r="D26" s="303"/>
      <c r="E26" s="303"/>
      <c r="F26" s="303"/>
      <c r="G26" s="305"/>
      <c r="H26" s="305"/>
      <c r="I26" s="307"/>
      <c r="J26" s="309"/>
      <c r="L26" s="324"/>
      <c r="M26" s="322"/>
      <c r="N26" s="303"/>
      <c r="O26" s="303"/>
      <c r="P26" s="303"/>
      <c r="Q26" s="305"/>
      <c r="R26" s="305"/>
      <c r="S26" s="307"/>
      <c r="T26" s="309"/>
    </row>
    <row r="27" spans="1:20" ht="12" customHeight="1">
      <c r="A27" s="273"/>
      <c r="B27" s="312">
        <v>12</v>
      </c>
      <c r="C27" s="313" t="str">
        <f>IFERROR(VLOOKUP(B27,пр.взв!$B$7:$H$76,2,0),"")</f>
        <v/>
      </c>
      <c r="D27" s="315" t="str">
        <f>IFERROR(VLOOKUP(B27,пр.взв!$B$7:$H$76,3,0),"")</f>
        <v/>
      </c>
      <c r="E27" s="315" t="str">
        <f>IFERROR(VLOOKUP(B27,пр.взв!$B$7:$H$76,4,0),"")</f>
        <v/>
      </c>
      <c r="F27" s="315" t="str">
        <f>IFERROR(VLOOKUP(B27,пр.взв!$B$7:$H$76,5,0),"")</f>
        <v/>
      </c>
      <c r="G27" s="305"/>
      <c r="H27" s="305"/>
      <c r="I27" s="307"/>
      <c r="J27" s="309"/>
      <c r="L27" s="325"/>
      <c r="M27" s="313" t="str">
        <f>IFERROR(VLOOKUP(L27,пр.взв!$B$7:$H$76,2,0),"")</f>
        <v/>
      </c>
      <c r="N27" s="315" t="str">
        <f>IFERROR(VLOOKUP(L27,пр.взв!$B$7:$H$76,3,0),"")</f>
        <v/>
      </c>
      <c r="O27" s="315" t="str">
        <f>IFERROR(VLOOKUP(L27,пр.взв!$B$7:$H$76,4,0),"")</f>
        <v/>
      </c>
      <c r="P27" s="315" t="str">
        <f>IFERROR(VLOOKUP(L27,пр.взв!$B$7:$H$76,5,0),"")</f>
        <v/>
      </c>
      <c r="Q27" s="305"/>
      <c r="R27" s="305"/>
      <c r="S27" s="307"/>
      <c r="T27" s="309"/>
    </row>
    <row r="28" spans="1:20" ht="12" customHeight="1" thickBot="1">
      <c r="A28" s="273"/>
      <c r="B28" s="297"/>
      <c r="C28" s="314"/>
      <c r="D28" s="316"/>
      <c r="E28" s="316"/>
      <c r="F28" s="316"/>
      <c r="G28" s="317"/>
      <c r="H28" s="317"/>
      <c r="I28" s="318"/>
      <c r="J28" s="319"/>
      <c r="L28" s="326"/>
      <c r="M28" s="314"/>
      <c r="N28" s="316"/>
      <c r="O28" s="316"/>
      <c r="P28" s="316"/>
      <c r="Q28" s="317"/>
      <c r="R28" s="317"/>
      <c r="S28" s="318"/>
      <c r="T28" s="319"/>
    </row>
    <row r="29" spans="1:20" ht="12" customHeight="1">
      <c r="A29" s="273"/>
      <c r="B29" s="296">
        <f>пр.хода!B32</f>
        <v>13</v>
      </c>
      <c r="C29" s="321" t="str">
        <f>IFERROR(VLOOKUP(B29,пр.взв!$B$7:$H$76,2,0),"")</f>
        <v/>
      </c>
      <c r="D29" s="302" t="str">
        <f>IFERROR(VLOOKUP(B29,пр.взв!$B$7:$H$76,3,0),"")</f>
        <v/>
      </c>
      <c r="E29" s="302" t="str">
        <f>IFERROR(VLOOKUP(B29,пр.взв!$B$7:$H$76,4,0),"")</f>
        <v/>
      </c>
      <c r="F29" s="302" t="str">
        <f>IFERROR(VLOOKUP(B29,пр.взв!$B$7:$H$76,5,0),"")</f>
        <v/>
      </c>
      <c r="G29" s="304"/>
      <c r="H29" s="304"/>
      <c r="I29" s="306"/>
      <c r="J29" s="308"/>
      <c r="L29" s="323"/>
      <c r="M29" s="321" t="str">
        <f>IFERROR(VLOOKUP(L29,пр.взв!$B$7:$H$76,2,0),"")</f>
        <v/>
      </c>
      <c r="N29" s="302" t="str">
        <f>IFERROR(VLOOKUP(L29,пр.взв!$B$7:$H$76,3,0),"")</f>
        <v/>
      </c>
      <c r="O29" s="302" t="str">
        <f>IFERROR(VLOOKUP(L29,пр.взв!$B$7:$H$76,4,0),"")</f>
        <v/>
      </c>
      <c r="P29" s="302" t="str">
        <f>IFERROR(VLOOKUP(L29,пр.взв!$B$7:$H$76,5,0),"")</f>
        <v/>
      </c>
      <c r="Q29" s="304"/>
      <c r="R29" s="304"/>
      <c r="S29" s="306"/>
      <c r="T29" s="308"/>
    </row>
    <row r="30" spans="1:20" ht="12" customHeight="1">
      <c r="A30" s="273"/>
      <c r="B30" s="297"/>
      <c r="C30" s="322"/>
      <c r="D30" s="303"/>
      <c r="E30" s="303"/>
      <c r="F30" s="303"/>
      <c r="G30" s="305"/>
      <c r="H30" s="305"/>
      <c r="I30" s="307"/>
      <c r="J30" s="309"/>
      <c r="L30" s="324"/>
      <c r="M30" s="322"/>
      <c r="N30" s="303"/>
      <c r="O30" s="303"/>
      <c r="P30" s="303"/>
      <c r="Q30" s="305"/>
      <c r="R30" s="305"/>
      <c r="S30" s="307"/>
      <c r="T30" s="309"/>
    </row>
    <row r="31" spans="1:20" ht="12" customHeight="1">
      <c r="A31" s="273"/>
      <c r="B31" s="312">
        <f>пр.хода!H32</f>
        <v>0</v>
      </c>
      <c r="C31" s="313" t="str">
        <f>IFERROR(VLOOKUP(B31,пр.взв!$B$7:$H$76,2,0),"")</f>
        <v/>
      </c>
      <c r="D31" s="315" t="str">
        <f>IFERROR(VLOOKUP(B31,пр.взв!$B$7:$H$76,3,0),"")</f>
        <v/>
      </c>
      <c r="E31" s="315" t="str">
        <f>IFERROR(VLOOKUP(B31,пр.взв!$B$7:$H$76,4,0),"")</f>
        <v/>
      </c>
      <c r="F31" s="315" t="str">
        <f>IFERROR(VLOOKUP(B31,пр.взв!$B$7:$H$76,5,0),"")</f>
        <v/>
      </c>
      <c r="G31" s="305"/>
      <c r="H31" s="305"/>
      <c r="I31" s="307"/>
      <c r="J31" s="309"/>
      <c r="L31" s="325"/>
      <c r="M31" s="313" t="str">
        <f>IFERROR(VLOOKUP(L31,пр.взв!$B$7:$H$76,2,0),"")</f>
        <v/>
      </c>
      <c r="N31" s="315" t="str">
        <f>IFERROR(VLOOKUP(L31,пр.взв!$B$7:$H$76,3,0),"")</f>
        <v/>
      </c>
      <c r="O31" s="315" t="str">
        <f>IFERROR(VLOOKUP(L31,пр.взв!$B$7:$H$76,4,0),"")</f>
        <v/>
      </c>
      <c r="P31" s="315" t="str">
        <f>IFERROR(VLOOKUP(L31,пр.взв!$B$7:$H$76,5,0),"")</f>
        <v/>
      </c>
      <c r="Q31" s="305"/>
      <c r="R31" s="305"/>
      <c r="S31" s="307"/>
      <c r="T31" s="309"/>
    </row>
    <row r="32" spans="1:20" ht="12" customHeight="1" thickBot="1">
      <c r="A32" s="273"/>
      <c r="B32" s="297"/>
      <c r="C32" s="314"/>
      <c r="D32" s="316"/>
      <c r="E32" s="316"/>
      <c r="F32" s="316"/>
      <c r="G32" s="317"/>
      <c r="H32" s="317"/>
      <c r="I32" s="318"/>
      <c r="J32" s="319"/>
      <c r="L32" s="326"/>
      <c r="M32" s="314"/>
      <c r="N32" s="316"/>
      <c r="O32" s="316"/>
      <c r="P32" s="316"/>
      <c r="Q32" s="317"/>
      <c r="R32" s="317"/>
      <c r="S32" s="318"/>
      <c r="T32" s="319"/>
    </row>
    <row r="33" spans="1:20" ht="12" customHeight="1">
      <c r="A33" s="273"/>
      <c r="B33" s="296">
        <f>пр.хода!B34</f>
        <v>14</v>
      </c>
      <c r="C33" s="321" t="str">
        <f>IFERROR(VLOOKUP(B33,пр.взв!$B$7:$H$76,2,0),"")</f>
        <v/>
      </c>
      <c r="D33" s="302" t="str">
        <f>IFERROR(VLOOKUP(B33,пр.взв!$B$7:$H$76,3,0),"")</f>
        <v/>
      </c>
      <c r="E33" s="302" t="str">
        <f>IFERROR(VLOOKUP(B33,пр.взв!$B$7:$H$76,4,0),"")</f>
        <v/>
      </c>
      <c r="F33" s="302" t="str">
        <f>IFERROR(VLOOKUP(B33,пр.взв!$B$7:$H$76,5,0),"")</f>
        <v/>
      </c>
      <c r="G33" s="304"/>
      <c r="H33" s="304"/>
      <c r="I33" s="306"/>
      <c r="J33" s="308"/>
      <c r="L33" s="323"/>
      <c r="M33" s="321" t="str">
        <f>IFERROR(VLOOKUP(L33,пр.взв!$B$7:$H$76,2,0),"")</f>
        <v/>
      </c>
      <c r="N33" s="302" t="str">
        <f>IFERROR(VLOOKUP(L33,пр.взв!$B$7:$H$76,3,0),"")</f>
        <v/>
      </c>
      <c r="O33" s="302" t="str">
        <f>IFERROR(VLOOKUP(L33,пр.взв!$B$7:$H$76,4,0),"")</f>
        <v/>
      </c>
      <c r="P33" s="302" t="str">
        <f>IFERROR(VLOOKUP(L33,пр.взв!$B$7:$H$76,5,0),"")</f>
        <v/>
      </c>
      <c r="Q33" s="304"/>
      <c r="R33" s="304"/>
      <c r="S33" s="306"/>
      <c r="T33" s="308"/>
    </row>
    <row r="34" spans="1:20" ht="12" customHeight="1">
      <c r="A34" s="273"/>
      <c r="B34" s="297"/>
      <c r="C34" s="322"/>
      <c r="D34" s="303"/>
      <c r="E34" s="303"/>
      <c r="F34" s="303"/>
      <c r="G34" s="305"/>
      <c r="H34" s="305"/>
      <c r="I34" s="307"/>
      <c r="J34" s="309"/>
      <c r="L34" s="324"/>
      <c r="M34" s="322"/>
      <c r="N34" s="303"/>
      <c r="O34" s="303"/>
      <c r="P34" s="303"/>
      <c r="Q34" s="305"/>
      <c r="R34" s="305"/>
      <c r="S34" s="307"/>
      <c r="T34" s="309"/>
    </row>
    <row r="35" spans="1:20" ht="12" customHeight="1">
      <c r="A35" s="273"/>
      <c r="B35" s="312">
        <f>пр.хода!H34</f>
        <v>0</v>
      </c>
      <c r="C35" s="313" t="str">
        <f>IFERROR(VLOOKUP(B35,пр.взв!$B$7:$H$76,2,0),"")</f>
        <v/>
      </c>
      <c r="D35" s="315" t="str">
        <f>IFERROR(VLOOKUP(B35,пр.взв!$B$7:$H$76,3,0),"")</f>
        <v/>
      </c>
      <c r="E35" s="315" t="str">
        <f>IFERROR(VLOOKUP(B35,пр.взв!$B$7:$H$76,4,0),"")</f>
        <v/>
      </c>
      <c r="F35" s="315" t="str">
        <f>IFERROR(VLOOKUP(B35,пр.взв!$B$7:$H$76,5,0),"")</f>
        <v/>
      </c>
      <c r="G35" s="305"/>
      <c r="H35" s="305"/>
      <c r="I35" s="307"/>
      <c r="J35" s="309"/>
      <c r="L35" s="325"/>
      <c r="M35" s="313" t="str">
        <f>IFERROR(VLOOKUP(L35,пр.взв!$B$7:$H$76,2,0),"")</f>
        <v/>
      </c>
      <c r="N35" s="315" t="str">
        <f>IFERROR(VLOOKUP(L35,пр.взв!$B$7:$H$76,3,0),"")</f>
        <v/>
      </c>
      <c r="O35" s="315" t="str">
        <f>IFERROR(VLOOKUP(L35,пр.взв!$B$7:$H$76,4,0),"")</f>
        <v/>
      </c>
      <c r="P35" s="315" t="str">
        <f>IFERROR(VLOOKUP(L35,пр.взв!$B$7:$H$76,5,0),"")</f>
        <v/>
      </c>
      <c r="Q35" s="305"/>
      <c r="R35" s="305"/>
      <c r="S35" s="307"/>
      <c r="T35" s="309"/>
    </row>
    <row r="36" spans="1:20" ht="12" customHeight="1" thickBot="1">
      <c r="A36" s="273"/>
      <c r="B36" s="297"/>
      <c r="C36" s="314"/>
      <c r="D36" s="316"/>
      <c r="E36" s="316"/>
      <c r="F36" s="316"/>
      <c r="G36" s="317"/>
      <c r="H36" s="317"/>
      <c r="I36" s="318"/>
      <c r="J36" s="319"/>
      <c r="L36" s="326"/>
      <c r="M36" s="314"/>
      <c r="N36" s="316"/>
      <c r="O36" s="316"/>
      <c r="P36" s="316"/>
      <c r="Q36" s="317"/>
      <c r="R36" s="317"/>
      <c r="S36" s="318"/>
      <c r="T36" s="319"/>
    </row>
    <row r="37" spans="1:20" ht="12" customHeight="1">
      <c r="A37" s="273"/>
      <c r="B37" s="296">
        <f>пр.хода!B40</f>
        <v>17</v>
      </c>
      <c r="C37" s="321" t="str">
        <f>IFERROR(VLOOKUP(B37,пр.взв!$B$7:$H$76,2,0),"")</f>
        <v/>
      </c>
      <c r="D37" s="302" t="str">
        <f>IFERROR(VLOOKUP(B37,пр.взв!$B$7:$H$76,3,0),"")</f>
        <v/>
      </c>
      <c r="E37" s="302" t="str">
        <f>IFERROR(VLOOKUP(B37,пр.взв!$B$7:$H$76,4,0),"")</f>
        <v/>
      </c>
      <c r="F37" s="302" t="str">
        <f>IFERROR(VLOOKUP(B37,пр.взв!$B$7:$H$76,5,0),"")</f>
        <v/>
      </c>
      <c r="G37" s="304"/>
      <c r="H37" s="304"/>
      <c r="I37" s="306"/>
      <c r="J37" s="308"/>
      <c r="L37" s="323"/>
      <c r="M37" s="321" t="str">
        <f>IFERROR(VLOOKUP(L37,пр.взв!$B$7:$H$76,2,0),"")</f>
        <v/>
      </c>
      <c r="N37" s="302" t="str">
        <f>IFERROR(VLOOKUP(L37,пр.взв!$B$7:$H$76,3,0),"")</f>
        <v/>
      </c>
      <c r="O37" s="302" t="str">
        <f>IFERROR(VLOOKUP(L37,пр.взв!$B$7:$H$76,4,0),"")</f>
        <v/>
      </c>
      <c r="P37" s="302" t="str">
        <f>IFERROR(VLOOKUP(L37,пр.взв!$B$7:$H$76,5,0),"")</f>
        <v/>
      </c>
      <c r="Q37" s="304"/>
      <c r="R37" s="304"/>
      <c r="S37" s="306"/>
      <c r="T37" s="308"/>
    </row>
    <row r="38" spans="1:20" ht="12" customHeight="1">
      <c r="A38" s="273"/>
      <c r="B38" s="297"/>
      <c r="C38" s="322"/>
      <c r="D38" s="303"/>
      <c r="E38" s="303"/>
      <c r="F38" s="303"/>
      <c r="G38" s="305"/>
      <c r="H38" s="305"/>
      <c r="I38" s="307"/>
      <c r="J38" s="309"/>
      <c r="L38" s="324"/>
      <c r="M38" s="322"/>
      <c r="N38" s="303"/>
      <c r="O38" s="303"/>
      <c r="P38" s="303"/>
      <c r="Q38" s="305"/>
      <c r="R38" s="305"/>
      <c r="S38" s="307"/>
      <c r="T38" s="309"/>
    </row>
    <row r="39" spans="1:20" ht="12" customHeight="1">
      <c r="A39" s="273"/>
      <c r="B39" s="312">
        <f>пр.хода!H40</f>
        <v>0</v>
      </c>
      <c r="C39" s="313" t="str">
        <f>IFERROR(VLOOKUP(B39,пр.взв!$B$7:$H$76,2,0),"")</f>
        <v/>
      </c>
      <c r="D39" s="315" t="str">
        <f>IFERROR(VLOOKUP(B39,пр.взв!$B$7:$H$76,3,0),"")</f>
        <v/>
      </c>
      <c r="E39" s="315" t="str">
        <f>IFERROR(VLOOKUP(B39,пр.взв!$B$7:$H$76,4,0),"")</f>
        <v/>
      </c>
      <c r="F39" s="315" t="str">
        <f>IFERROR(VLOOKUP(B39,пр.взв!$B$7:$H$76,5,0),"")</f>
        <v/>
      </c>
      <c r="G39" s="305"/>
      <c r="H39" s="305"/>
      <c r="I39" s="307"/>
      <c r="J39" s="309"/>
      <c r="L39" s="325"/>
      <c r="M39" s="313" t="str">
        <f>IFERROR(VLOOKUP(L39,пр.взв!$B$7:$H$76,2,0),"")</f>
        <v/>
      </c>
      <c r="N39" s="315" t="str">
        <f>IFERROR(VLOOKUP(L39,пр.взв!$B$7:$H$76,3,0),"")</f>
        <v/>
      </c>
      <c r="O39" s="315" t="str">
        <f>IFERROR(VLOOKUP(L39,пр.взв!$B$7:$H$76,4,0),"")</f>
        <v/>
      </c>
      <c r="P39" s="315" t="str">
        <f>IFERROR(VLOOKUP(L39,пр.взв!$B$7:$H$76,5,0),"")</f>
        <v/>
      </c>
      <c r="Q39" s="305"/>
      <c r="R39" s="305"/>
      <c r="S39" s="307"/>
      <c r="T39" s="309"/>
    </row>
    <row r="40" spans="1:20" ht="12" customHeight="1" thickBot="1">
      <c r="A40" s="273"/>
      <c r="B40" s="297"/>
      <c r="C40" s="314"/>
      <c r="D40" s="316"/>
      <c r="E40" s="316"/>
      <c r="F40" s="316"/>
      <c r="G40" s="317"/>
      <c r="H40" s="317"/>
      <c r="I40" s="318"/>
      <c r="J40" s="319"/>
      <c r="L40" s="326"/>
      <c r="M40" s="314"/>
      <c r="N40" s="316"/>
      <c r="O40" s="316"/>
      <c r="P40" s="316"/>
      <c r="Q40" s="317"/>
      <c r="R40" s="317"/>
      <c r="S40" s="318"/>
      <c r="T40" s="319"/>
    </row>
    <row r="41" spans="1:20" ht="12" customHeight="1">
      <c r="A41" s="273"/>
      <c r="B41" s="296">
        <f>пр.хода!B42</f>
        <v>18</v>
      </c>
      <c r="C41" s="321" t="str">
        <f>IFERROR(VLOOKUP(B41,пр.взв!$B$7:$H$76,2,0),"")</f>
        <v/>
      </c>
      <c r="D41" s="302" t="str">
        <f>IFERROR(VLOOKUP(B41,пр.взв!$B$7:$H$76,3,0),"")</f>
        <v/>
      </c>
      <c r="E41" s="302" t="str">
        <f>IFERROR(VLOOKUP(B41,пр.взв!$B$7:$H$76,4,0),"")</f>
        <v/>
      </c>
      <c r="F41" s="302" t="str">
        <f>IFERROR(VLOOKUP(B41,пр.взв!$B$7:$H$76,5,0),"")</f>
        <v/>
      </c>
      <c r="G41" s="304"/>
      <c r="H41" s="304"/>
      <c r="I41" s="306"/>
      <c r="J41" s="308"/>
      <c r="L41" s="323"/>
      <c r="M41" s="321" t="str">
        <f>IFERROR(VLOOKUP(L41,пр.взв!$B$7:$H$76,2,0),"")</f>
        <v/>
      </c>
      <c r="N41" s="302" t="str">
        <f>IFERROR(VLOOKUP(L41,пр.взв!$B$7:$H$76,3,0),"")</f>
        <v/>
      </c>
      <c r="O41" s="302" t="str">
        <f>IFERROR(VLOOKUP(L41,пр.взв!$B$7:$H$76,4,0),"")</f>
        <v/>
      </c>
      <c r="P41" s="302" t="str">
        <f>IFERROR(VLOOKUP(L41,пр.взв!$B$7:$H$76,5,0),"")</f>
        <v/>
      </c>
      <c r="Q41" s="304"/>
      <c r="R41" s="304"/>
      <c r="S41" s="306"/>
      <c r="T41" s="308"/>
    </row>
    <row r="42" spans="1:20" ht="12" customHeight="1">
      <c r="A42" s="273"/>
      <c r="B42" s="297"/>
      <c r="C42" s="322"/>
      <c r="D42" s="303"/>
      <c r="E42" s="303"/>
      <c r="F42" s="303"/>
      <c r="G42" s="305"/>
      <c r="H42" s="305"/>
      <c r="I42" s="307"/>
      <c r="J42" s="309"/>
      <c r="L42" s="324"/>
      <c r="M42" s="322"/>
      <c r="N42" s="303"/>
      <c r="O42" s="303"/>
      <c r="P42" s="303"/>
      <c r="Q42" s="305"/>
      <c r="R42" s="305"/>
      <c r="S42" s="307"/>
      <c r="T42" s="309"/>
    </row>
    <row r="43" spans="1:20" ht="12" customHeight="1">
      <c r="A43" s="273"/>
      <c r="B43" s="312">
        <f>пр.хода!H42</f>
        <v>0</v>
      </c>
      <c r="C43" s="313" t="str">
        <f>IFERROR(VLOOKUP(B43,пр.взв!$B$7:$H$76,2,0),"")</f>
        <v/>
      </c>
      <c r="D43" s="315" t="str">
        <f>IFERROR(VLOOKUP(B43,пр.взв!$B$7:$H$76,3,0),"")</f>
        <v/>
      </c>
      <c r="E43" s="315" t="str">
        <f>IFERROR(VLOOKUP(B43,пр.взв!$B$7:$H$76,4,0),"")</f>
        <v/>
      </c>
      <c r="F43" s="315" t="str">
        <f>IFERROR(VLOOKUP(B43,пр.взв!$B$7:$H$76,5,0),"")</f>
        <v/>
      </c>
      <c r="G43" s="305"/>
      <c r="H43" s="305"/>
      <c r="I43" s="307"/>
      <c r="J43" s="309"/>
      <c r="L43" s="325"/>
      <c r="M43" s="313" t="str">
        <f>IFERROR(VLOOKUP(L43,пр.взв!$B$7:$H$76,2,0),"")</f>
        <v/>
      </c>
      <c r="N43" s="315" t="str">
        <f>IFERROR(VLOOKUP(L43,пр.взв!$B$7:$H$76,3,0),"")</f>
        <v/>
      </c>
      <c r="O43" s="315" t="str">
        <f>IFERROR(VLOOKUP(L43,пр.взв!$B$7:$H$76,4,0),"")</f>
        <v/>
      </c>
      <c r="P43" s="315" t="str">
        <f>IFERROR(VLOOKUP(L43,пр.взв!$B$7:$H$76,5,0),"")</f>
        <v/>
      </c>
      <c r="Q43" s="305"/>
      <c r="R43" s="305"/>
      <c r="S43" s="307"/>
      <c r="T43" s="309"/>
    </row>
    <row r="44" spans="1:20" ht="12" customHeight="1" thickBot="1">
      <c r="A44" s="273"/>
      <c r="B44" s="297"/>
      <c r="C44" s="314"/>
      <c r="D44" s="316"/>
      <c r="E44" s="316"/>
      <c r="F44" s="316"/>
      <c r="G44" s="317"/>
      <c r="H44" s="317"/>
      <c r="I44" s="318"/>
      <c r="J44" s="319"/>
      <c r="L44" s="326"/>
      <c r="M44" s="314"/>
      <c r="N44" s="316"/>
      <c r="O44" s="316"/>
      <c r="P44" s="316"/>
      <c r="Q44" s="317"/>
      <c r="R44" s="317"/>
      <c r="S44" s="318"/>
      <c r="T44" s="319"/>
    </row>
    <row r="45" spans="1:20" ht="12" customHeight="1">
      <c r="A45" s="273"/>
      <c r="B45" s="296">
        <f>пр.хода!B48</f>
        <v>21</v>
      </c>
      <c r="C45" s="321" t="str">
        <f>IFERROR(VLOOKUP(B45,пр.взв!$B$7:$H$76,2,0),"")</f>
        <v/>
      </c>
      <c r="D45" s="302" t="str">
        <f>IFERROR(VLOOKUP(B45,пр.взв!$B$7:$H$76,3,0),"")</f>
        <v/>
      </c>
      <c r="E45" s="302" t="str">
        <f>IFERROR(VLOOKUP(B45,пр.взв!$B$7:$H$76,4,0),"")</f>
        <v/>
      </c>
      <c r="F45" s="302" t="str">
        <f>IFERROR(VLOOKUP(B45,пр.взв!$B$7:$H$76,5,0),"")</f>
        <v/>
      </c>
      <c r="G45" s="304"/>
      <c r="H45" s="304"/>
      <c r="I45" s="306"/>
      <c r="J45" s="308"/>
      <c r="L45" s="323"/>
      <c r="M45" s="321" t="str">
        <f>IFERROR(VLOOKUP(L45,пр.взв!$B$7:$H$76,2,0),"")</f>
        <v/>
      </c>
      <c r="N45" s="302" t="str">
        <f>IFERROR(VLOOKUP(L45,пр.взв!$B$7:$H$76,3,0),"")</f>
        <v/>
      </c>
      <c r="O45" s="302" t="str">
        <f>IFERROR(VLOOKUP(L45,пр.взв!$B$7:$H$76,4,0),"")</f>
        <v/>
      </c>
      <c r="P45" s="302" t="str">
        <f>IFERROR(VLOOKUP(L45,пр.взв!$B$7:$H$76,5,0),"")</f>
        <v/>
      </c>
      <c r="Q45" s="304"/>
      <c r="R45" s="304"/>
      <c r="S45" s="306"/>
      <c r="T45" s="308"/>
    </row>
    <row r="46" spans="1:20" ht="12" customHeight="1">
      <c r="A46" s="273"/>
      <c r="B46" s="297"/>
      <c r="C46" s="322"/>
      <c r="D46" s="303"/>
      <c r="E46" s="303"/>
      <c r="F46" s="303"/>
      <c r="G46" s="305"/>
      <c r="H46" s="305"/>
      <c r="I46" s="307"/>
      <c r="J46" s="309"/>
      <c r="L46" s="324"/>
      <c r="M46" s="322"/>
      <c r="N46" s="303"/>
      <c r="O46" s="303"/>
      <c r="P46" s="303"/>
      <c r="Q46" s="305"/>
      <c r="R46" s="305"/>
      <c r="S46" s="307"/>
      <c r="T46" s="309"/>
    </row>
    <row r="47" spans="1:20" ht="12" customHeight="1">
      <c r="A47" s="273"/>
      <c r="B47" s="312">
        <f>пр.хода!H48</f>
        <v>0</v>
      </c>
      <c r="C47" s="313" t="str">
        <f>IFERROR(VLOOKUP(B47,пр.взв!$B$7:$H$76,2,0),"")</f>
        <v/>
      </c>
      <c r="D47" s="315" t="str">
        <f>IFERROR(VLOOKUP(B47,пр.взв!$B$7:$H$76,3,0),"")</f>
        <v/>
      </c>
      <c r="E47" s="315" t="str">
        <f>IFERROR(VLOOKUP(B47,пр.взв!$B$7:$H$76,4,0),"")</f>
        <v/>
      </c>
      <c r="F47" s="315" t="str">
        <f>IFERROR(VLOOKUP(B47,пр.взв!$B$7:$H$76,5,0),"")</f>
        <v/>
      </c>
      <c r="G47" s="305"/>
      <c r="H47" s="305"/>
      <c r="I47" s="307"/>
      <c r="J47" s="309"/>
      <c r="L47" s="325"/>
      <c r="M47" s="313" t="str">
        <f>IFERROR(VLOOKUP(L47,пр.взв!$B$7:$H$76,2,0),"")</f>
        <v/>
      </c>
      <c r="N47" s="315" t="str">
        <f>IFERROR(VLOOKUP(L47,пр.взв!$B$7:$H$76,3,0),"")</f>
        <v/>
      </c>
      <c r="O47" s="315" t="str">
        <f>IFERROR(VLOOKUP(L47,пр.взв!$B$7:$H$76,4,0),"")</f>
        <v/>
      </c>
      <c r="P47" s="315" t="str">
        <f>IFERROR(VLOOKUP(L47,пр.взв!$B$7:$H$76,5,0),"")</f>
        <v/>
      </c>
      <c r="Q47" s="305"/>
      <c r="R47" s="305"/>
      <c r="S47" s="307"/>
      <c r="T47" s="309"/>
    </row>
    <row r="48" spans="1:20" ht="12" customHeight="1" thickBot="1">
      <c r="A48" s="273"/>
      <c r="B48" s="297"/>
      <c r="C48" s="314"/>
      <c r="D48" s="316"/>
      <c r="E48" s="316"/>
      <c r="F48" s="316"/>
      <c r="G48" s="317"/>
      <c r="H48" s="317"/>
      <c r="I48" s="318"/>
      <c r="J48" s="319"/>
      <c r="L48" s="326"/>
      <c r="M48" s="314"/>
      <c r="N48" s="316"/>
      <c r="O48" s="316"/>
      <c r="P48" s="316"/>
      <c r="Q48" s="317"/>
      <c r="R48" s="317"/>
      <c r="S48" s="318"/>
      <c r="T48" s="319"/>
    </row>
    <row r="49" spans="1:20" ht="12" customHeight="1">
      <c r="A49" s="273"/>
      <c r="B49" s="296">
        <f>пр.хода!B50</f>
        <v>22</v>
      </c>
      <c r="C49" s="321" t="str">
        <f>IFERROR(VLOOKUP(B49,пр.взв!$B$7:$H$76,2,0),"")</f>
        <v/>
      </c>
      <c r="D49" s="302" t="str">
        <f>IFERROR(VLOOKUP(B49,пр.взв!$B$7:$H$76,3,0),"")</f>
        <v/>
      </c>
      <c r="E49" s="302" t="str">
        <f>IFERROR(VLOOKUP(B49,пр.взв!$B$7:$H$76,4,0),"")</f>
        <v/>
      </c>
      <c r="F49" s="302" t="str">
        <f>IFERROR(VLOOKUP(B49,пр.взв!$B$7:$H$76,5,0),"")</f>
        <v/>
      </c>
      <c r="G49" s="304"/>
      <c r="H49" s="304"/>
      <c r="I49" s="306"/>
      <c r="J49" s="308"/>
      <c r="L49" s="323"/>
      <c r="M49" s="321" t="str">
        <f>IFERROR(VLOOKUP(L49,пр.взв!$B$7:$H$76,2,0),"")</f>
        <v/>
      </c>
      <c r="N49" s="302" t="str">
        <f>IFERROR(VLOOKUP(L49,пр.взв!$B$7:$H$76,3,0),"")</f>
        <v/>
      </c>
      <c r="O49" s="302" t="str">
        <f>IFERROR(VLOOKUP(L49,пр.взв!$B$7:$H$76,4,0),"")</f>
        <v/>
      </c>
      <c r="P49" s="302" t="str">
        <f>IFERROR(VLOOKUP(L49,пр.взв!$B$7:$H$76,5,0),"")</f>
        <v/>
      </c>
      <c r="Q49" s="304"/>
      <c r="R49" s="304"/>
      <c r="S49" s="306"/>
      <c r="T49" s="308"/>
    </row>
    <row r="50" spans="1:20" ht="12" customHeight="1">
      <c r="A50" s="273"/>
      <c r="B50" s="297"/>
      <c r="C50" s="322"/>
      <c r="D50" s="303"/>
      <c r="E50" s="303"/>
      <c r="F50" s="303"/>
      <c r="G50" s="305"/>
      <c r="H50" s="305"/>
      <c r="I50" s="307"/>
      <c r="J50" s="309"/>
      <c r="L50" s="324"/>
      <c r="M50" s="322"/>
      <c r="N50" s="303"/>
      <c r="O50" s="303"/>
      <c r="P50" s="303"/>
      <c r="Q50" s="305"/>
      <c r="R50" s="305"/>
      <c r="S50" s="307"/>
      <c r="T50" s="309"/>
    </row>
    <row r="51" spans="1:20" ht="12" customHeight="1">
      <c r="A51" s="273"/>
      <c r="B51" s="312">
        <f>пр.хода!H50</f>
        <v>0</v>
      </c>
      <c r="C51" s="313" t="str">
        <f>IFERROR(VLOOKUP(B51,пр.взв!$B$7:$H$76,2,0),"")</f>
        <v/>
      </c>
      <c r="D51" s="315" t="str">
        <f>IFERROR(VLOOKUP(B51,пр.взв!$B$7:$H$76,3,0),"")</f>
        <v/>
      </c>
      <c r="E51" s="315" t="str">
        <f>IFERROR(VLOOKUP(B51,пр.взв!$B$7:$H$76,4,0),"")</f>
        <v/>
      </c>
      <c r="F51" s="315" t="str">
        <f>IFERROR(VLOOKUP(B51,пр.взв!$B$7:$H$76,5,0),"")</f>
        <v/>
      </c>
      <c r="G51" s="305"/>
      <c r="H51" s="305"/>
      <c r="I51" s="307"/>
      <c r="J51" s="309"/>
      <c r="L51" s="325"/>
      <c r="M51" s="313" t="str">
        <f>IFERROR(VLOOKUP(L51,пр.взв!$B$7:$H$76,2,0),"")</f>
        <v/>
      </c>
      <c r="N51" s="315" t="str">
        <f>IFERROR(VLOOKUP(L51,пр.взв!$B$7:$H$76,3,0),"")</f>
        <v/>
      </c>
      <c r="O51" s="315" t="str">
        <f>IFERROR(VLOOKUP(L51,пр.взв!$B$7:$H$76,4,0),"")</f>
        <v/>
      </c>
      <c r="P51" s="315" t="str">
        <f>IFERROR(VLOOKUP(L51,пр.взв!$B$7:$H$76,5,0),"")</f>
        <v/>
      </c>
      <c r="Q51" s="305"/>
      <c r="R51" s="305"/>
      <c r="S51" s="307"/>
      <c r="T51" s="309"/>
    </row>
    <row r="52" spans="1:20" ht="12" customHeight="1" thickBot="1">
      <c r="A52" s="273"/>
      <c r="B52" s="297"/>
      <c r="C52" s="314"/>
      <c r="D52" s="316"/>
      <c r="E52" s="316"/>
      <c r="F52" s="316"/>
      <c r="G52" s="317"/>
      <c r="H52" s="317"/>
      <c r="I52" s="318"/>
      <c r="J52" s="319"/>
      <c r="L52" s="326"/>
      <c r="M52" s="314"/>
      <c r="N52" s="316"/>
      <c r="O52" s="316"/>
      <c r="P52" s="316"/>
      <c r="Q52" s="317"/>
      <c r="R52" s="317"/>
      <c r="S52" s="318"/>
      <c r="T52" s="319"/>
    </row>
    <row r="53" spans="1:20" ht="12" customHeight="1">
      <c r="A53" s="273"/>
      <c r="B53" s="296">
        <f>пр.хода!B56</f>
        <v>25</v>
      </c>
      <c r="C53" s="321" t="str">
        <f>IFERROR(VLOOKUP(B53,пр.взв!$B$7:$H$76,2,0),"")</f>
        <v/>
      </c>
      <c r="D53" s="302" t="str">
        <f>IFERROR(VLOOKUP(B53,пр.взв!$B$7:$H$76,3,0),"")</f>
        <v/>
      </c>
      <c r="E53" s="302" t="str">
        <f>IFERROR(VLOOKUP(B53,пр.взв!$B$7:$H$76,4,0),"")</f>
        <v/>
      </c>
      <c r="F53" s="302" t="str">
        <f>IFERROR(VLOOKUP(B53,пр.взв!$B$7:$H$76,5,0),"")</f>
        <v/>
      </c>
      <c r="G53" s="304"/>
      <c r="H53" s="304"/>
      <c r="I53" s="306"/>
      <c r="J53" s="308"/>
      <c r="L53" s="323"/>
      <c r="M53" s="321" t="str">
        <f>IFERROR(VLOOKUP(L53,пр.взв!$B$7:$H$76,2,0),"")</f>
        <v/>
      </c>
      <c r="N53" s="302" t="str">
        <f>IFERROR(VLOOKUP(L53,пр.взв!$B$7:$H$76,3,0),"")</f>
        <v/>
      </c>
      <c r="O53" s="302" t="str">
        <f>IFERROR(VLOOKUP(L53,пр.взв!$B$7:$H$76,4,0),"")</f>
        <v/>
      </c>
      <c r="P53" s="302" t="str">
        <f>IFERROR(VLOOKUP(L53,пр.взв!$B$7:$H$76,5,0),"")</f>
        <v/>
      </c>
      <c r="Q53" s="304"/>
      <c r="R53" s="304"/>
      <c r="S53" s="306"/>
      <c r="T53" s="308"/>
    </row>
    <row r="54" spans="1:20" ht="12" customHeight="1">
      <c r="A54" s="273"/>
      <c r="B54" s="297"/>
      <c r="C54" s="322"/>
      <c r="D54" s="303"/>
      <c r="E54" s="303"/>
      <c r="F54" s="303"/>
      <c r="G54" s="305"/>
      <c r="H54" s="305"/>
      <c r="I54" s="307"/>
      <c r="J54" s="309"/>
      <c r="L54" s="324"/>
      <c r="M54" s="322"/>
      <c r="N54" s="303"/>
      <c r="O54" s="303"/>
      <c r="P54" s="303"/>
      <c r="Q54" s="305"/>
      <c r="R54" s="305"/>
      <c r="S54" s="307"/>
      <c r="T54" s="309"/>
    </row>
    <row r="55" spans="1:20" ht="12" customHeight="1">
      <c r="A55" s="273"/>
      <c r="B55" s="312">
        <f>пр.хода!H56</f>
        <v>0</v>
      </c>
      <c r="C55" s="313" t="str">
        <f>IFERROR(VLOOKUP(B55,пр.взв!$B$7:$H$76,2,0),"")</f>
        <v/>
      </c>
      <c r="D55" s="315" t="str">
        <f>IFERROR(VLOOKUP(B55,пр.взв!$B$7:$H$76,3,0),"")</f>
        <v/>
      </c>
      <c r="E55" s="315" t="str">
        <f>IFERROR(VLOOKUP(B55,пр.взв!$B$7:$H$76,4,0),"")</f>
        <v/>
      </c>
      <c r="F55" s="315" t="str">
        <f>IFERROR(VLOOKUP(B55,пр.взв!$B$7:$H$76,5,0),"")</f>
        <v/>
      </c>
      <c r="G55" s="305"/>
      <c r="H55" s="305"/>
      <c r="I55" s="307"/>
      <c r="J55" s="309"/>
      <c r="L55" s="325"/>
      <c r="M55" s="313" t="str">
        <f>IFERROR(VLOOKUP(L55,пр.взв!$B$7:$H$76,2,0),"")</f>
        <v/>
      </c>
      <c r="N55" s="315" t="str">
        <f>IFERROR(VLOOKUP(L55,пр.взв!$B$7:$H$76,3,0),"")</f>
        <v/>
      </c>
      <c r="O55" s="315" t="str">
        <f>IFERROR(VLOOKUP(L55,пр.взв!$B$7:$H$76,4,0),"")</f>
        <v/>
      </c>
      <c r="P55" s="315" t="str">
        <f>IFERROR(VLOOKUP(L55,пр.взв!$B$7:$H$76,5,0),"")</f>
        <v/>
      </c>
      <c r="Q55" s="305"/>
      <c r="R55" s="305"/>
      <c r="S55" s="307"/>
      <c r="T55" s="309"/>
    </row>
    <row r="56" spans="1:20" ht="12" customHeight="1" thickBot="1">
      <c r="A56" s="273"/>
      <c r="B56" s="297"/>
      <c r="C56" s="314"/>
      <c r="D56" s="316"/>
      <c r="E56" s="316"/>
      <c r="F56" s="316"/>
      <c r="G56" s="317"/>
      <c r="H56" s="317"/>
      <c r="I56" s="318"/>
      <c r="J56" s="319"/>
      <c r="L56" s="326"/>
      <c r="M56" s="314"/>
      <c r="N56" s="316"/>
      <c r="O56" s="316"/>
      <c r="P56" s="316"/>
      <c r="Q56" s="317"/>
      <c r="R56" s="317"/>
      <c r="S56" s="318"/>
      <c r="T56" s="319"/>
    </row>
    <row r="57" spans="1:20" ht="12" customHeight="1">
      <c r="A57" s="273"/>
      <c r="B57" s="296">
        <f>пр.хода!B58</f>
        <v>26</v>
      </c>
      <c r="C57" s="321" t="str">
        <f>IFERROR(VLOOKUP(B57,пр.взв!$B$7:$H$76,2,0),"")</f>
        <v/>
      </c>
      <c r="D57" s="302" t="str">
        <f>IFERROR(VLOOKUP(B57,пр.взв!$B$7:$H$76,3,0),"")</f>
        <v/>
      </c>
      <c r="E57" s="302" t="str">
        <f>IFERROR(VLOOKUP(B57,пр.взв!$B$7:$H$76,4,0),"")</f>
        <v/>
      </c>
      <c r="F57" s="302" t="str">
        <f>IFERROR(VLOOKUP(B57,пр.взв!$B$7:$H$76,5,0),"")</f>
        <v/>
      </c>
      <c r="G57" s="337"/>
      <c r="H57" s="304"/>
      <c r="I57" s="306"/>
      <c r="J57" s="308"/>
      <c r="L57" s="323"/>
      <c r="M57" s="321" t="str">
        <f>IFERROR(VLOOKUP(L57,пр.взв!$B$7:$H$76,2,0),"")</f>
        <v/>
      </c>
      <c r="N57" s="302" t="str">
        <f>IFERROR(VLOOKUP(L57,пр.взв!$B$7:$H$76,3,0),"")</f>
        <v/>
      </c>
      <c r="O57" s="302" t="str">
        <f>IFERROR(VLOOKUP(L57,пр.взв!$B$7:$H$76,4,0),"")</f>
        <v/>
      </c>
      <c r="P57" s="302" t="str">
        <f>IFERROR(VLOOKUP(L57,пр.взв!$B$7:$H$76,5,0),"")</f>
        <v/>
      </c>
      <c r="Q57" s="337"/>
      <c r="R57" s="304"/>
      <c r="S57" s="306"/>
      <c r="T57" s="308"/>
    </row>
    <row r="58" spans="1:20" ht="12" customHeight="1">
      <c r="A58" s="273"/>
      <c r="B58" s="297"/>
      <c r="C58" s="322"/>
      <c r="D58" s="303"/>
      <c r="E58" s="303"/>
      <c r="F58" s="303"/>
      <c r="G58" s="338"/>
      <c r="H58" s="305"/>
      <c r="I58" s="307"/>
      <c r="J58" s="309"/>
      <c r="L58" s="324"/>
      <c r="M58" s="322"/>
      <c r="N58" s="303"/>
      <c r="O58" s="303"/>
      <c r="P58" s="303"/>
      <c r="Q58" s="338"/>
      <c r="R58" s="305"/>
      <c r="S58" s="307"/>
      <c r="T58" s="309"/>
    </row>
    <row r="59" spans="1:20" ht="12" customHeight="1">
      <c r="A59" s="273"/>
      <c r="B59" s="312">
        <f>пр.хода!H58</f>
        <v>0</v>
      </c>
      <c r="C59" s="313" t="str">
        <f>IFERROR(VLOOKUP(B59,пр.взв!$B$7:$H$76,2,0),"")</f>
        <v/>
      </c>
      <c r="D59" s="315" t="str">
        <f>IFERROR(VLOOKUP(B59,пр.взв!$B$7:$H$76,3,0),"")</f>
        <v/>
      </c>
      <c r="E59" s="315" t="str">
        <f>IFERROR(VLOOKUP(B59,пр.взв!$B$7:$H$76,4,0),"")</f>
        <v/>
      </c>
      <c r="F59" s="315" t="str">
        <f>IFERROR(VLOOKUP(B59,пр.взв!$B$7:$H$76,5,0),"")</f>
        <v/>
      </c>
      <c r="G59" s="338"/>
      <c r="H59" s="305"/>
      <c r="I59" s="307"/>
      <c r="J59" s="309"/>
      <c r="L59" s="325"/>
      <c r="M59" s="313" t="str">
        <f>IFERROR(VLOOKUP(L59,пр.взв!$B$7:$H$76,2,0),"")</f>
        <v/>
      </c>
      <c r="N59" s="315" t="str">
        <f>IFERROR(VLOOKUP(L59,пр.взв!$B$7:$H$76,3,0),"")</f>
        <v/>
      </c>
      <c r="O59" s="315" t="str">
        <f>IFERROR(VLOOKUP(L59,пр.взв!$B$7:$H$76,4,0),"")</f>
        <v/>
      </c>
      <c r="P59" s="315" t="str">
        <f>IFERROR(VLOOKUP(L59,пр.взв!$B$7:$H$76,5,0),"")</f>
        <v/>
      </c>
      <c r="Q59" s="338"/>
      <c r="R59" s="305"/>
      <c r="S59" s="307"/>
      <c r="T59" s="309"/>
    </row>
    <row r="60" spans="1:20" ht="12" customHeight="1" thickBot="1">
      <c r="A60" s="273"/>
      <c r="B60" s="297"/>
      <c r="C60" s="314"/>
      <c r="D60" s="316"/>
      <c r="E60" s="316"/>
      <c r="F60" s="316"/>
      <c r="G60" s="339"/>
      <c r="H60" s="317"/>
      <c r="I60" s="318"/>
      <c r="J60" s="319"/>
      <c r="L60" s="326"/>
      <c r="M60" s="314"/>
      <c r="N60" s="316"/>
      <c r="O60" s="316"/>
      <c r="P60" s="316"/>
      <c r="Q60" s="339"/>
      <c r="R60" s="317"/>
      <c r="S60" s="318"/>
      <c r="T60" s="319"/>
    </row>
    <row r="61" spans="1:20" ht="12" customHeight="1">
      <c r="A61" s="273"/>
      <c r="B61" s="296">
        <f>пр.хода!B64</f>
        <v>29</v>
      </c>
      <c r="C61" s="321" t="str">
        <f>IFERROR(VLOOKUP(B61,пр.взв!$B$7:$H$76,2,0),"")</f>
        <v/>
      </c>
      <c r="D61" s="302" t="str">
        <f>IFERROR(VLOOKUP(B61,пр.взв!$B$7:$H$76,3,0),"")</f>
        <v/>
      </c>
      <c r="E61" s="302" t="str">
        <f>IFERROR(VLOOKUP(B61,пр.взв!$B$7:$H$76,4,0),"")</f>
        <v/>
      </c>
      <c r="F61" s="302" t="str">
        <f>IFERROR(VLOOKUP(B61,пр.взв!$B$7:$H$76,5,0),"")</f>
        <v/>
      </c>
      <c r="G61" s="304"/>
      <c r="H61" s="304"/>
      <c r="I61" s="306"/>
      <c r="J61" s="308"/>
      <c r="L61" s="323"/>
      <c r="M61" s="321" t="str">
        <f>IFERROR(VLOOKUP(L61,пр.взв!$B$7:$H$76,2,0),"")</f>
        <v/>
      </c>
      <c r="N61" s="302" t="str">
        <f>IFERROR(VLOOKUP(L61,пр.взв!$B$7:$H$76,3,0),"")</f>
        <v/>
      </c>
      <c r="O61" s="302" t="str">
        <f>IFERROR(VLOOKUP(L61,пр.взв!$B$7:$H$76,4,0),"")</f>
        <v/>
      </c>
      <c r="P61" s="302" t="str">
        <f>IFERROR(VLOOKUP(L61,пр.взв!$B$7:$H$76,5,0),"")</f>
        <v/>
      </c>
      <c r="Q61" s="304"/>
      <c r="R61" s="304"/>
      <c r="S61" s="306"/>
      <c r="T61" s="308"/>
    </row>
    <row r="62" spans="1:20" ht="12" customHeight="1">
      <c r="A62" s="273"/>
      <c r="B62" s="297"/>
      <c r="C62" s="322"/>
      <c r="D62" s="303"/>
      <c r="E62" s="303"/>
      <c r="F62" s="303"/>
      <c r="G62" s="305"/>
      <c r="H62" s="305"/>
      <c r="I62" s="307"/>
      <c r="J62" s="309"/>
      <c r="L62" s="324"/>
      <c r="M62" s="322"/>
      <c r="N62" s="303"/>
      <c r="O62" s="303"/>
      <c r="P62" s="303"/>
      <c r="Q62" s="305"/>
      <c r="R62" s="305"/>
      <c r="S62" s="307"/>
      <c r="T62" s="309"/>
    </row>
    <row r="63" spans="1:20">
      <c r="A63" s="273"/>
      <c r="B63" s="312">
        <f>пр.хода!H64</f>
        <v>0</v>
      </c>
      <c r="C63" s="313" t="str">
        <f>IFERROR(VLOOKUP(B63,пр.взв!$B$7:$H$76,2,0),"")</f>
        <v/>
      </c>
      <c r="D63" s="315" t="str">
        <f>IFERROR(VLOOKUP(B63,пр.взв!$B$7:$H$76,3,0),"")</f>
        <v/>
      </c>
      <c r="E63" s="315" t="str">
        <f>IFERROR(VLOOKUP(B63,пр.взв!$B$7:$H$76,4,0),"")</f>
        <v/>
      </c>
      <c r="F63" s="315" t="str">
        <f>IFERROR(VLOOKUP(B63,пр.взв!$B$7:$H$76,5,0),"")</f>
        <v/>
      </c>
      <c r="G63" s="305"/>
      <c r="H63" s="305"/>
      <c r="I63" s="307"/>
      <c r="J63" s="309"/>
      <c r="L63" s="325"/>
      <c r="M63" s="313" t="str">
        <f>IFERROR(VLOOKUP(L63,пр.взв!$B$7:$H$76,2,0),"")</f>
        <v/>
      </c>
      <c r="N63" s="315" t="str">
        <f>IFERROR(VLOOKUP(L63,пр.взв!$B$7:$H$76,3,0),"")</f>
        <v/>
      </c>
      <c r="O63" s="315" t="str">
        <f>IFERROR(VLOOKUP(L63,пр.взв!$B$7:$H$76,4,0),"")</f>
        <v/>
      </c>
      <c r="P63" s="315" t="str">
        <f>IFERROR(VLOOKUP(L63,пр.взв!$B$7:$H$76,5,0),"")</f>
        <v/>
      </c>
      <c r="Q63" s="305"/>
      <c r="R63" s="305"/>
      <c r="S63" s="307"/>
      <c r="T63" s="309"/>
    </row>
    <row r="64" spans="1:20" ht="13" thickBot="1">
      <c r="A64" s="273"/>
      <c r="B64" s="297"/>
      <c r="C64" s="314"/>
      <c r="D64" s="316"/>
      <c r="E64" s="316"/>
      <c r="F64" s="316"/>
      <c r="G64" s="317"/>
      <c r="H64" s="317"/>
      <c r="I64" s="318"/>
      <c r="J64" s="319"/>
      <c r="L64" s="326"/>
      <c r="M64" s="314"/>
      <c r="N64" s="316"/>
      <c r="O64" s="316"/>
      <c r="P64" s="316"/>
      <c r="Q64" s="317"/>
      <c r="R64" s="317"/>
      <c r="S64" s="318"/>
      <c r="T64" s="319"/>
    </row>
    <row r="65" spans="1:20">
      <c r="A65" s="273"/>
      <c r="B65" s="296">
        <f>пр.хода!B66</f>
        <v>30</v>
      </c>
      <c r="C65" s="321" t="str">
        <f>IFERROR(VLOOKUP(B65,пр.взв!$B$7:$H$76,2,0),"")</f>
        <v/>
      </c>
      <c r="D65" s="302" t="str">
        <f>IFERROR(VLOOKUP(B65,пр.взв!$B$7:$H$76,3,0),"")</f>
        <v/>
      </c>
      <c r="E65" s="302" t="str">
        <f>IFERROR(VLOOKUP(B65,пр.взв!$B$7:$H$76,4,0),"")</f>
        <v/>
      </c>
      <c r="F65" s="302" t="str">
        <f>IFERROR(VLOOKUP(B65,пр.взв!$B$7:$H$76,5,0),"")</f>
        <v/>
      </c>
      <c r="G65" s="337"/>
      <c r="H65" s="304"/>
      <c r="I65" s="306"/>
      <c r="J65" s="308"/>
      <c r="L65" s="323"/>
      <c r="M65" s="321" t="str">
        <f>IFERROR(VLOOKUP(L65,пр.взв!$B$7:$H$76,2,0),"")</f>
        <v/>
      </c>
      <c r="N65" s="302" t="str">
        <f>IFERROR(VLOOKUP(L65,пр.взв!$B$7:$H$76,3,0),"")</f>
        <v/>
      </c>
      <c r="O65" s="302" t="str">
        <f>IFERROR(VLOOKUP(L65,пр.взв!$B$7:$H$76,4,0),"")</f>
        <v/>
      </c>
      <c r="P65" s="302" t="str">
        <f>IFERROR(VLOOKUP(L65,пр.взв!$B$7:$H$76,5,0),"")</f>
        <v/>
      </c>
      <c r="Q65" s="337"/>
      <c r="R65" s="304"/>
      <c r="S65" s="306"/>
      <c r="T65" s="308"/>
    </row>
    <row r="66" spans="1:20">
      <c r="A66" s="273"/>
      <c r="B66" s="297"/>
      <c r="C66" s="322"/>
      <c r="D66" s="303"/>
      <c r="E66" s="303"/>
      <c r="F66" s="303"/>
      <c r="G66" s="338"/>
      <c r="H66" s="305"/>
      <c r="I66" s="307"/>
      <c r="J66" s="309"/>
      <c r="L66" s="324"/>
      <c r="M66" s="322"/>
      <c r="N66" s="303"/>
      <c r="O66" s="303"/>
      <c r="P66" s="303"/>
      <c r="Q66" s="338"/>
      <c r="R66" s="305"/>
      <c r="S66" s="307"/>
      <c r="T66" s="309"/>
    </row>
    <row r="67" spans="1:20">
      <c r="A67" s="273"/>
      <c r="B67" s="297">
        <f>пр.хода!H66</f>
        <v>0</v>
      </c>
      <c r="C67" s="313" t="str">
        <f>IFERROR(VLOOKUP(B67,пр.взв!$B$7:$H$76,2,0),"")</f>
        <v/>
      </c>
      <c r="D67" s="315" t="str">
        <f>IFERROR(VLOOKUP(B67,пр.взв!$B$7:$H$76,3,0),"")</f>
        <v/>
      </c>
      <c r="E67" s="315" t="str">
        <f>IFERROR(VLOOKUP(B67,пр.взв!$B$7:$H$76,4,0),"")</f>
        <v/>
      </c>
      <c r="F67" s="315" t="str">
        <f>IFERROR(VLOOKUP(B67,пр.взв!$B$7:$H$76,5,0),"")</f>
        <v/>
      </c>
      <c r="G67" s="338"/>
      <c r="H67" s="305"/>
      <c r="I67" s="307"/>
      <c r="J67" s="309"/>
      <c r="L67" s="325"/>
      <c r="M67" s="313" t="str">
        <f>IFERROR(VLOOKUP(L67,пр.взв!$B$7:$H$76,2,0),"")</f>
        <v/>
      </c>
      <c r="N67" s="315" t="str">
        <f>IFERROR(VLOOKUP(L67,пр.взв!$B$7:$H$76,3,0),"")</f>
        <v/>
      </c>
      <c r="O67" s="315" t="str">
        <f>IFERROR(VLOOKUP(L67,пр.взв!$B$7:$H$76,4,0),"")</f>
        <v/>
      </c>
      <c r="P67" s="315" t="str">
        <f>IFERROR(VLOOKUP(L67,пр.взв!$B$7:$H$76,5,0),"")</f>
        <v/>
      </c>
      <c r="Q67" s="338"/>
      <c r="R67" s="305"/>
      <c r="S67" s="307"/>
      <c r="T67" s="309"/>
    </row>
    <row r="68" spans="1:20" ht="13" thickBot="1">
      <c r="A68" s="273"/>
      <c r="B68" s="340"/>
      <c r="C68" s="314"/>
      <c r="D68" s="316"/>
      <c r="E68" s="316"/>
      <c r="F68" s="316"/>
      <c r="G68" s="339"/>
      <c r="H68" s="317"/>
      <c r="I68" s="318"/>
      <c r="J68" s="319"/>
      <c r="L68" s="326"/>
      <c r="M68" s="314"/>
      <c r="N68" s="316"/>
      <c r="O68" s="316"/>
      <c r="P68" s="316"/>
      <c r="Q68" s="339"/>
      <c r="R68" s="317"/>
      <c r="S68" s="318"/>
      <c r="T68" s="319"/>
    </row>
  </sheetData>
  <mergeCells count="629">
    <mergeCell ref="T65:T66"/>
    <mergeCell ref="A67:A68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L67:L68"/>
    <mergeCell ref="M67:M68"/>
    <mergeCell ref="T67:T68"/>
    <mergeCell ref="N67:N68"/>
    <mergeCell ref="O67:O68"/>
    <mergeCell ref="P67:P68"/>
    <mergeCell ref="Q67:Q68"/>
    <mergeCell ref="R67:R68"/>
    <mergeCell ref="S67:S68"/>
    <mergeCell ref="J65:J66"/>
    <mergeCell ref="L65:L66"/>
    <mergeCell ref="M65:M66"/>
    <mergeCell ref="N65:N66"/>
    <mergeCell ref="O65:O66"/>
    <mergeCell ref="P65:P66"/>
    <mergeCell ref="Q65:Q66"/>
    <mergeCell ref="R65:R66"/>
    <mergeCell ref="S65:S66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T61:T62"/>
    <mergeCell ref="A63:A64"/>
    <mergeCell ref="B63:B64"/>
    <mergeCell ref="C63:C64"/>
    <mergeCell ref="D63:D64"/>
    <mergeCell ref="E63:E64"/>
    <mergeCell ref="F63:F64"/>
    <mergeCell ref="G63:G64"/>
    <mergeCell ref="H63:H64"/>
    <mergeCell ref="I63:I64"/>
    <mergeCell ref="J63:J64"/>
    <mergeCell ref="L63:L64"/>
    <mergeCell ref="M63:M64"/>
    <mergeCell ref="N63:N64"/>
    <mergeCell ref="O63:O64"/>
    <mergeCell ref="P63:P64"/>
    <mergeCell ref="Q63:Q64"/>
    <mergeCell ref="R63:R64"/>
    <mergeCell ref="S63:S64"/>
    <mergeCell ref="T63:T64"/>
    <mergeCell ref="J61:J62"/>
    <mergeCell ref="L61:L62"/>
    <mergeCell ref="M61:M62"/>
    <mergeCell ref="N61:N62"/>
    <mergeCell ref="O61:O62"/>
    <mergeCell ref="P61:P62"/>
    <mergeCell ref="Q61:Q62"/>
    <mergeCell ref="R61:R62"/>
    <mergeCell ref="S61:S62"/>
    <mergeCell ref="A61:A62"/>
    <mergeCell ref="B61:B62"/>
    <mergeCell ref="C61:C62"/>
    <mergeCell ref="D61:D62"/>
    <mergeCell ref="E61:E62"/>
    <mergeCell ref="F61:F62"/>
    <mergeCell ref="G61:G62"/>
    <mergeCell ref="H61:H62"/>
    <mergeCell ref="I61:I62"/>
    <mergeCell ref="T57:T58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9:J60"/>
    <mergeCell ref="L59:L60"/>
    <mergeCell ref="M59:M60"/>
    <mergeCell ref="N59:N60"/>
    <mergeCell ref="O59:O60"/>
    <mergeCell ref="P59:P60"/>
    <mergeCell ref="Q59:Q60"/>
    <mergeCell ref="R59:R60"/>
    <mergeCell ref="S59:S60"/>
    <mergeCell ref="T59:T60"/>
    <mergeCell ref="J57:J58"/>
    <mergeCell ref="L57:L58"/>
    <mergeCell ref="M57:M58"/>
    <mergeCell ref="N57:N58"/>
    <mergeCell ref="O57:O58"/>
    <mergeCell ref="P57:P58"/>
    <mergeCell ref="Q57:Q58"/>
    <mergeCell ref="R57:R58"/>
    <mergeCell ref="S57:S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T53:T54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J55:J56"/>
    <mergeCell ref="L55:L56"/>
    <mergeCell ref="M55:M56"/>
    <mergeCell ref="N55:N56"/>
    <mergeCell ref="O55:O56"/>
    <mergeCell ref="P55:P56"/>
    <mergeCell ref="Q55:Q56"/>
    <mergeCell ref="R55:R56"/>
    <mergeCell ref="S55:S56"/>
    <mergeCell ref="T55:T56"/>
    <mergeCell ref="J53:J54"/>
    <mergeCell ref="L53:L54"/>
    <mergeCell ref="M53:M54"/>
    <mergeCell ref="N53:N54"/>
    <mergeCell ref="O53:O54"/>
    <mergeCell ref="P53:P54"/>
    <mergeCell ref="Q53:Q54"/>
    <mergeCell ref="R53:R54"/>
    <mergeCell ref="S53:S54"/>
    <mergeCell ref="A53:A54"/>
    <mergeCell ref="B53:B54"/>
    <mergeCell ref="C53:C54"/>
    <mergeCell ref="D53:D54"/>
    <mergeCell ref="E53:E54"/>
    <mergeCell ref="F53:F54"/>
    <mergeCell ref="G53:G54"/>
    <mergeCell ref="H53:H54"/>
    <mergeCell ref="I53:I54"/>
    <mergeCell ref="T49:T50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J51:J52"/>
    <mergeCell ref="L51:L52"/>
    <mergeCell ref="M51:M52"/>
    <mergeCell ref="N51:N52"/>
    <mergeCell ref="O51:O52"/>
    <mergeCell ref="P51:P52"/>
    <mergeCell ref="Q51:Q52"/>
    <mergeCell ref="R51:R52"/>
    <mergeCell ref="S51:S52"/>
    <mergeCell ref="T51:T52"/>
    <mergeCell ref="J49:J50"/>
    <mergeCell ref="L49:L50"/>
    <mergeCell ref="M49:M50"/>
    <mergeCell ref="N49:N50"/>
    <mergeCell ref="O49:O50"/>
    <mergeCell ref="P49:P50"/>
    <mergeCell ref="Q49:Q50"/>
    <mergeCell ref="R49:R50"/>
    <mergeCell ref="S49:S50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T45:T46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J47:J48"/>
    <mergeCell ref="L47:L48"/>
    <mergeCell ref="M47:M48"/>
    <mergeCell ref="N47:N48"/>
    <mergeCell ref="O47:O48"/>
    <mergeCell ref="P47:P48"/>
    <mergeCell ref="Q47:Q48"/>
    <mergeCell ref="R47:R48"/>
    <mergeCell ref="S47:S48"/>
    <mergeCell ref="T47:T48"/>
    <mergeCell ref="J45:J46"/>
    <mergeCell ref="L45:L46"/>
    <mergeCell ref="M45:M46"/>
    <mergeCell ref="N45:N46"/>
    <mergeCell ref="O45:O46"/>
    <mergeCell ref="P45:P46"/>
    <mergeCell ref="Q45:Q46"/>
    <mergeCell ref="R45:R46"/>
    <mergeCell ref="S45:S46"/>
    <mergeCell ref="A45:A46"/>
    <mergeCell ref="B45:B46"/>
    <mergeCell ref="C45:C46"/>
    <mergeCell ref="D45:D46"/>
    <mergeCell ref="E45:E46"/>
    <mergeCell ref="F45:F46"/>
    <mergeCell ref="G45:G46"/>
    <mergeCell ref="H45:H46"/>
    <mergeCell ref="I45:I46"/>
    <mergeCell ref="T41:T42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J43:J44"/>
    <mergeCell ref="L43:L44"/>
    <mergeCell ref="M43:M44"/>
    <mergeCell ref="N43:N44"/>
    <mergeCell ref="O43:O44"/>
    <mergeCell ref="P43:P44"/>
    <mergeCell ref="Q43:Q44"/>
    <mergeCell ref="R43:R44"/>
    <mergeCell ref="S43:S44"/>
    <mergeCell ref="T43:T44"/>
    <mergeCell ref="J41:J42"/>
    <mergeCell ref="L41:L42"/>
    <mergeCell ref="M41:M42"/>
    <mergeCell ref="N41:N42"/>
    <mergeCell ref="O41:O42"/>
    <mergeCell ref="P41:P42"/>
    <mergeCell ref="Q41:Q42"/>
    <mergeCell ref="R41:R42"/>
    <mergeCell ref="S41:S42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T37:T38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J39:J40"/>
    <mergeCell ref="L39:L40"/>
    <mergeCell ref="M39:M40"/>
    <mergeCell ref="N39:N40"/>
    <mergeCell ref="O39:O40"/>
    <mergeCell ref="P39:P40"/>
    <mergeCell ref="Q39:Q40"/>
    <mergeCell ref="R39:R40"/>
    <mergeCell ref="S39:S40"/>
    <mergeCell ref="T39:T40"/>
    <mergeCell ref="J37:J38"/>
    <mergeCell ref="L37:L38"/>
    <mergeCell ref="M37:M38"/>
    <mergeCell ref="N37:N38"/>
    <mergeCell ref="O37:O38"/>
    <mergeCell ref="P37:P38"/>
    <mergeCell ref="Q37:Q38"/>
    <mergeCell ref="R37:R38"/>
    <mergeCell ref="S37:S38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T33:T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L35:L36"/>
    <mergeCell ref="M35:M36"/>
    <mergeCell ref="N35:N36"/>
    <mergeCell ref="O35:O36"/>
    <mergeCell ref="P35:P36"/>
    <mergeCell ref="Q35:Q36"/>
    <mergeCell ref="R35:R36"/>
    <mergeCell ref="S35:S36"/>
    <mergeCell ref="T35:T36"/>
    <mergeCell ref="J33:J34"/>
    <mergeCell ref="L33:L34"/>
    <mergeCell ref="M33:M34"/>
    <mergeCell ref="N33:N34"/>
    <mergeCell ref="O33:O34"/>
    <mergeCell ref="P33:P34"/>
    <mergeCell ref="Q33:Q34"/>
    <mergeCell ref="R33:R34"/>
    <mergeCell ref="S33:S34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T29:T30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J31:J32"/>
    <mergeCell ref="L31:L32"/>
    <mergeCell ref="M31:M32"/>
    <mergeCell ref="N31:N32"/>
    <mergeCell ref="O31:O32"/>
    <mergeCell ref="P31:P32"/>
    <mergeCell ref="Q31:Q32"/>
    <mergeCell ref="R31:R32"/>
    <mergeCell ref="S31:S32"/>
    <mergeCell ref="T31:T32"/>
    <mergeCell ref="J29:J30"/>
    <mergeCell ref="L29:L30"/>
    <mergeCell ref="M29:M30"/>
    <mergeCell ref="N29:N30"/>
    <mergeCell ref="O29:O30"/>
    <mergeCell ref="P29:P30"/>
    <mergeCell ref="Q29:Q30"/>
    <mergeCell ref="R29:R30"/>
    <mergeCell ref="S29:S30"/>
    <mergeCell ref="A29:A30"/>
    <mergeCell ref="B29:B30"/>
    <mergeCell ref="C29:C30"/>
    <mergeCell ref="D29:D30"/>
    <mergeCell ref="E29:E30"/>
    <mergeCell ref="F29:F30"/>
    <mergeCell ref="G29:G30"/>
    <mergeCell ref="H29:H30"/>
    <mergeCell ref="I29:I30"/>
    <mergeCell ref="T25:T26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J27:J28"/>
    <mergeCell ref="L27:L28"/>
    <mergeCell ref="M27:M28"/>
    <mergeCell ref="N27:N28"/>
    <mergeCell ref="O27:O28"/>
    <mergeCell ref="P27:P28"/>
    <mergeCell ref="Q27:Q28"/>
    <mergeCell ref="R27:R28"/>
    <mergeCell ref="S27:S28"/>
    <mergeCell ref="T27:T28"/>
    <mergeCell ref="J25:J26"/>
    <mergeCell ref="L25:L26"/>
    <mergeCell ref="M25:M26"/>
    <mergeCell ref="N25:N26"/>
    <mergeCell ref="O25:O26"/>
    <mergeCell ref="P25:P26"/>
    <mergeCell ref="Q25:Q26"/>
    <mergeCell ref="R25:R26"/>
    <mergeCell ref="S25:S26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T21:T22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J23:J24"/>
    <mergeCell ref="L23:L24"/>
    <mergeCell ref="M23:M24"/>
    <mergeCell ref="N23:N24"/>
    <mergeCell ref="O23:O24"/>
    <mergeCell ref="P23:P24"/>
    <mergeCell ref="Q23:Q24"/>
    <mergeCell ref="R23:R24"/>
    <mergeCell ref="S23:S24"/>
    <mergeCell ref="T23:T24"/>
    <mergeCell ref="J21:J22"/>
    <mergeCell ref="L21:L22"/>
    <mergeCell ref="M21:M22"/>
    <mergeCell ref="N21:N22"/>
    <mergeCell ref="O21:O22"/>
    <mergeCell ref="P21:P22"/>
    <mergeCell ref="Q21:Q22"/>
    <mergeCell ref="R21:R22"/>
    <mergeCell ref="S21:S22"/>
    <mergeCell ref="A21:A22"/>
    <mergeCell ref="B21:B22"/>
    <mergeCell ref="C21:C22"/>
    <mergeCell ref="D21:D22"/>
    <mergeCell ref="E21:E22"/>
    <mergeCell ref="F21:F22"/>
    <mergeCell ref="G21:G22"/>
    <mergeCell ref="H21:H22"/>
    <mergeCell ref="I21:I22"/>
    <mergeCell ref="T17:T18"/>
    <mergeCell ref="A19:A20"/>
    <mergeCell ref="B19:B20"/>
    <mergeCell ref="C19:C20"/>
    <mergeCell ref="D19:D20"/>
    <mergeCell ref="E19:E20"/>
    <mergeCell ref="F19:F20"/>
    <mergeCell ref="G19:G20"/>
    <mergeCell ref="H19:H20"/>
    <mergeCell ref="I19:I20"/>
    <mergeCell ref="J19:J20"/>
    <mergeCell ref="L19:L20"/>
    <mergeCell ref="M19:M20"/>
    <mergeCell ref="N19:N20"/>
    <mergeCell ref="O19:O20"/>
    <mergeCell ref="P19:P20"/>
    <mergeCell ref="Q19:Q20"/>
    <mergeCell ref="R19:R20"/>
    <mergeCell ref="S19:S20"/>
    <mergeCell ref="T19:T20"/>
    <mergeCell ref="J17:J18"/>
    <mergeCell ref="L17:L18"/>
    <mergeCell ref="M17:M18"/>
    <mergeCell ref="N17:N18"/>
    <mergeCell ref="O17:O18"/>
    <mergeCell ref="P17:P18"/>
    <mergeCell ref="Q17:Q18"/>
    <mergeCell ref="R17:R18"/>
    <mergeCell ref="S17:S18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T13:T14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J15:J16"/>
    <mergeCell ref="L15:L16"/>
    <mergeCell ref="M15:M16"/>
    <mergeCell ref="N15:N16"/>
    <mergeCell ref="O15:O16"/>
    <mergeCell ref="P15:P16"/>
    <mergeCell ref="Q15:Q16"/>
    <mergeCell ref="R15:R16"/>
    <mergeCell ref="S15:S16"/>
    <mergeCell ref="T15:T16"/>
    <mergeCell ref="J13:J14"/>
    <mergeCell ref="L13:L14"/>
    <mergeCell ref="M13:M14"/>
    <mergeCell ref="N13:N14"/>
    <mergeCell ref="O13:O14"/>
    <mergeCell ref="P13:P14"/>
    <mergeCell ref="Q13:Q14"/>
    <mergeCell ref="R13:R14"/>
    <mergeCell ref="S13:S14"/>
    <mergeCell ref="A13:A14"/>
    <mergeCell ref="B13:B14"/>
    <mergeCell ref="C13:C14"/>
    <mergeCell ref="D13:D14"/>
    <mergeCell ref="E13:E14"/>
    <mergeCell ref="F13:F14"/>
    <mergeCell ref="G13:G14"/>
    <mergeCell ref="H13:H14"/>
    <mergeCell ref="I13:I14"/>
    <mergeCell ref="T9:T10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J9:J10"/>
    <mergeCell ref="L9:L10"/>
    <mergeCell ref="M9:M10"/>
    <mergeCell ref="N9:N10"/>
    <mergeCell ref="O9:O10"/>
    <mergeCell ref="P9:P10"/>
    <mergeCell ref="Q9:Q10"/>
    <mergeCell ref="R9:R10"/>
    <mergeCell ref="S9:S10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T5:T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L7:L8"/>
    <mergeCell ref="M7:M8"/>
    <mergeCell ref="N7:N8"/>
    <mergeCell ref="O7:O8"/>
    <mergeCell ref="P7:P8"/>
    <mergeCell ref="Q7:Q8"/>
    <mergeCell ref="R7:R8"/>
    <mergeCell ref="S7:S8"/>
    <mergeCell ref="T7:T8"/>
    <mergeCell ref="J5:J6"/>
    <mergeCell ref="L5:L6"/>
    <mergeCell ref="M5:M6"/>
    <mergeCell ref="N5:N6"/>
    <mergeCell ref="O5:O6"/>
    <mergeCell ref="P5:P6"/>
    <mergeCell ref="Q5:Q6"/>
    <mergeCell ref="R5:R6"/>
    <mergeCell ref="S5:S6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L3:L4"/>
    <mergeCell ref="M3:M4"/>
    <mergeCell ref="N3:N4"/>
    <mergeCell ref="O3:P4"/>
    <mergeCell ref="Q3:Q4"/>
    <mergeCell ref="R3:R4"/>
    <mergeCell ref="S3:S4"/>
    <mergeCell ref="T3:T4"/>
    <mergeCell ref="B1:C1"/>
    <mergeCell ref="L1:M1"/>
    <mergeCell ref="F1:J1"/>
    <mergeCell ref="P1:T1"/>
    <mergeCell ref="A3:A4"/>
    <mergeCell ref="B3:B4"/>
    <mergeCell ref="C3:C4"/>
    <mergeCell ref="D3:D4"/>
    <mergeCell ref="E3:F4"/>
    <mergeCell ref="G3:G4"/>
    <mergeCell ref="H3:H4"/>
    <mergeCell ref="I3:I4"/>
    <mergeCell ref="J3:J4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theme="2" tint="-0.249977111117893"/>
  </sheetPr>
  <dimension ref="A1:J40"/>
  <sheetViews>
    <sheetView workbookViewId="0">
      <selection activeCell="M6" sqref="M6"/>
    </sheetView>
  </sheetViews>
  <sheetFormatPr defaultRowHeight="12.5"/>
  <cols>
    <col min="8" max="8" width="15.81640625" customWidth="1"/>
  </cols>
  <sheetData>
    <row r="1" spans="1:10" ht="53.25" customHeight="1" thickBot="1">
      <c r="A1" s="365" t="str">
        <f>[4]реквизиты!$A$2</f>
        <v>ВСЕРОССИЙСКИЕ СОРЕВНОВАНИЯ ПО САМБО "ПАМЯТЬ" СРЕДИ МУЖЧИН И ЖЕНЩИН</v>
      </c>
      <c r="B1" s="366"/>
      <c r="C1" s="366"/>
      <c r="D1" s="366"/>
      <c r="E1" s="366"/>
      <c r="F1" s="366"/>
      <c r="G1" s="366"/>
      <c r="H1" s="367"/>
    </row>
    <row r="2" spans="1:10" ht="17.25" customHeight="1">
      <c r="A2" s="368" t="str">
        <f>[4]реквизиты!$A$3</f>
        <v>29-31 марта  2019 года                          г.Екатеринбург</v>
      </c>
      <c r="B2" s="368"/>
      <c r="C2" s="368"/>
      <c r="D2" s="368"/>
      <c r="E2" s="368"/>
      <c r="F2" s="368"/>
      <c r="G2" s="368"/>
      <c r="H2" s="368"/>
    </row>
    <row r="3" spans="1:10" ht="18" thickBot="1">
      <c r="A3" s="369" t="s">
        <v>66</v>
      </c>
      <c r="B3" s="369"/>
      <c r="C3" s="369"/>
      <c r="D3" s="369"/>
      <c r="E3" s="369"/>
      <c r="F3" s="369"/>
      <c r="G3" s="369"/>
      <c r="H3" s="369"/>
      <c r="J3" s="57"/>
    </row>
    <row r="4" spans="1:10" ht="18.5" thickBot="1">
      <c r="B4" s="29"/>
      <c r="C4" s="30"/>
      <c r="D4" s="370" t="str">
        <f>пр.взв!$D$4</f>
        <v>В.к. 52 кг.</v>
      </c>
      <c r="E4" s="371"/>
      <c r="F4" s="372"/>
      <c r="G4" s="30"/>
      <c r="H4" s="30"/>
    </row>
    <row r="5" spans="1:10" ht="12" customHeight="1" thickBot="1">
      <c r="A5" s="30"/>
      <c r="B5" s="30"/>
      <c r="C5" s="30"/>
      <c r="D5" s="30"/>
      <c r="E5" s="30"/>
      <c r="F5" s="30"/>
      <c r="G5" s="30"/>
      <c r="H5" s="30"/>
    </row>
    <row r="6" spans="1:10" ht="17.5">
      <c r="A6" s="360" t="s">
        <v>67</v>
      </c>
      <c r="B6" s="352" t="str">
        <f>IFERROR(VLOOKUP(J6,пр.взв!$B$7:$H$76,2,0),"")</f>
        <v>ШКЕТ Ольга Владимировна</v>
      </c>
      <c r="C6" s="352"/>
      <c r="D6" s="352"/>
      <c r="E6" s="352"/>
      <c r="F6" s="352"/>
      <c r="G6" s="352"/>
      <c r="H6" s="348" t="str">
        <f>IFERROR(VLOOKUP(J6,пр.взв!$B$7:$H$76,3,0),"")</f>
        <v>11.05.96, МС</v>
      </c>
      <c r="I6" s="30"/>
      <c r="J6" s="129">
        <f>IFERROR(ит.пр!B6,"0")</f>
        <v>2</v>
      </c>
    </row>
    <row r="7" spans="1:10" ht="17.5">
      <c r="A7" s="361"/>
      <c r="B7" s="353"/>
      <c r="C7" s="353"/>
      <c r="D7" s="353"/>
      <c r="E7" s="353"/>
      <c r="F7" s="353"/>
      <c r="G7" s="353"/>
      <c r="H7" s="354"/>
      <c r="I7" s="30"/>
      <c r="J7" s="31"/>
    </row>
    <row r="8" spans="1:10" ht="17.5">
      <c r="A8" s="361"/>
      <c r="B8" s="359" t="str">
        <f>IFERROR(VLOOKUP(J6,пр.взв!$B$7:$H$76,4,0),"")</f>
        <v>УФО</v>
      </c>
      <c r="C8" s="359"/>
      <c r="D8" s="359" t="str">
        <f>IFERROR(VLOOKUP(J6,пр.взв!$B$7:$H$76,5,0),"")</f>
        <v>Курганская, Курган, СШОР№1</v>
      </c>
      <c r="E8" s="359"/>
      <c r="F8" s="359"/>
      <c r="G8" s="359"/>
      <c r="H8" s="354"/>
      <c r="I8" s="30"/>
      <c r="J8" s="31"/>
    </row>
    <row r="9" spans="1:10" ht="18" thickBot="1">
      <c r="A9" s="362"/>
      <c r="B9" s="350"/>
      <c r="C9" s="350"/>
      <c r="D9" s="350"/>
      <c r="E9" s="350"/>
      <c r="F9" s="350"/>
      <c r="G9" s="350"/>
      <c r="H9" s="351"/>
      <c r="I9" s="30"/>
      <c r="J9" s="31"/>
    </row>
    <row r="10" spans="1:10" ht="18" thickBot="1">
      <c r="A10" s="30"/>
      <c r="B10" s="30"/>
      <c r="C10" s="30"/>
      <c r="D10" s="30"/>
      <c r="E10" s="30"/>
      <c r="F10" s="30"/>
      <c r="G10" s="30"/>
      <c r="H10" s="30"/>
      <c r="I10" s="30"/>
      <c r="J10" s="31"/>
    </row>
    <row r="11" spans="1:10" ht="18" customHeight="1">
      <c r="A11" s="373" t="s">
        <v>68</v>
      </c>
      <c r="B11" s="352" t="str">
        <f>IFERROR(VLOOKUP(J11,пр.взв!$B$7:$H$76,2,0),"")</f>
        <v>ГАСПАРЯН Наре Петросовна</v>
      </c>
      <c r="C11" s="352"/>
      <c r="D11" s="352"/>
      <c r="E11" s="352"/>
      <c r="F11" s="352"/>
      <c r="G11" s="352"/>
      <c r="H11" s="348" t="str">
        <f>IFERROR(VLOOKUP(J11,пр.взв!$B$7:$H$76,3,0),"")</f>
        <v>26.02.97, КМС</v>
      </c>
      <c r="I11" s="30"/>
      <c r="J11" s="129">
        <f>IFERROR(ит.пр!B7,"0")</f>
        <v>4</v>
      </c>
    </row>
    <row r="12" spans="1:10" ht="18" customHeight="1">
      <c r="A12" s="374"/>
      <c r="B12" s="353"/>
      <c r="C12" s="353"/>
      <c r="D12" s="353"/>
      <c r="E12" s="353"/>
      <c r="F12" s="353"/>
      <c r="G12" s="353"/>
      <c r="H12" s="354"/>
      <c r="I12" s="30"/>
      <c r="J12" s="31"/>
    </row>
    <row r="13" spans="1:10" ht="17.5">
      <c r="A13" s="374"/>
      <c r="B13" s="359" t="str">
        <f>IFERROR(VLOOKUP(J11,пр.взв!$B$7:$H$76,4,0),"")</f>
        <v>УФО</v>
      </c>
      <c r="C13" s="359"/>
      <c r="D13" s="359" t="str">
        <f>IFERROR(VLOOKUP(J11,пр.взв!$B$7:$H$76,5,0),"")</f>
        <v>Челябинская, Челябинск</v>
      </c>
      <c r="E13" s="359"/>
      <c r="F13" s="359"/>
      <c r="G13" s="359"/>
      <c r="H13" s="354"/>
      <c r="I13" s="30"/>
      <c r="J13" s="31"/>
    </row>
    <row r="14" spans="1:10" ht="18" thickBot="1">
      <c r="A14" s="375"/>
      <c r="B14" s="350"/>
      <c r="C14" s="350"/>
      <c r="D14" s="350"/>
      <c r="E14" s="350"/>
      <c r="F14" s="350"/>
      <c r="G14" s="350"/>
      <c r="H14" s="351"/>
      <c r="I14" s="30"/>
      <c r="J14" s="31"/>
    </row>
    <row r="15" spans="1:10" ht="18" thickBot="1">
      <c r="A15" s="30"/>
      <c r="B15" s="30"/>
      <c r="C15" s="30"/>
      <c r="D15" s="30"/>
      <c r="E15" s="30"/>
      <c r="F15" s="30"/>
      <c r="G15" s="30"/>
      <c r="H15" s="30"/>
      <c r="I15" s="30"/>
      <c r="J15" s="31"/>
    </row>
    <row r="16" spans="1:10" ht="18" customHeight="1">
      <c r="A16" s="343" t="s">
        <v>69</v>
      </c>
      <c r="B16" s="363" t="str">
        <f>IFERROR(VLOOKUP(J16,пр.взв!$B$7:$H$76,2,0),"")</f>
        <v>ГАВРИЛОВА Полина Сергеевна</v>
      </c>
      <c r="C16" s="363"/>
      <c r="D16" s="363"/>
      <c r="E16" s="363"/>
      <c r="F16" s="363"/>
      <c r="G16" s="363"/>
      <c r="H16" s="376" t="str">
        <f>IFERROR(VLOOKUP(J16,пр.взв!$B$7:$H$76,3,0),"")</f>
        <v>23.06.96, КМС</v>
      </c>
      <c r="I16" s="30"/>
      <c r="J16" s="129">
        <f>IFERROR(ит.пр!B8,"0")</f>
        <v>1</v>
      </c>
    </row>
    <row r="17" spans="1:10" ht="18" customHeight="1">
      <c r="A17" s="344"/>
      <c r="B17" s="364"/>
      <c r="C17" s="364"/>
      <c r="D17" s="364"/>
      <c r="E17" s="364"/>
      <c r="F17" s="364"/>
      <c r="G17" s="364"/>
      <c r="H17" s="357"/>
      <c r="I17" s="30"/>
      <c r="J17" s="31"/>
    </row>
    <row r="18" spans="1:10" ht="17.5">
      <c r="A18" s="344"/>
      <c r="B18" s="355" t="str">
        <f>IFERROR(VLOOKUP(J16,пр.взв!$B$7:$H$76,4,0),"")</f>
        <v>УФО</v>
      </c>
      <c r="C18" s="355"/>
      <c r="D18" s="355" t="str">
        <f>IFERROR(VLOOKUP(J16,пр.взв!$B$7:$H$76,5,0),"")</f>
        <v>Свердловская, Серов</v>
      </c>
      <c r="E18" s="355"/>
      <c r="F18" s="355"/>
      <c r="G18" s="355"/>
      <c r="H18" s="357"/>
      <c r="I18" s="30"/>
      <c r="J18" s="31"/>
    </row>
    <row r="19" spans="1:10" ht="18" thickBot="1">
      <c r="A19" s="345"/>
      <c r="B19" s="356"/>
      <c r="C19" s="356"/>
      <c r="D19" s="356"/>
      <c r="E19" s="356"/>
      <c r="F19" s="356"/>
      <c r="G19" s="356"/>
      <c r="H19" s="358"/>
      <c r="I19" s="30"/>
      <c r="J19" s="31"/>
    </row>
    <row r="20" spans="1:10" ht="18" thickBot="1">
      <c r="A20" s="30"/>
      <c r="B20" s="30"/>
      <c r="C20" s="30"/>
      <c r="D20" s="30"/>
      <c r="E20" s="30"/>
      <c r="F20" s="30"/>
      <c r="G20" s="30"/>
      <c r="H20" s="30"/>
      <c r="I20" s="30"/>
      <c r="J20" s="31"/>
    </row>
    <row r="21" spans="1:10" ht="18" customHeight="1">
      <c r="A21" s="343" t="s">
        <v>69</v>
      </c>
      <c r="B21" s="352" t="str">
        <f>IFERROR(VLOOKUP(J21,пр.взв!$B$7:$H$76,2,0),"")</f>
        <v>ВИНИЧЕНКО Екатерина Константиновна</v>
      </c>
      <c r="C21" s="352"/>
      <c r="D21" s="352"/>
      <c r="E21" s="352"/>
      <c r="F21" s="352"/>
      <c r="G21" s="352"/>
      <c r="H21" s="348" t="str">
        <f>IFERROR(VLOOKUP(J21,пр.взв!$B$7:$H$76,3,0),"")</f>
        <v>16.02.97, КМС</v>
      </c>
      <c r="I21" s="30"/>
      <c r="J21" s="129">
        <f>IFERROR(ит.пр!B9,"0")</f>
        <v>3</v>
      </c>
    </row>
    <row r="22" spans="1:10" ht="18" customHeight="1">
      <c r="A22" s="344"/>
      <c r="B22" s="353"/>
      <c r="C22" s="353"/>
      <c r="D22" s="353"/>
      <c r="E22" s="353"/>
      <c r="F22" s="353"/>
      <c r="G22" s="353"/>
      <c r="H22" s="354"/>
      <c r="I22" s="30"/>
      <c r="J22" s="31"/>
    </row>
    <row r="23" spans="1:10" ht="17.5">
      <c r="A23" s="344"/>
      <c r="B23" s="359" t="str">
        <f>IFERROR(VLOOKUP(J21,пр.взв!$B$7:$H$76,4,0),"")</f>
        <v>УФО</v>
      </c>
      <c r="C23" s="359"/>
      <c r="D23" s="359" t="str">
        <f>IFERROR(VLOOKUP(J21,пр.взв!$B$7:$H$76,5,0),"")</f>
        <v>Свердловская, Екатеринбург, СШОР ПО САМБО И ДЗЮДО</v>
      </c>
      <c r="E23" s="359"/>
      <c r="F23" s="359"/>
      <c r="G23" s="359"/>
      <c r="H23" s="354"/>
      <c r="I23" s="30"/>
    </row>
    <row r="24" spans="1:10" ht="18" thickBot="1">
      <c r="A24" s="345"/>
      <c r="B24" s="350"/>
      <c r="C24" s="350"/>
      <c r="D24" s="350"/>
      <c r="E24" s="350"/>
      <c r="F24" s="350"/>
      <c r="G24" s="350"/>
      <c r="H24" s="351"/>
      <c r="I24" s="30"/>
    </row>
    <row r="25" spans="1:10" ht="17.5">
      <c r="A25" s="30"/>
      <c r="B25" s="30"/>
      <c r="C25" s="30"/>
      <c r="D25" s="30"/>
      <c r="E25" s="30"/>
      <c r="F25" s="30"/>
      <c r="G25" s="30"/>
      <c r="H25" s="30"/>
    </row>
    <row r="26" spans="1:10" ht="17.5">
      <c r="A26" s="30" t="s">
        <v>118</v>
      </c>
      <c r="B26" s="30"/>
      <c r="C26" s="30"/>
      <c r="D26" s="30"/>
      <c r="E26" s="30"/>
      <c r="F26" s="30"/>
      <c r="G26" s="30"/>
      <c r="H26" s="30"/>
    </row>
    <row r="27" spans="1:10" ht="13" thickBot="1"/>
    <row r="28" spans="1:10">
      <c r="A28" s="346" t="str">
        <f>IFERROR(VLOOKUP(J28,пр.взв!$B$7:$H$76,7,0),"")</f>
        <v>Осипов В.Ю., Герасимов Д.В.</v>
      </c>
      <c r="B28" s="347"/>
      <c r="C28" s="347"/>
      <c r="D28" s="347"/>
      <c r="E28" s="347"/>
      <c r="F28" s="347"/>
      <c r="G28" s="347"/>
      <c r="H28" s="348"/>
      <c r="J28" s="129">
        <f>J6</f>
        <v>2</v>
      </c>
    </row>
    <row r="29" spans="1:10" ht="13" thickBot="1">
      <c r="A29" s="349"/>
      <c r="B29" s="350"/>
      <c r="C29" s="350"/>
      <c r="D29" s="350"/>
      <c r="E29" s="350"/>
      <c r="F29" s="350"/>
      <c r="G29" s="350"/>
      <c r="H29" s="351"/>
    </row>
    <row r="32" spans="1:10" ht="17.5">
      <c r="A32" s="30" t="s">
        <v>70</v>
      </c>
      <c r="B32" s="30"/>
      <c r="C32" s="30"/>
      <c r="D32" s="30"/>
      <c r="E32" s="30"/>
      <c r="F32" s="30"/>
      <c r="G32" s="30"/>
      <c r="H32" s="30"/>
    </row>
    <row r="33" spans="1:10" ht="5.25" customHeight="1">
      <c r="A33" s="30"/>
      <c r="B33" s="30"/>
      <c r="C33" s="30"/>
      <c r="D33" s="30"/>
      <c r="E33" s="30"/>
      <c r="F33" s="30"/>
      <c r="G33" s="30"/>
      <c r="H33" s="30"/>
    </row>
    <row r="34" spans="1:10" ht="17.5">
      <c r="A34" s="30"/>
      <c r="B34" s="30"/>
      <c r="C34" s="30"/>
      <c r="D34" s="30"/>
      <c r="E34" s="30"/>
      <c r="F34" s="30"/>
      <c r="G34" s="30"/>
      <c r="H34" s="30"/>
    </row>
    <row r="35" spans="1:10" ht="17.5">
      <c r="A35" s="32"/>
      <c r="B35" s="32"/>
      <c r="C35" s="32"/>
      <c r="D35" s="32"/>
      <c r="E35" s="32"/>
      <c r="F35" s="32"/>
      <c r="G35" s="32"/>
      <c r="H35" s="32"/>
      <c r="J35" s="102"/>
    </row>
    <row r="36" spans="1:10" ht="17.5">
      <c r="A36" s="33"/>
      <c r="B36" s="33"/>
      <c r="C36" s="33"/>
      <c r="D36" s="33"/>
      <c r="E36" s="33"/>
      <c r="F36" s="33"/>
      <c r="G36" s="33"/>
      <c r="H36" s="33"/>
    </row>
    <row r="37" spans="1:10" ht="17.5">
      <c r="A37" s="32"/>
      <c r="B37" s="32"/>
      <c r="C37" s="32"/>
      <c r="D37" s="32"/>
      <c r="E37" s="32"/>
      <c r="F37" s="32"/>
      <c r="G37" s="32"/>
      <c r="H37" s="32"/>
    </row>
    <row r="38" spans="1:10" ht="17.5">
      <c r="A38" s="34"/>
      <c r="B38" s="34"/>
      <c r="C38" s="34"/>
      <c r="D38" s="34"/>
      <c r="E38" s="34"/>
      <c r="F38" s="34"/>
      <c r="G38" s="34"/>
      <c r="H38" s="34"/>
    </row>
    <row r="39" spans="1:10" ht="17.5">
      <c r="A39" s="32"/>
      <c r="B39" s="32"/>
      <c r="C39" s="32"/>
      <c r="D39" s="32"/>
      <c r="E39" s="32"/>
      <c r="F39" s="32"/>
      <c r="G39" s="32"/>
      <c r="H39" s="32"/>
      <c r="J39" s="22"/>
    </row>
    <row r="40" spans="1:10" ht="17.5">
      <c r="A40" s="34"/>
      <c r="B40" s="34"/>
      <c r="C40" s="34"/>
      <c r="D40" s="34"/>
      <c r="E40" s="34"/>
      <c r="F40" s="34"/>
      <c r="G40" s="34"/>
      <c r="H40" s="34"/>
    </row>
  </sheetData>
  <mergeCells count="25">
    <mergeCell ref="A6:A9"/>
    <mergeCell ref="B16:G17"/>
    <mergeCell ref="H11:H12"/>
    <mergeCell ref="A1:H1"/>
    <mergeCell ref="A2:H2"/>
    <mergeCell ref="A3:H3"/>
    <mergeCell ref="D4:F4"/>
    <mergeCell ref="A11:A14"/>
    <mergeCell ref="H16:H17"/>
    <mergeCell ref="B11:G12"/>
    <mergeCell ref="B6:G7"/>
    <mergeCell ref="B8:C9"/>
    <mergeCell ref="D8:H9"/>
    <mergeCell ref="B13:C14"/>
    <mergeCell ref="D13:H14"/>
    <mergeCell ref="H6:H7"/>
    <mergeCell ref="A16:A19"/>
    <mergeCell ref="A28:H29"/>
    <mergeCell ref="A21:A24"/>
    <mergeCell ref="B21:G22"/>
    <mergeCell ref="H21:H22"/>
    <mergeCell ref="B18:C19"/>
    <mergeCell ref="D18:H19"/>
    <mergeCell ref="B23:C24"/>
    <mergeCell ref="D23:H24"/>
  </mergeCells>
  <phoneticPr fontId="1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indexed="12"/>
  </sheetPr>
  <dimension ref="A1:CV125"/>
  <sheetViews>
    <sheetView showWhiteSpace="0" zoomScaleNormal="100" workbookViewId="0">
      <selection activeCell="AD122" sqref="AD122"/>
    </sheetView>
  </sheetViews>
  <sheetFormatPr defaultRowHeight="12.5"/>
  <cols>
    <col min="1" max="1" width="1.54296875" customWidth="1"/>
    <col min="2" max="2" width="4" customWidth="1"/>
    <col min="3" max="3" width="19.81640625" customWidth="1"/>
    <col min="4" max="4" width="8.1796875" customWidth="1"/>
    <col min="5" max="5" width="11.1796875" customWidth="1"/>
    <col min="6" max="25" width="2.54296875" customWidth="1"/>
    <col min="26" max="26" width="3.81640625" customWidth="1"/>
    <col min="27" max="27" width="3.54296875" customWidth="1"/>
    <col min="28" max="28" width="4.81640625" customWidth="1"/>
    <col min="29" max="29" width="3.81640625" customWidth="1"/>
    <col min="30" max="30" width="3.1796875" customWidth="1"/>
    <col min="31" max="31" width="5.453125" customWidth="1"/>
    <col min="32" max="33" width="3.1796875" hidden="1" customWidth="1"/>
    <col min="34" max="34" width="1.453125" hidden="1" customWidth="1"/>
    <col min="35" max="38" width="3.1796875" hidden="1" customWidth="1"/>
    <col min="39" max="39" width="3.453125" hidden="1" customWidth="1"/>
    <col min="40" max="40" width="3.1796875" hidden="1" customWidth="1"/>
    <col min="41" max="41" width="4.81640625" hidden="1" customWidth="1"/>
    <col min="42" max="43" width="3.1796875" hidden="1" customWidth="1"/>
    <col min="44" max="44" width="2.453125" hidden="1" customWidth="1"/>
    <col min="45" max="47" width="3.1796875" hidden="1" customWidth="1"/>
    <col min="48" max="50" width="3.1796875" customWidth="1"/>
    <col min="51" max="52" width="3.81640625" customWidth="1"/>
    <col min="53" max="57" width="3.1796875" customWidth="1"/>
    <col min="58" max="58" width="3.81640625" customWidth="1"/>
    <col min="59" max="67" width="3.1796875" customWidth="1"/>
    <col min="68" max="68" width="3.1796875" style="211" customWidth="1"/>
    <col min="69" max="72" width="3.1796875" customWidth="1"/>
    <col min="73" max="89" width="8.81640625" customWidth="1"/>
    <col min="90" max="100" width="4.54296875" customWidth="1"/>
  </cols>
  <sheetData>
    <row r="1" spans="1:100" ht="24" customHeight="1" thickBot="1">
      <c r="A1" s="130"/>
      <c r="B1" s="491" t="s">
        <v>63</v>
      </c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  <c r="V1" s="491"/>
      <c r="W1" s="491"/>
      <c r="X1" s="491"/>
      <c r="Y1" s="491"/>
      <c r="Z1" s="491"/>
      <c r="AA1" s="491"/>
      <c r="AB1" s="491"/>
      <c r="CA1" s="121" t="s">
        <v>106</v>
      </c>
      <c r="CD1" s="121" t="s">
        <v>107</v>
      </c>
      <c r="CJ1" s="121" t="s">
        <v>108</v>
      </c>
      <c r="CP1" s="121" t="s">
        <v>109</v>
      </c>
      <c r="CV1" s="215" t="s">
        <v>137</v>
      </c>
    </row>
    <row r="2" spans="1:100" ht="58.5" customHeight="1" thickBot="1">
      <c r="A2" s="198"/>
      <c r="B2" s="406" t="s">
        <v>158</v>
      </c>
      <c r="C2" s="406"/>
      <c r="D2" s="406"/>
      <c r="E2" s="406"/>
      <c r="F2" s="406"/>
      <c r="G2" s="407" t="str">
        <f>[4]реквизиты!$A$2</f>
        <v>ВСЕРОССИЙСКИЕ СОРЕВНОВАНИЯ ПО САМБО "ПАМЯТЬ" СРЕДИ МУЖЧИН И ЖЕНЩИН</v>
      </c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9"/>
      <c r="AY2" s="31"/>
      <c r="CA2" s="60" t="s">
        <v>111</v>
      </c>
      <c r="CD2" t="s">
        <v>113</v>
      </c>
      <c r="CJ2" t="s">
        <v>115</v>
      </c>
      <c r="CP2" t="s">
        <v>117</v>
      </c>
      <c r="CV2" s="198" t="s">
        <v>139</v>
      </c>
    </row>
    <row r="3" spans="1:100" ht="21.65" customHeight="1" thickBot="1">
      <c r="A3" s="13"/>
      <c r="B3" s="410" t="str">
        <f>[4]реквизиты!$A$3</f>
        <v>29-31 марта  2019 года                          г.Екатеринбург</v>
      </c>
      <c r="C3" s="410"/>
      <c r="D3" s="410"/>
      <c r="E3" s="410"/>
      <c r="F3" s="410"/>
      <c r="G3" s="410"/>
      <c r="H3" s="410"/>
      <c r="I3" s="410"/>
      <c r="J3" s="410"/>
      <c r="K3" s="410"/>
      <c r="L3" s="410"/>
      <c r="M3" s="410"/>
      <c r="N3" s="410"/>
      <c r="O3" s="410"/>
      <c r="P3" s="410"/>
      <c r="Q3" s="411" t="str">
        <f>AW3&amp;" "&amp;AX3</f>
        <v>4 участника</v>
      </c>
      <c r="R3" s="412"/>
      <c r="S3" s="412"/>
      <c r="T3" s="412"/>
      <c r="U3" s="412"/>
      <c r="V3" s="412"/>
      <c r="W3" s="413"/>
      <c r="X3" s="468" t="str">
        <f>пр.взв!$D$4</f>
        <v>В.к. 52 кг.</v>
      </c>
      <c r="Y3" s="469"/>
      <c r="Z3" s="469"/>
      <c r="AA3" s="469"/>
      <c r="AB3" s="470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>
        <v>4</v>
      </c>
      <c r="AX3" s="198" t="s">
        <v>178</v>
      </c>
      <c r="BA3" s="2"/>
      <c r="BB3" s="55"/>
      <c r="BC3" s="2"/>
      <c r="BD3" s="2"/>
      <c r="BE3" s="2"/>
      <c r="BF3" s="2"/>
      <c r="BI3" s="405"/>
      <c r="CA3" s="124">
        <f t="array" aca="1" ref="CA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</v>
      </c>
      <c r="CD3" s="51">
        <f t="array" aca="1" ref="CD3" ca="1">IF(ROW()-ROW(Н4кр)+1&gt;ROWS(Е4кр)-COUNTBLANK(Е4кр)," ",INDIRECT(ADDRESS(SMALL((IF(Е4кр&lt;&gt;" ",ROW(Е4кр),ROW()+ROWS(Е4кр))),ROW()-ROW(Н4кр)+1),COLUMN(Е4кр),4)))</f>
        <v>1</v>
      </c>
      <c r="CJ3" s="51">
        <f t="array" aca="1" ref="CJ3" ca="1">IF(ROW()-ROW(Н5кр)+1&gt;ROWS(Е5кр)-COUNTBLANK(Е5кр)," ",INDIRECT(ADDRESS(SMALL((IF(Е5кр&lt;&gt;" ",ROW(Е5кр),ROW()+ROWS(Е5кр))),ROW()-ROW(Н5кр)+1),COLUMN(Е5кр),4)))</f>
        <v>1</v>
      </c>
      <c r="CP3">
        <f t="array" aca="1" ref="CP3" ca="1">IF(ROW()-ROW(Н6кр)+1&gt;ROWS(Е6кр)-COUNTBLANK(Е6кр)," ",INDIRECT(ADDRESS(SMALL((IF(Е6кр&lt;&gt;" ",ROW(Е6кр),ROW()+ROWS(Е6кр))),ROW()-ROW(Н6кр)+1),COLUMN(Е6кр),4)))</f>
        <v>1</v>
      </c>
      <c r="CV3">
        <f t="array" aca="1" ref="CV3" ca="1">IF(ROW()-ROW(Н7кр)+1&gt;ROWS(Е7кр)-COUNTBLANK(Е7кр)," ",INDIRECT(ADDRESS(SMALL((IF(Е7кр&lt;&gt;" ",ROW(Е7кр),ROW()+ROWS(Е7кр))),ROW()-ROW(Н7кр)+1),COLUMN(Е7кр),4)))</f>
        <v>1</v>
      </c>
    </row>
    <row r="4" spans="1:100" ht="14.25" customHeight="1" thickBot="1">
      <c r="A4" s="451"/>
      <c r="B4" s="456" t="s">
        <v>5</v>
      </c>
      <c r="C4" s="460" t="s">
        <v>2</v>
      </c>
      <c r="D4" s="475" t="s">
        <v>84</v>
      </c>
      <c r="E4" s="477" t="s">
        <v>64</v>
      </c>
      <c r="F4" s="479" t="s">
        <v>6</v>
      </c>
      <c r="G4" s="480"/>
      <c r="H4" s="480"/>
      <c r="I4" s="480"/>
      <c r="J4" s="480"/>
      <c r="K4" s="480"/>
      <c r="L4" s="480"/>
      <c r="M4" s="480"/>
      <c r="N4" s="480"/>
      <c r="O4" s="480"/>
      <c r="P4" s="480"/>
      <c r="Q4" s="480"/>
      <c r="R4" s="480"/>
      <c r="S4" s="480"/>
      <c r="T4" s="480"/>
      <c r="U4" s="480"/>
      <c r="V4" s="480"/>
      <c r="W4" s="480"/>
      <c r="X4" s="481"/>
      <c r="Y4" s="482"/>
      <c r="Z4" s="471" t="s">
        <v>7</v>
      </c>
      <c r="AA4" s="473" t="s">
        <v>65</v>
      </c>
      <c r="AB4" s="447" t="s">
        <v>22</v>
      </c>
      <c r="AC4" s="400"/>
      <c r="AD4" s="401" t="s">
        <v>22</v>
      </c>
      <c r="AE4" s="401"/>
      <c r="AF4" s="391">
        <v>1</v>
      </c>
      <c r="AG4" s="392">
        <v>2</v>
      </c>
      <c r="AH4" s="392">
        <v>3</v>
      </c>
      <c r="AI4" s="392">
        <v>4</v>
      </c>
      <c r="AJ4" s="392">
        <v>5</v>
      </c>
      <c r="AK4" s="392">
        <v>6</v>
      </c>
      <c r="AL4" s="392">
        <v>7</v>
      </c>
      <c r="AM4" s="392">
        <v>8</v>
      </c>
      <c r="AN4" s="402" t="s">
        <v>133</v>
      </c>
      <c r="AO4" s="387" t="s">
        <v>134</v>
      </c>
      <c r="AP4" s="403" t="s">
        <v>135</v>
      </c>
      <c r="AQ4" s="403" t="s">
        <v>22</v>
      </c>
      <c r="AR4" s="197"/>
      <c r="AS4" s="12"/>
      <c r="AT4" s="12"/>
      <c r="AU4" s="12"/>
      <c r="AV4" s="12"/>
      <c r="AW4" s="12"/>
      <c r="BA4" s="416"/>
      <c r="BB4" s="417"/>
      <c r="BC4" s="416"/>
      <c r="BD4" s="417"/>
      <c r="BE4" s="416"/>
      <c r="BF4" s="417"/>
      <c r="BI4" s="405"/>
      <c r="BU4" t="s">
        <v>106</v>
      </c>
      <c r="BV4" t="s">
        <v>107</v>
      </c>
      <c r="BW4" t="s">
        <v>107</v>
      </c>
      <c r="BX4" t="s">
        <v>106</v>
      </c>
      <c r="BY4" t="s">
        <v>106</v>
      </c>
      <c r="BZ4" t="s">
        <v>106</v>
      </c>
      <c r="CA4" s="124">
        <f t="array" aca="1" ref="CA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</v>
      </c>
      <c r="CB4" t="s">
        <v>107</v>
      </c>
      <c r="CC4" t="s">
        <v>107</v>
      </c>
      <c r="CD4" s="51">
        <f t="array" aca="1" ref="CD4" ca="1">IF(ROW()-ROW(Н4кр)+1&gt;ROWS(Е4кр)-COUNTBLANK(Е4кр)," ",INDIRECT(ADDRESS(SMALL((IF(Е4кр&lt;&gt;" ",ROW(Е4кр),ROW()+ROWS(Е4кр))),ROW()-ROW(Н4кр)+1),COLUMN(Е4кр),4)))</f>
        <v>2</v>
      </c>
      <c r="CF4" t="s">
        <v>108</v>
      </c>
      <c r="CG4" t="s">
        <v>108</v>
      </c>
      <c r="CH4" t="s">
        <v>108</v>
      </c>
      <c r="CI4" t="s">
        <v>108</v>
      </c>
      <c r="CJ4" s="51">
        <f t="array" aca="1" ref="CJ4" ca="1">IF(ROW()-ROW(Н5кр)+1&gt;ROWS(Е5кр)-COUNTBLANK(Е5кр)," ",INDIRECT(ADDRESS(SMALL((IF(Е5кр&lt;&gt;" ",ROW(Е5кр),ROW()+ROWS(Е5кр))),ROW()-ROW(Н5кр)+1),COLUMN(Е5кр),4)))</f>
        <v>2</v>
      </c>
      <c r="CL4" t="s">
        <v>109</v>
      </c>
      <c r="CM4" t="s">
        <v>109</v>
      </c>
      <c r="CN4" t="s">
        <v>109</v>
      </c>
      <c r="CO4" t="s">
        <v>109</v>
      </c>
      <c r="CP4">
        <f t="array" aca="1" ref="CP4" ca="1">IF(ROW()-ROW(Н6кр)+1&gt;ROWS(Е6кр)-COUNTBLANK(Е6кр)," ",INDIRECT(ADDRESS(SMALL((IF(Е6кр&lt;&gt;" ",ROW(Е6кр),ROW()+ROWS(Е6кр))),ROW()-ROW(Н6кр)+1),COLUMN(Е6кр),4)))</f>
        <v>2</v>
      </c>
      <c r="CR4" s="198" t="s">
        <v>137</v>
      </c>
      <c r="CS4" s="198" t="s">
        <v>137</v>
      </c>
      <c r="CT4" s="198" t="s">
        <v>137</v>
      </c>
      <c r="CU4" s="198" t="s">
        <v>137</v>
      </c>
      <c r="CV4">
        <f t="array" aca="1" ref="CV4" ca="1">IF(ROW()-ROW(Н7кр)+1&gt;ROWS(Е7кр)-COUNTBLANK(Е7кр)," ",INDIRECT(ADDRESS(SMALL((IF(Е7кр&lt;&gt;" ",ROW(Е7кр),ROW()+ROWS(Е7кр))),ROW()-ROW(Н7кр)+1),COLUMN(Е7кр),4)))</f>
        <v>2</v>
      </c>
    </row>
    <row r="5" spans="1:100" ht="15" customHeight="1" thickBot="1">
      <c r="A5" s="451"/>
      <c r="B5" s="457"/>
      <c r="C5" s="461"/>
      <c r="D5" s="476"/>
      <c r="E5" s="478"/>
      <c r="F5" s="454">
        <v>1</v>
      </c>
      <c r="G5" s="484"/>
      <c r="H5" s="454">
        <v>2</v>
      </c>
      <c r="I5" s="455"/>
      <c r="J5" s="452">
        <v>3</v>
      </c>
      <c r="K5" s="453"/>
      <c r="L5" s="454">
        <v>4</v>
      </c>
      <c r="M5" s="455"/>
      <c r="N5" s="452">
        <v>5</v>
      </c>
      <c r="O5" s="453"/>
      <c r="P5" s="454">
        <v>6</v>
      </c>
      <c r="Q5" s="455"/>
      <c r="R5" s="452">
        <v>7</v>
      </c>
      <c r="S5" s="453"/>
      <c r="T5" s="454">
        <v>8</v>
      </c>
      <c r="U5" s="455"/>
      <c r="V5" s="454" t="s">
        <v>74</v>
      </c>
      <c r="W5" s="455"/>
      <c r="X5" s="454" t="s">
        <v>71</v>
      </c>
      <c r="Y5" s="455"/>
      <c r="Z5" s="472"/>
      <c r="AA5" s="474"/>
      <c r="AB5" s="448"/>
      <c r="AC5" s="400"/>
      <c r="AD5" s="401"/>
      <c r="AE5" s="401"/>
      <c r="AF5" s="391"/>
      <c r="AG5" s="392"/>
      <c r="AH5" s="392"/>
      <c r="AI5" s="392"/>
      <c r="AJ5" s="392"/>
      <c r="AK5" s="392"/>
      <c r="AL5" s="392"/>
      <c r="AM5" s="392"/>
      <c r="AN5" s="402"/>
      <c r="AO5" s="387"/>
      <c r="AP5" s="404"/>
      <c r="AQ5" s="404"/>
      <c r="AR5" s="21"/>
      <c r="AS5" s="21"/>
      <c r="AT5" s="21"/>
      <c r="AU5" s="21"/>
      <c r="AV5" s="21"/>
      <c r="AW5" s="21"/>
      <c r="AX5" s="54" t="s">
        <v>77</v>
      </c>
      <c r="AY5" s="56" t="s">
        <v>78</v>
      </c>
      <c r="AZ5" s="122" t="s">
        <v>71</v>
      </c>
      <c r="BA5" s="123"/>
      <c r="BB5" s="123"/>
      <c r="BC5" s="123"/>
      <c r="BD5" s="123"/>
      <c r="BE5" s="123"/>
      <c r="BF5" s="123"/>
      <c r="BG5" s="205"/>
      <c r="BH5" s="205"/>
      <c r="BZ5" t="s">
        <v>110</v>
      </c>
      <c r="CA5" s="124">
        <f t="array" aca="1" ref="CA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" t="s">
        <v>112</v>
      </c>
      <c r="CC5" s="60" t="s">
        <v>108</v>
      </c>
      <c r="CD5" s="51">
        <f t="array" aca="1" ref="CD5" ca="1">IF(ROW()-ROW(Н4кр)+1&gt;ROWS(Е4кр)-COUNTBLANK(Е4кр)," ",INDIRECT(ADDRESS(SMALL((IF(Е4кр&lt;&gt;" ",ROW(Е4кр),ROW()+ROWS(Е4кр))),ROW()-ROW(Н4кр)+1),COLUMN(Е4кр),4)))</f>
        <v>0</v>
      </c>
      <c r="CI5" t="s">
        <v>114</v>
      </c>
      <c r="CJ5" s="51">
        <f t="array" aca="1" ref="CJ5" ca="1">IF(ROW()-ROW(Н5кр)+1&gt;ROWS(Е5кр)-COUNTBLANK(Е5кр)," ",INDIRECT(ADDRESS(SMALL((IF(Е5кр&lt;&gt;" ",ROW(Е5кр),ROW()+ROWS(Е5кр))),ROW()-ROW(Н5кр)+1),COLUMN(Е5кр),4)))</f>
        <v>0</v>
      </c>
      <c r="CO5" t="s">
        <v>116</v>
      </c>
      <c r="CP5">
        <f t="array" aca="1" ref="CP5" ca="1">IF(ROW()-ROW(Н6кр)+1&gt;ROWS(Е6кр)-COUNTBLANK(Е6кр)," ",INDIRECT(ADDRESS(SMALL((IF(Е6кр&lt;&gt;" ",ROW(Е6кр),ROW()+ROWS(Е6кр))),ROW()-ROW(Н6кр)+1),COLUMN(Е6кр),4)))</f>
        <v>0</v>
      </c>
      <c r="CU5" s="198" t="s">
        <v>138</v>
      </c>
      <c r="CV5">
        <f t="array" aca="1" ref="CV5" ca="1">IF(ROW()-ROW(Н7кр)+1&gt;ROWS(Е7кр)-COUNTBLANK(Е7кр)," ",INDIRECT(ADDRESS(SMALL((IF(Е7кр&lt;&gt;" ",ROW(Е7кр),ROW()+ROWS(Е7кр))),ROW()-ROW(Н7кр)+1),COLUMN(Е7кр),4)))</f>
        <v>0</v>
      </c>
    </row>
    <row r="6" spans="1:100" ht="12" customHeight="1" thickTop="1">
      <c r="A6" s="449"/>
      <c r="B6" s="463">
        <v>1</v>
      </c>
      <c r="C6" s="425" t="str">
        <f>(VLOOKUP(B6,пр.взв!$B$7:$H$76,2,0))</f>
        <v>ГАВРИЛОВА Полина Сергеевна</v>
      </c>
      <c r="D6" s="427" t="str">
        <f>(VLOOKUP(B6,пр.взв!$B$7:$H$76,3,0))</f>
        <v>23.06.96, КМС</v>
      </c>
      <c r="E6" s="429" t="str">
        <f>(VLOOKUP(B6,пр.взв!$B$7:$H$76,5,0))</f>
        <v>Свердловская, Серов</v>
      </c>
      <c r="F6" s="445">
        <v>2</v>
      </c>
      <c r="G6" s="48">
        <v>4</v>
      </c>
      <c r="H6" s="438"/>
      <c r="I6" s="48"/>
      <c r="J6" s="444" t="str">
        <f t="shared" ref="J6:J70" si="0">IF(H6="Х","Х",IF(I6+G6&lt;6," ",IF(I6+G6&gt;=6,IF(AA6&gt;=6,"Х",IF(AA6&lt;6," "," ")))))</f>
        <v xml:space="preserve"> </v>
      </c>
      <c r="K6" s="48"/>
      <c r="L6" s="438" t="str">
        <f t="shared" ref="L6" si="1">IF(J6="Х","Х",IF(K6&lt;2.5," ",IF(K6&gt;=2.5,IF(G6+I6+K6&gt;=6,"Х",IF(AA6&lt;6," "," ")))))</f>
        <v xml:space="preserve"> </v>
      </c>
      <c r="M6" s="48"/>
      <c r="N6" s="438" t="str">
        <f>IF(L6="Х","Х",IF(M6&lt;2.5," ",IF(M6&gt;=2.5,IF(G6+I6+K6+M6&gt;=6,"Х",IF(AA6&lt;6," "," ")))))</f>
        <v xml:space="preserve"> </v>
      </c>
      <c r="O6" s="48"/>
      <c r="P6" s="438" t="str">
        <f>IF(N6="Х","Х",IF(O6&lt;2.5," ",IF(O6&gt;=2.5,IF(G6+I6+K6+M6+O6&gt;=6,"Х",IF(AA6&lt;6," "," ")))))</f>
        <v xml:space="preserve"> </v>
      </c>
      <c r="Q6" s="48"/>
      <c r="R6" s="438" t="str">
        <f>IF(P6="Х","Х",IF(Q6&lt;2.5," ",IF(Q6&gt;=2.5,IF(G6+I6+K6+M6+O6+Q6&gt;=6,"Х",IF(AA6&lt;6," "," ")))))</f>
        <v xml:space="preserve"> </v>
      </c>
      <c r="S6" s="48"/>
      <c r="T6" s="444" t="s">
        <v>181</v>
      </c>
      <c r="U6" s="45"/>
      <c r="V6" s="438">
        <f>IF(T6="А1",$AX$7,IF(T6="Б2",$AX$6,IF(T6="Б1",$AY$7,IF(T6="А2",$AY$6,IF(T6="Х","Х",IF(T6&lt;6," "," "))))))</f>
        <v>4</v>
      </c>
      <c r="W6" s="48">
        <v>4</v>
      </c>
      <c r="X6" s="438" t="str">
        <f>IF(T6="Х","Х",IF(ISBLANK(W6),"",IF(W6&gt;2.5," ",IF(B6=AZ$6,AZ$7,AZ$6))))</f>
        <v xml:space="preserve"> </v>
      </c>
      <c r="Y6" s="48"/>
      <c r="Z6" s="466" t="b">
        <f>IF(H6="Х",F5,IF(J6="Х",H5,IF(L6="Х",J5,IF(N6="Х",L5,IF(P6="Х",N5,IF(R6="Х",P5,IF(T6="Х",R5,IF(V6="Х",T5))))))))</f>
        <v>0</v>
      </c>
      <c r="AA6" s="483">
        <f>SUM(G6+I6+K6+M6+O6+Q6+S6+U6+W6+Y6)</f>
        <v>8</v>
      </c>
      <c r="AB6" s="431">
        <v>3</v>
      </c>
      <c r="AC6" s="386">
        <f>AB6</f>
        <v>3</v>
      </c>
      <c r="AD6" s="387" t="str">
        <f>COUNTIF(AE$6:AE$119,"&gt;"&amp;AE$6:AE$119)+1&amp;REPT("-"&amp;COUNTIF(AE$6:AE$119,"&gt;="&amp;AE$6:AE$119),COUNTIF(AE$6:AE$119,AE6)&gt;1)</f>
        <v>3-4</v>
      </c>
      <c r="AE6" s="388">
        <f>(AP6*100)+(AN6*10)-AA6</f>
        <v>962</v>
      </c>
      <c r="AF6" s="390" t="str">
        <f>IF(OR(F6="Х",F6="св")," ",IF(AND(G6&gt;=0,G6&lt;3),"1"," "))</f>
        <v xml:space="preserve"> </v>
      </c>
      <c r="AG6" s="390" t="str">
        <f>IF(OR(H6="Х",H6="св")," ",IF(AND(I6&gt;=0,I6&lt;3),"1"," "))</f>
        <v>1</v>
      </c>
      <c r="AH6" s="390" t="str">
        <f>IF(OR(J6="Х",J6="св")," ",IF(AND(K6&gt;=0,K6&lt;3),"1"," "))</f>
        <v>1</v>
      </c>
      <c r="AI6" s="390" t="str">
        <f>IF(OR(L6="Х",L6="св")," ",IF(AND(M6&gt;=0,M6&lt;3),"1"," "))</f>
        <v>1</v>
      </c>
      <c r="AJ6" s="390" t="str">
        <f>IF(OR(N6="Х",N6="св")," ",IF(AND(O6&gt;=0,O6&lt;3),"1"," "))</f>
        <v>1</v>
      </c>
      <c r="AK6" s="390" t="str">
        <f>IF(OR(P6="Х",P6="св")," ",IF(AND(Q6&gt;=0,Q6&lt;3),"1"," "))</f>
        <v>1</v>
      </c>
      <c r="AL6" s="390" t="str">
        <f>IF(OR(R6="Х",R6="св")," ",IF(AND(S6&gt;=0,S6&lt;3),"1"," "))</f>
        <v>1</v>
      </c>
      <c r="AM6" s="390" t="str">
        <f>IF(OR(T6="Х",T6="св")," ",IF(AND(U6&gt;=0,U6&lt;3),"1"," "))</f>
        <v>1</v>
      </c>
      <c r="AN6" s="391">
        <f>COUNTIF(AF6:AM7,1)</f>
        <v>7</v>
      </c>
      <c r="AO6" s="393">
        <f>AE6-AA6</f>
        <v>954</v>
      </c>
      <c r="AP6" s="394">
        <f t="shared" ref="AP6" si="2">IF(F6=0,0,IF(F6="Х",1,IF(H6="Х",2,IF(J6="Х",3,IF(L6="Х",4,IF(N6="Х",5,IF(P6="Х",6,IF(R6="Х",7,IF(T6="Х",8,IF(W6&gt;2.5,9,IF(Y6&gt;2.5,10,IF(Y6&gt;=0,11,IF(Y6=" ",0,)))))))))))))</f>
        <v>9</v>
      </c>
      <c r="AQ6" s="387" t="str">
        <f>COUNTIF(AE$6:AE$119,"&gt;"&amp;AE$6:AE$119)+1&amp;REPT("-"&amp;COUNTIF(AE$6:AE$119,"&gt;="&amp;AE$6:AE$119),COUNTIF(AE$6:AE$119,AE6)&gt;1)</f>
        <v>3-4</v>
      </c>
      <c r="AR6" s="399"/>
      <c r="AS6" s="183"/>
      <c r="AT6" s="183"/>
      <c r="AU6" s="183"/>
      <c r="AV6" s="386" t="str">
        <f t="shared" ref="AV6" si="3">IF(V6="Х","Х",IF(W6&lt;3,B6,"Х"))</f>
        <v>Х</v>
      </c>
      <c r="AW6" s="19"/>
      <c r="AX6" s="53">
        <f>INDEX(B6:T119,MATCH("А1",T6:T119,0),MATCH("№ п/ж",B4:C4,0))</f>
        <v>2</v>
      </c>
      <c r="AY6" s="53">
        <f>INDEX(B6:T119,MATCH("Б1",T6:T119,0),MATCH("№ п/ж",B4:C4,0))</f>
        <v>4</v>
      </c>
      <c r="AZ6" s="52">
        <f>IF(ISERROR(BA6),AX7,AX6)</f>
        <v>2</v>
      </c>
      <c r="BA6" s="204">
        <f>INDEX(B$6:T$119,MATCH(AX6,AV$6:AV$119,0),MATCH("№ п/ж",B$4:C$4,0))</f>
        <v>2</v>
      </c>
      <c r="BB6" s="204">
        <f>INDEX(B$6:T$119,MATCH(AY6,AV$6:AV$119,0),MATCH("№ п/ж",B$4:C$4,0))</f>
        <v>4</v>
      </c>
      <c r="BC6" s="49"/>
      <c r="BD6" s="49"/>
      <c r="BE6" s="49"/>
      <c r="BF6" s="49"/>
      <c r="BG6" s="206"/>
      <c r="BH6" s="206"/>
      <c r="BI6">
        <v>7</v>
      </c>
      <c r="BK6">
        <v>11</v>
      </c>
      <c r="BU6" s="377">
        <f>IF(J6="х"," ",B6)</f>
        <v>1</v>
      </c>
      <c r="BV6" s="377">
        <f>IF(L6="х"," ",B6)</f>
        <v>1</v>
      </c>
      <c r="BW6" s="377" t="str">
        <f>IF(BV6=" "," ",L6)</f>
        <v xml:space="preserve"> </v>
      </c>
      <c r="BX6" s="377" t="str">
        <f>IF(BU6=" "," ",J6)</f>
        <v xml:space="preserve"> </v>
      </c>
      <c r="BY6" s="61">
        <f>IF(BU6&lt;BX6,BU6,0)</f>
        <v>1</v>
      </c>
      <c r="BZ6" s="61">
        <f>IF(BY6=0," ",BY6)</f>
        <v>1</v>
      </c>
      <c r="CA6" s="124">
        <f t="array" aca="1" ref="CA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">
        <f>IF(BV6&lt;BW6,BV6,0)</f>
        <v>1</v>
      </c>
      <c r="CC6" s="125">
        <f>IF(CB6=0," ",CB6)</f>
        <v>1</v>
      </c>
      <c r="CD6" s="51">
        <f t="array" aca="1" ref="CD6" ca="1">IF(ROW()-ROW(Н4кр)+1&gt;ROWS(Е4кр)-COUNTBLANK(Е4кр)," ",INDIRECT(ADDRESS(SMALL((IF(Е4кр&lt;&gt;" ",ROW(Е4кр),ROW()+ROWS(Е4кр))),ROW()-ROW(Н4кр)+1),COLUMN(Е4кр),4)))</f>
        <v>0</v>
      </c>
      <c r="CF6" s="377">
        <f>IF(N6="х"," ",B6)</f>
        <v>1</v>
      </c>
      <c r="CG6" s="377" t="str">
        <f>IF(CF6=" "," ",N6)</f>
        <v xml:space="preserve"> </v>
      </c>
      <c r="CH6" s="125">
        <f>IF(CF6&lt;CG6,CF6,0)</f>
        <v>1</v>
      </c>
      <c r="CI6">
        <f>IF(CH6=0," ",CH6)</f>
        <v>1</v>
      </c>
      <c r="CJ6" s="51">
        <f t="array" aca="1" ref="CJ6" ca="1">IF(ROW()-ROW(Н5кр)+1&gt;ROWS(Е5кр)-COUNTBLANK(Е5кр)," ",INDIRECT(ADDRESS(SMALL((IF(Е5кр&lt;&gt;" ",ROW(Е5кр),ROW()+ROWS(Е5кр))),ROW()-ROW(Н5кр)+1),COLUMN(Е5кр),4)))</f>
        <v>0</v>
      </c>
      <c r="CL6" s="377">
        <f>IF(P6="х"," ",B6)</f>
        <v>1</v>
      </c>
      <c r="CM6" s="377" t="str">
        <f>IF(CL6=" "," ",P6)</f>
        <v xml:space="preserve"> </v>
      </c>
      <c r="CN6">
        <f>IF(CL6&lt;CM6,CL6,0)</f>
        <v>1</v>
      </c>
      <c r="CO6">
        <f>IF(CN6=0," ",CN6)</f>
        <v>1</v>
      </c>
      <c r="CP6">
        <f t="array" aca="1" ref="CP6" ca="1">IF(ROW()-ROW(Н6кр)+1&gt;ROWS(Е6кр)-COUNTBLANK(Е6кр)," ",INDIRECT(ADDRESS(SMALL((IF(Е6кр&lt;&gt;" ",ROW(Е6кр),ROW()+ROWS(Е6кр))),ROW()-ROW(Н6кр)+1),COLUMN(Е6кр),4)))</f>
        <v>0</v>
      </c>
      <c r="CR6" s="377">
        <f>IF(R6="х"," ",B6)</f>
        <v>1</v>
      </c>
      <c r="CS6" s="377" t="str">
        <f>IF(CR6=" "," ",R6)</f>
        <v xml:space="preserve"> </v>
      </c>
      <c r="CT6">
        <f>IF(CR6&lt;CS6,CR6,0)</f>
        <v>1</v>
      </c>
      <c r="CU6">
        <f>IF(CT6=0," ",CT6)</f>
        <v>1</v>
      </c>
      <c r="CV6">
        <f t="array" aca="1" ref="CV6" ca="1">IF(ROW()-ROW(Н7кр)+1&gt;ROWS(Е7кр)-COUNTBLANK(Е7кр)," ",INDIRECT(ADDRESS(SMALL((IF(Е7кр&lt;&gt;" ",ROW(Е7кр),ROW()+ROWS(Е7кр))),ROW()-ROW(Н7кр)+1),COLUMN(Е7кр),4)))</f>
        <v>0</v>
      </c>
    </row>
    <row r="7" spans="1:100" ht="12" customHeight="1" thickBot="1">
      <c r="A7" s="450"/>
      <c r="B7" s="462"/>
      <c r="C7" s="436"/>
      <c r="D7" s="437"/>
      <c r="E7" s="458"/>
      <c r="F7" s="441"/>
      <c r="G7" s="43"/>
      <c r="H7" s="444"/>
      <c r="I7" s="43"/>
      <c r="J7" s="444"/>
      <c r="K7" s="43"/>
      <c r="L7" s="444"/>
      <c r="M7" s="43"/>
      <c r="N7" s="444"/>
      <c r="O7" s="43"/>
      <c r="P7" s="444"/>
      <c r="Q7" s="43"/>
      <c r="R7" s="444"/>
      <c r="S7" s="43"/>
      <c r="T7" s="444"/>
      <c r="U7" s="128"/>
      <c r="V7" s="444"/>
      <c r="W7" s="43" t="s">
        <v>186</v>
      </c>
      <c r="X7" s="444"/>
      <c r="Y7" s="43"/>
      <c r="Z7" s="421"/>
      <c r="AA7" s="420"/>
      <c r="AB7" s="432"/>
      <c r="AC7" s="386"/>
      <c r="AD7" s="387"/>
      <c r="AE7" s="389"/>
      <c r="AF7" s="390"/>
      <c r="AG7" s="390"/>
      <c r="AH7" s="390"/>
      <c r="AI7" s="390"/>
      <c r="AJ7" s="390"/>
      <c r="AK7" s="390"/>
      <c r="AL7" s="390"/>
      <c r="AM7" s="390"/>
      <c r="AN7" s="392"/>
      <c r="AO7" s="387"/>
      <c r="AP7" s="394"/>
      <c r="AQ7" s="387"/>
      <c r="AR7" s="399"/>
      <c r="AS7" s="183"/>
      <c r="AT7" s="183"/>
      <c r="AU7" s="183"/>
      <c r="AV7" s="386"/>
      <c r="AW7" s="19"/>
      <c r="AX7" s="35">
        <f>INDEX(B6:T119,MATCH("Б2",T6:T119,0),MATCH("№ п/ж",B4:C4,0))</f>
        <v>3</v>
      </c>
      <c r="AY7" s="35">
        <f>INDEX(B6:T119,MATCH("А2",T6:T119,0),MATCH("№ п/ж",B4:C4,0))</f>
        <v>1</v>
      </c>
      <c r="AZ7" s="52">
        <f>IF(ISERROR(BB6),AY7,AY6)</f>
        <v>4</v>
      </c>
      <c r="BA7" s="204" t="e">
        <f>INDEX(B6:T119,MATCH(AX7,AV6:AV119,0),MATCH("№ п/ж",B4:C4,0))</f>
        <v>#N/A</v>
      </c>
      <c r="BB7" s="204" t="e">
        <f>INDEX(B$6:T$119,MATCH(AY7,AV$6:AV$119,0),MATCH("№ п/ж",B$4:C$4,0))</f>
        <v>#N/A</v>
      </c>
      <c r="BC7" s="49"/>
      <c r="BD7" s="49"/>
      <c r="BE7" s="49"/>
      <c r="BF7" s="49"/>
      <c r="BG7" s="206"/>
      <c r="BH7" s="206"/>
      <c r="BU7" s="377"/>
      <c r="BV7" s="377"/>
      <c r="BW7" s="377"/>
      <c r="BX7" s="377"/>
      <c r="BY7" s="61" t="str">
        <f>IF(BY6&gt;=1,BX6,0)</f>
        <v xml:space="preserve"> </v>
      </c>
      <c r="BZ7" s="61" t="str">
        <f t="shared" ref="BZ7:BZ19" si="4">IF(BY7=0," ",BY7)</f>
        <v xml:space="preserve"> </v>
      </c>
      <c r="CA7" s="124">
        <f t="array" aca="1" ref="CA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</v>
      </c>
      <c r="CB7" t="str">
        <f>IF(CB6&gt;=1,BW6,0)</f>
        <v xml:space="preserve"> </v>
      </c>
      <c r="CC7" s="125" t="str">
        <f t="shared" ref="CC7:CC72" si="5">IF(CB7=0," ",CB7)</f>
        <v xml:space="preserve"> </v>
      </c>
      <c r="CD7" s="51">
        <f t="array" aca="1" ref="CD7" ca="1">IF(ROW()-ROW(Н4кр)+1&gt;ROWS(Е4кр)-COUNTBLANK(Е4кр)," ",INDIRECT(ADDRESS(SMALL((IF(Е4кр&lt;&gt;" ",ROW(Е4кр),ROW()+ROWS(Е4кр))),ROW()-ROW(Н4кр)+1),COLUMN(Е4кр),4)))</f>
        <v>3</v>
      </c>
      <c r="CF7" s="377"/>
      <c r="CG7" s="377"/>
      <c r="CH7" s="125" t="str">
        <f>IF(CH6&gt;=1,CG6,0)</f>
        <v xml:space="preserve"> </v>
      </c>
      <c r="CI7" t="str">
        <f>IF(CH7=0," ",CH7)</f>
        <v xml:space="preserve"> </v>
      </c>
      <c r="CJ7" s="51">
        <f t="array" aca="1" ref="CJ7" ca="1">IF(ROW()-ROW(Н5кр)+1&gt;ROWS(Е5кр)-COUNTBLANK(Е5кр)," ",INDIRECT(ADDRESS(SMALL((IF(Е5кр&lt;&gt;" ",ROW(Е5кр),ROW()+ROWS(Е5кр))),ROW()-ROW(Н5кр)+1),COLUMN(Е5кр),4)))</f>
        <v>3</v>
      </c>
      <c r="CL7" s="377"/>
      <c r="CM7" s="377"/>
      <c r="CN7" t="str">
        <f>IF(CN6&gt;=1,CM6,0)</f>
        <v xml:space="preserve"> </v>
      </c>
      <c r="CO7" t="str">
        <f t="shared" ref="CO7:CO72" si="6">IF(CN7=0," ",CN7)</f>
        <v xml:space="preserve"> </v>
      </c>
      <c r="CP7">
        <f t="array" aca="1" ref="CP7" ca="1">IF(ROW()-ROW(Н6кр)+1&gt;ROWS(Е6кр)-COUNTBLANK(Е6кр)," ",INDIRECT(ADDRESS(SMALL((IF(Е6кр&lt;&gt;" ",ROW(Е6кр),ROW()+ROWS(Е6кр))),ROW()-ROW(Н6кр)+1),COLUMN(Е6кр),4)))</f>
        <v>3</v>
      </c>
      <c r="CR7" s="377"/>
      <c r="CS7" s="377"/>
      <c r="CT7" t="str">
        <f>IF(CT6&gt;=1,CS6,0)</f>
        <v xml:space="preserve"> </v>
      </c>
      <c r="CU7" t="str">
        <f t="shared" ref="CU7:CU72" si="7">IF(CT7=0," ",CT7)</f>
        <v xml:space="preserve"> </v>
      </c>
      <c r="CV7">
        <f t="array" aca="1" ref="CV7" ca="1">IF(ROW()-ROW(Н7кр)+1&gt;ROWS(Е7кр)-COUNTBLANK(Е7кр)," ",INDIRECT(ADDRESS(SMALL((IF(Е7кр&lt;&gt;" ",ROW(Е7кр),ROW()+ROWS(Е7кр))),ROW()-ROW(Н7кр)+1),COLUMN(Е7кр),4)))</f>
        <v>3</v>
      </c>
    </row>
    <row r="8" spans="1:100" ht="12" customHeight="1" thickTop="1" thickBot="1">
      <c r="A8" s="449"/>
      <c r="B8" s="435">
        <v>2</v>
      </c>
      <c r="C8" s="425" t="str">
        <f>(VLOOKUP(B8,пр.взв!$B$7:$H$76,2,0))</f>
        <v>ШКЕТ Ольга Владимировна</v>
      </c>
      <c r="D8" s="427" t="str">
        <f>(VLOOKUP(B8,пр.взв!$B$7:$H$76,3,0))</f>
        <v>11.05.96, МС</v>
      </c>
      <c r="E8" s="429" t="str">
        <f>(VLOOKUP(B8,пр.взв!$B$7:$H$76,5,0))</f>
        <v>Курганская, Курган, СШОР№1</v>
      </c>
      <c r="F8" s="443">
        <v>1</v>
      </c>
      <c r="G8" s="42">
        <v>0</v>
      </c>
      <c r="H8" s="440"/>
      <c r="I8" s="42"/>
      <c r="J8" s="440" t="str">
        <f t="shared" si="0"/>
        <v xml:space="preserve"> </v>
      </c>
      <c r="K8" s="42"/>
      <c r="L8" s="440" t="str">
        <f t="shared" ref="L8" si="8">IF(J8="Х","Х",IF(K8&lt;2.5," ",IF(K8&gt;=2.5,IF(G8+I8+K8&gt;=6,"Х",IF(AA8&lt;6," "," ")))))</f>
        <v xml:space="preserve"> </v>
      </c>
      <c r="M8" s="42"/>
      <c r="N8" s="440" t="str">
        <f>IF(L8="Х","Х",IF(M8&lt;2.5," ",IF(M8&gt;=2.5,IF(G8+I8+K8+M8&gt;=6,"Х",IF(AA8&lt;6," "," ")))))</f>
        <v xml:space="preserve"> </v>
      </c>
      <c r="O8" s="42"/>
      <c r="P8" s="440" t="str">
        <f>IF(N8="Х","Х",IF(O8&lt;2.5," ",IF(O8&gt;=2.5,IF(G8+I8+K8+M8+O8&gt;=6,"Х",IF(AA8&lt;6," "," ")))))</f>
        <v xml:space="preserve"> </v>
      </c>
      <c r="Q8" s="42"/>
      <c r="R8" s="440" t="str">
        <f>IF(P8="Х","Х",IF(Q8&lt;2.5," ",IF(Q8&gt;=2.5,IF(G8+I8+K8+M8+O8+Q8&gt;=6,"Х",IF(AA8&lt;6," "," ")))))</f>
        <v xml:space="preserve"> </v>
      </c>
      <c r="S8" s="42"/>
      <c r="T8" s="440" t="s">
        <v>182</v>
      </c>
      <c r="U8" s="46"/>
      <c r="V8" s="440">
        <f>IF(T8="А1",$AX$7,IF(T8="Б2",$AX$6,IF(T8="Б1",$AY$7,IF(T8="А2",$AY$6,IF(T8="Х","Х",IF(T8&lt;6," "," "))))))</f>
        <v>3</v>
      </c>
      <c r="W8" s="42">
        <v>0</v>
      </c>
      <c r="X8" s="440">
        <f>IF(T8="Х","Х",IF(ISBLANK(W8),"",IF(W8&gt;2.5," ",IF(B8=AZ$6,AZ$7,AZ$6))))</f>
        <v>4</v>
      </c>
      <c r="Y8" s="42">
        <v>2</v>
      </c>
      <c r="Z8" s="459" t="b">
        <f>IF(H8="Х",F5,IF(J8="Х",H5,IF(L8="Х",J5,IF(N8="Х",L5,IF(P8="Х",N5,IF(R8="Х",P5,IF(T8="Х",R5,IF(V8="Х",T5))))))))</f>
        <v>0</v>
      </c>
      <c r="AA8" s="418">
        <f>SUM(G8+I8+K8+M8+O8+Q8+S8+U8+W8+Y8)</f>
        <v>2</v>
      </c>
      <c r="AB8" s="431">
        <f t="shared" ref="AB8:AB26" si="9">AD8+0</f>
        <v>1</v>
      </c>
      <c r="AC8" s="396">
        <f>AB8</f>
        <v>1</v>
      </c>
      <c r="AD8" s="387" t="str">
        <f>COUNTIF(AE$6:AE$119,"&gt;"&amp;AE$6:AE$119)+1&amp;REPT("-"&amp;COUNTIF(AE$6:AE$119,"&gt;="&amp;AE$6:AE$119),COUNTIF(AE$6:AE$119,AE8)&gt;1)</f>
        <v>1</v>
      </c>
      <c r="AE8" s="388">
        <f>(AP8*100)+(AN8*10)-AA8</f>
        <v>1178</v>
      </c>
      <c r="AF8" s="397" t="str">
        <f>IF(OR(F8="Х",F8="св")," ",IF(AND(G8&gt;=0,G8&lt;3),"1"," "))</f>
        <v>1</v>
      </c>
      <c r="AG8" s="390" t="str">
        <f>IF(OR(H8="Х",H8="св")," ",IF(AND(I8&gt;=0,I8&lt;3),"1"," "))</f>
        <v>1</v>
      </c>
      <c r="AH8" s="390" t="str">
        <f>IF(OR(J8="Х",J8="св")," ",IF(AND(K8&gt;=0,K8&lt;3),"1"," "))</f>
        <v>1</v>
      </c>
      <c r="AI8" s="390" t="str">
        <f>IF(OR(L8="Х",L8="св")," ",IF(AND(M8&gt;=0,M8&lt;3),"1"," "))</f>
        <v>1</v>
      </c>
      <c r="AJ8" s="390" t="str">
        <f>IF(OR(N8="Х",N8="св")," ",IF(AND(O8&gt;=0,O8&lt;3),"1"," "))</f>
        <v>1</v>
      </c>
      <c r="AK8" s="390" t="str">
        <f>IF(OR(P8="Х",P8="св")," ",IF(AND(Q8&gt;=0,Q8&lt;3),"1"," "))</f>
        <v>1</v>
      </c>
      <c r="AL8" s="390" t="str">
        <f>IF(OR(R8="Х",R8="св")," ",IF(AND(S8&gt;=0,S8&lt;3),"1"," "))</f>
        <v>1</v>
      </c>
      <c r="AM8" s="390" t="str">
        <f>IF(OR(T8="Х",T8="св")," ",IF(AND(U8&gt;=0,U8&lt;3),"1"," "))</f>
        <v>1</v>
      </c>
      <c r="AN8" s="391">
        <f>COUNTIF(AF8:AM9,1)</f>
        <v>8</v>
      </c>
      <c r="AO8" s="393">
        <f>AE8-AA8</f>
        <v>1176</v>
      </c>
      <c r="AP8" s="394">
        <f t="shared" ref="AP8:AP72" si="10">IF(F8=0,0,IF(F8="Х",1,IF(H8="Х",2,IF(J8="Х",3,IF(L8="Х",4,IF(N8="Х",5,IF(P8="Х",6,IF(R8="Х",7,IF(T8="Х",8,IF(W8&gt;2.5,9,IF(Y8&gt;2.5,10,IF(Y8&gt;=0,11,IF(Y8=" ",0,)))))))))))))</f>
        <v>11</v>
      </c>
      <c r="AQ8" s="387" t="str">
        <f>COUNTIF(AE$6:AE$119,"&gt;"&amp;AE$6:AE$119)+1&amp;REPT("-"&amp;COUNTIF(AE$6:AE$119,"&gt;="&amp;AE$6:AE$119),COUNTIF(AE$6:AE$119,AE8)&gt;1)</f>
        <v>1</v>
      </c>
      <c r="AR8" s="399">
        <f>IF(AR4=1,1000,0)</f>
        <v>0</v>
      </c>
      <c r="AS8" s="183"/>
      <c r="AT8" s="183"/>
      <c r="AU8" s="183"/>
      <c r="AV8" s="386">
        <f t="shared" ref="AV8" si="11">IF(V8="Х","Х",IF(W8&lt;3,B8,"Х"))</f>
        <v>2</v>
      </c>
      <c r="AW8" s="19"/>
      <c r="AX8" s="19"/>
      <c r="AY8" s="19"/>
      <c r="AZ8" s="19"/>
      <c r="BA8" s="57"/>
      <c r="BB8" s="57"/>
      <c r="BG8" s="206"/>
      <c r="BH8" s="206"/>
      <c r="BU8" s="377">
        <f>IF(J8="х"," ",B8)</f>
        <v>2</v>
      </c>
      <c r="BV8" s="377">
        <f>IF(L8="х"," ",B8)</f>
        <v>2</v>
      </c>
      <c r="BW8" s="377" t="str">
        <f>IF(BV8=" "," ",L8)</f>
        <v xml:space="preserve"> </v>
      </c>
      <c r="BX8" s="377" t="str">
        <f>IF(BU8=" "," ",J8)</f>
        <v xml:space="preserve"> </v>
      </c>
      <c r="BY8" s="61">
        <f>IF(BU8&lt;BX8,BU8,0)</f>
        <v>2</v>
      </c>
      <c r="BZ8" s="61">
        <f t="shared" si="4"/>
        <v>2</v>
      </c>
      <c r="CA8" s="124">
        <f t="array" aca="1" ref="CA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</v>
      </c>
      <c r="CB8">
        <f>IF(BV8&lt;BW8,BV8,0)</f>
        <v>2</v>
      </c>
      <c r="CC8" s="125">
        <f t="shared" si="5"/>
        <v>2</v>
      </c>
      <c r="CD8" s="51">
        <f t="array" aca="1" ref="CD8" ca="1">IF(ROW()-ROW(Н4кр)+1&gt;ROWS(Е4кр)-COUNTBLANK(Е4кр)," ",INDIRECT(ADDRESS(SMALL((IF(Е4кр&lt;&gt;" ",ROW(Е4кр),ROW()+ROWS(Е4кр))),ROW()-ROW(Н4кр)+1),COLUMN(Е4кр),4)))</f>
        <v>4</v>
      </c>
      <c r="CF8" s="377">
        <f>IF(N8="х"," ",B8)</f>
        <v>2</v>
      </c>
      <c r="CG8" s="377" t="str">
        <f>IF(CF8=" "," ",N8)</f>
        <v xml:space="preserve"> </v>
      </c>
      <c r="CH8" s="125">
        <f>IF(CF8&lt;CG8,CF8,0)</f>
        <v>2</v>
      </c>
      <c r="CI8">
        <f t="shared" ref="CI8:CI73" si="12">IF(CH8=0," ",CH8)</f>
        <v>2</v>
      </c>
      <c r="CJ8" s="51">
        <f t="array" aca="1" ref="CJ8" ca="1">IF(ROW()-ROW(Н5кр)+1&gt;ROWS(Е5кр)-COUNTBLANK(Е5кр)," ",INDIRECT(ADDRESS(SMALL((IF(Е5кр&lt;&gt;" ",ROW(Е5кр),ROW()+ROWS(Е5кр))),ROW()-ROW(Н5кр)+1),COLUMN(Е5кр),4)))</f>
        <v>4</v>
      </c>
      <c r="CL8" s="377">
        <f>IF(P8="х"," ",B8)</f>
        <v>2</v>
      </c>
      <c r="CM8" s="377" t="str">
        <f>IF(CL8=" "," ",P8)</f>
        <v xml:space="preserve"> </v>
      </c>
      <c r="CN8">
        <f>IF(CL8&lt;CM8,CL8,0)</f>
        <v>2</v>
      </c>
      <c r="CO8">
        <f t="shared" si="6"/>
        <v>2</v>
      </c>
      <c r="CP8">
        <f t="array" aca="1" ref="CP8" ca="1">IF(ROW()-ROW(Н6кр)+1&gt;ROWS(Е6кр)-COUNTBLANK(Е6кр)," ",INDIRECT(ADDRESS(SMALL((IF(Е6кр&lt;&gt;" ",ROW(Е6кр),ROW()+ROWS(Е6кр))),ROW()-ROW(Н6кр)+1),COLUMN(Е6кр),4)))</f>
        <v>4</v>
      </c>
      <c r="CR8" s="377">
        <f t="shared" ref="CR8" si="13">IF(R8="х"," ",B8)</f>
        <v>2</v>
      </c>
      <c r="CS8" s="377" t="str">
        <f t="shared" ref="CS8" si="14">IF(CR8=" "," ",R8)</f>
        <v xml:space="preserve"> </v>
      </c>
      <c r="CT8">
        <f>IF(CR8&lt;CS8,CR8,0)</f>
        <v>2</v>
      </c>
      <c r="CU8">
        <f t="shared" si="7"/>
        <v>2</v>
      </c>
      <c r="CV8">
        <f t="array" aca="1" ref="CV8" ca="1">IF(ROW()-ROW(Н7кр)+1&gt;ROWS(Е7кр)-COUNTBLANK(Е7кр)," ",INDIRECT(ADDRESS(SMALL((IF(Е7кр&lt;&gt;" ",ROW(Е7кр),ROW()+ROWS(Е7кр))),ROW()-ROW(Н7кр)+1),COLUMN(Е7кр),4)))</f>
        <v>4</v>
      </c>
    </row>
    <row r="9" spans="1:100" ht="12" customHeight="1" thickBot="1">
      <c r="A9" s="450"/>
      <c r="B9" s="462"/>
      <c r="C9" s="436"/>
      <c r="D9" s="437"/>
      <c r="E9" s="458"/>
      <c r="F9" s="441"/>
      <c r="G9" s="43" t="s">
        <v>179</v>
      </c>
      <c r="H9" s="444"/>
      <c r="I9" s="43"/>
      <c r="J9" s="444"/>
      <c r="K9" s="43"/>
      <c r="L9" s="444"/>
      <c r="M9" s="43"/>
      <c r="N9" s="444"/>
      <c r="O9" s="43"/>
      <c r="P9" s="444"/>
      <c r="Q9" s="43"/>
      <c r="R9" s="444"/>
      <c r="S9" s="43"/>
      <c r="T9" s="444"/>
      <c r="U9" s="128"/>
      <c r="V9" s="444"/>
      <c r="W9" s="43" t="s">
        <v>185</v>
      </c>
      <c r="X9" s="444"/>
      <c r="Y9" s="43"/>
      <c r="Z9" s="446"/>
      <c r="AA9" s="420"/>
      <c r="AB9" s="446"/>
      <c r="AC9" s="396"/>
      <c r="AD9" s="387"/>
      <c r="AE9" s="389"/>
      <c r="AF9" s="398"/>
      <c r="AG9" s="390"/>
      <c r="AH9" s="390"/>
      <c r="AI9" s="390"/>
      <c r="AJ9" s="390"/>
      <c r="AK9" s="390"/>
      <c r="AL9" s="390"/>
      <c r="AM9" s="390"/>
      <c r="AN9" s="392"/>
      <c r="AO9" s="387"/>
      <c r="AP9" s="394"/>
      <c r="AQ9" s="387"/>
      <c r="AR9" s="399"/>
      <c r="AS9" s="183"/>
      <c r="AT9" s="183"/>
      <c r="AU9" s="183"/>
      <c r="AV9" s="386"/>
      <c r="AW9" s="378" t="s">
        <v>72</v>
      </c>
      <c r="AX9" s="379"/>
      <c r="AY9" s="379"/>
      <c r="AZ9" s="380"/>
      <c r="BA9" s="87"/>
      <c r="BB9" s="378" t="s">
        <v>73</v>
      </c>
      <c r="BC9" s="379"/>
      <c r="BD9" s="379"/>
      <c r="BE9" s="380"/>
      <c r="BF9" s="87"/>
      <c r="BG9" s="206"/>
      <c r="BH9" s="206"/>
      <c r="BU9" s="377"/>
      <c r="BV9" s="377"/>
      <c r="BW9" s="377"/>
      <c r="BX9" s="377"/>
      <c r="BY9" s="61" t="str">
        <f>IF(BY8&gt;=1,BX8,0)</f>
        <v xml:space="preserve"> </v>
      </c>
      <c r="BZ9" s="61" t="str">
        <f t="shared" si="4"/>
        <v xml:space="preserve"> </v>
      </c>
      <c r="CA9" s="124">
        <f t="array" aca="1" ref="CA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</v>
      </c>
      <c r="CB9" t="str">
        <f>IF(CB8&gt;=1,BW8,0)</f>
        <v xml:space="preserve"> </v>
      </c>
      <c r="CC9" s="125" t="str">
        <f t="shared" si="5"/>
        <v xml:space="preserve"> </v>
      </c>
      <c r="CD9" s="51">
        <f t="array" aca="1" ref="CD9" ca="1">IF(ROW()-ROW(Н4кр)+1&gt;ROWS(Е4кр)-COUNTBLANK(Е4кр)," ",INDIRECT(ADDRESS(SMALL((IF(Е4кр&lt;&gt;" ",ROW(Е4кр),ROW()+ROWS(Е4кр))),ROW()-ROW(Н4кр)+1),COLUMN(Е4кр),4)))</f>
        <v>5</v>
      </c>
      <c r="CF9" s="377"/>
      <c r="CG9" s="377"/>
      <c r="CH9" s="125" t="str">
        <f>IF(CH8&gt;=1,CG8,0)</f>
        <v xml:space="preserve"> </v>
      </c>
      <c r="CI9" t="str">
        <f t="shared" si="12"/>
        <v xml:space="preserve"> </v>
      </c>
      <c r="CJ9" s="51">
        <f t="array" aca="1" ref="CJ9" ca="1">IF(ROW()-ROW(Н5кр)+1&gt;ROWS(Е5кр)-COUNTBLANK(Е5кр)," ",INDIRECT(ADDRESS(SMALL((IF(Е5кр&lt;&gt;" ",ROW(Е5кр),ROW()+ROWS(Е5кр))),ROW()-ROW(Н5кр)+1),COLUMN(Е5кр),4)))</f>
        <v>5</v>
      </c>
      <c r="CL9" s="377"/>
      <c r="CM9" s="377"/>
      <c r="CN9" t="str">
        <f>IF(CN8&gt;=1,CM8,0)</f>
        <v xml:space="preserve"> </v>
      </c>
      <c r="CO9" t="str">
        <f t="shared" si="6"/>
        <v xml:space="preserve"> </v>
      </c>
      <c r="CP9">
        <f t="array" aca="1" ref="CP9" ca="1">IF(ROW()-ROW(Н6кр)+1&gt;ROWS(Е6кр)-COUNTBLANK(Е6кр)," ",INDIRECT(ADDRESS(SMALL((IF(Е6кр&lt;&gt;" ",ROW(Е6кр),ROW()+ROWS(Е6кр))),ROW()-ROW(Н6кр)+1),COLUMN(Е6кр),4)))</f>
        <v>5</v>
      </c>
      <c r="CR9" s="377"/>
      <c r="CS9" s="377"/>
      <c r="CT9" t="str">
        <f>IF(CT8&gt;=1,CS8,0)</f>
        <v xml:space="preserve"> </v>
      </c>
      <c r="CU9" t="str">
        <f t="shared" si="7"/>
        <v xml:space="preserve"> </v>
      </c>
      <c r="CV9">
        <f t="array" aca="1" ref="CV9" ca="1">IF(ROW()-ROW(Н7кр)+1&gt;ROWS(Е7кр)-COUNTBLANK(Е7кр)," ",INDIRECT(ADDRESS(SMALL((IF(Е7кр&lt;&gt;" ",ROW(Е7кр),ROW()+ROWS(Е7кр))),ROW()-ROW(Н7кр)+1),COLUMN(Е7кр),4)))</f>
        <v>5</v>
      </c>
    </row>
    <row r="10" spans="1:100" ht="12" customHeight="1" thickTop="1">
      <c r="A10" s="242"/>
      <c r="B10" s="485"/>
      <c r="C10" s="486"/>
      <c r="D10" s="486"/>
      <c r="E10" s="486"/>
      <c r="F10" s="486"/>
      <c r="G10" s="486"/>
      <c r="H10" s="486"/>
      <c r="I10" s="486"/>
      <c r="J10" s="486"/>
      <c r="K10" s="486"/>
      <c r="L10" s="486"/>
      <c r="M10" s="486"/>
      <c r="N10" s="486"/>
      <c r="O10" s="486"/>
      <c r="P10" s="486"/>
      <c r="Q10" s="486"/>
      <c r="R10" s="486"/>
      <c r="S10" s="486"/>
      <c r="T10" s="486"/>
      <c r="U10" s="486"/>
      <c r="V10" s="486"/>
      <c r="W10" s="486"/>
      <c r="X10" s="486"/>
      <c r="Y10" s="486"/>
      <c r="Z10" s="486"/>
      <c r="AA10" s="486"/>
      <c r="AB10" s="487"/>
      <c r="AC10" s="249"/>
      <c r="AD10" s="244"/>
      <c r="AE10" s="245"/>
      <c r="AF10" s="251"/>
      <c r="AG10" s="246"/>
      <c r="AH10" s="250"/>
      <c r="AI10" s="246"/>
      <c r="AJ10" s="246"/>
      <c r="AK10" s="246"/>
      <c r="AL10" s="246"/>
      <c r="AM10" s="246"/>
      <c r="AN10" s="243"/>
      <c r="AO10" s="244"/>
      <c r="AP10" s="247"/>
      <c r="AQ10" s="244"/>
      <c r="AR10" s="248"/>
      <c r="AS10" s="249"/>
      <c r="AT10" s="249"/>
      <c r="AU10" s="249"/>
      <c r="AV10" s="241"/>
      <c r="AW10" s="252"/>
      <c r="AX10" s="252"/>
      <c r="AY10" s="252"/>
      <c r="AZ10" s="252"/>
      <c r="BA10" s="87"/>
      <c r="BB10" s="252"/>
      <c r="BC10" s="252"/>
      <c r="BD10" s="252"/>
      <c r="BE10" s="252"/>
      <c r="BF10" s="87"/>
      <c r="BG10" s="206"/>
      <c r="BH10" s="206"/>
      <c r="BU10" s="240"/>
      <c r="BV10" s="240"/>
      <c r="BW10" s="240"/>
      <c r="BX10" s="240"/>
      <c r="BY10" s="240"/>
      <c r="BZ10" s="240"/>
      <c r="CA10" s="124"/>
      <c r="CC10" s="125"/>
      <c r="CD10" s="51"/>
      <c r="CF10" s="240"/>
      <c r="CG10" s="240"/>
      <c r="CH10" s="125"/>
      <c r="CJ10" s="51"/>
      <c r="CL10" s="240"/>
      <c r="CM10" s="240"/>
      <c r="CR10" s="240"/>
      <c r="CS10" s="240"/>
    </row>
    <row r="11" spans="1:100" ht="12" customHeight="1" thickBot="1">
      <c r="A11" s="242"/>
      <c r="B11" s="488"/>
      <c r="C11" s="489"/>
      <c r="D11" s="489"/>
      <c r="E11" s="489"/>
      <c r="F11" s="489"/>
      <c r="G11" s="489"/>
      <c r="H11" s="489"/>
      <c r="I11" s="489"/>
      <c r="J11" s="489"/>
      <c r="K11" s="489"/>
      <c r="L11" s="489"/>
      <c r="M11" s="489"/>
      <c r="N11" s="489"/>
      <c r="O11" s="489"/>
      <c r="P11" s="489"/>
      <c r="Q11" s="489"/>
      <c r="R11" s="489"/>
      <c r="S11" s="489"/>
      <c r="T11" s="489"/>
      <c r="U11" s="489"/>
      <c r="V11" s="489"/>
      <c r="W11" s="489"/>
      <c r="X11" s="489"/>
      <c r="Y11" s="489"/>
      <c r="Z11" s="489"/>
      <c r="AA11" s="489"/>
      <c r="AB11" s="490"/>
      <c r="AC11" s="249"/>
      <c r="AD11" s="244"/>
      <c r="AE11" s="245"/>
      <c r="AF11" s="251"/>
      <c r="AG11" s="246"/>
      <c r="AH11" s="250"/>
      <c r="AI11" s="246"/>
      <c r="AJ11" s="246"/>
      <c r="AK11" s="246"/>
      <c r="AL11" s="246"/>
      <c r="AM11" s="246"/>
      <c r="AN11" s="243"/>
      <c r="AO11" s="244"/>
      <c r="AP11" s="247"/>
      <c r="AQ11" s="244"/>
      <c r="AR11" s="248"/>
      <c r="AS11" s="249"/>
      <c r="AT11" s="249"/>
      <c r="AU11" s="249"/>
      <c r="AV11" s="241"/>
      <c r="AW11" s="252"/>
      <c r="AX11" s="252"/>
      <c r="AY11" s="252"/>
      <c r="AZ11" s="252"/>
      <c r="BA11" s="87"/>
      <c r="BB11" s="252"/>
      <c r="BC11" s="252"/>
      <c r="BD11" s="252"/>
      <c r="BE11" s="252"/>
      <c r="BF11" s="87"/>
      <c r="BG11" s="206"/>
      <c r="BH11" s="206"/>
      <c r="BU11" s="240"/>
      <c r="BV11" s="240"/>
      <c r="BW11" s="240"/>
      <c r="BX11" s="240"/>
      <c r="BY11" s="240"/>
      <c r="BZ11" s="240"/>
      <c r="CA11" s="124"/>
      <c r="CC11" s="125"/>
      <c r="CD11" s="51"/>
      <c r="CF11" s="240"/>
      <c r="CG11" s="240"/>
      <c r="CH11" s="125"/>
      <c r="CJ11" s="51"/>
      <c r="CL11" s="240"/>
      <c r="CM11" s="240"/>
      <c r="CR11" s="240"/>
      <c r="CS11" s="240"/>
    </row>
    <row r="12" spans="1:100" ht="12" customHeight="1" thickTop="1" thickBot="1">
      <c r="A12" s="81"/>
      <c r="B12" s="414">
        <v>3</v>
      </c>
      <c r="C12" s="436" t="str">
        <f>(VLOOKUP(B12,пр.взв!$B$7:$H$76,2,0))</f>
        <v>ВИНИЧЕНКО Екатерина Константиновна</v>
      </c>
      <c r="D12" s="437" t="str">
        <f>(VLOOKUP(B12,пр.взв!$B$7:$H$76,3,0))</f>
        <v>16.02.97, КМС</v>
      </c>
      <c r="E12" s="458" t="str">
        <f>(VLOOKUP(B12,пр.взв!$B$7:$H$76,5,0))</f>
        <v>Свердловская, Екатеринбург, СШОР ПО САМБО И ДЗЮДО</v>
      </c>
      <c r="F12" s="441">
        <v>4</v>
      </c>
      <c r="G12" s="41">
        <v>4</v>
      </c>
      <c r="H12" s="444"/>
      <c r="I12" s="41"/>
      <c r="J12" s="444" t="str">
        <f t="shared" si="0"/>
        <v xml:space="preserve"> </v>
      </c>
      <c r="K12" s="41"/>
      <c r="L12" s="444" t="str">
        <f t="shared" ref="L12:L14" si="15">IF(J12="Х","Х",IF(K12&lt;2.5," ",IF(K12&gt;=2.5,IF(G12+I12+K12&gt;=6,"Х",IF(AA12&lt;6," "," ")))))</f>
        <v xml:space="preserve"> </v>
      </c>
      <c r="M12" s="41"/>
      <c r="N12" s="444" t="str">
        <f>IF(L12="Х","Х",IF(M12&lt;2.5," ",IF(M12&gt;=2.5,IF(G12+I12+K12+M12&gt;=6,"Х",IF(AA12&lt;6," "," ")))))</f>
        <v xml:space="preserve"> </v>
      </c>
      <c r="O12" s="41"/>
      <c r="P12" s="444" t="str">
        <f>IF(N12="Х","Х",IF(O12&lt;2.5," ",IF(O12&gt;=2.5,IF(G12+I12+K12+M12+O12&gt;=6,"Х",IF(AA12&lt;6," "," ")))))</f>
        <v xml:space="preserve"> </v>
      </c>
      <c r="Q12" s="41"/>
      <c r="R12" s="444" t="str">
        <f>IF(P12="Х","Х",IF(Q12&lt;2.5," ",IF(Q12&gt;=2.5,IF(G12+I12+K12+M12+O12+Q12&gt;=6,"Х",IF(AA12&lt;6," "," ")))))</f>
        <v xml:space="preserve"> </v>
      </c>
      <c r="S12" s="41"/>
      <c r="T12" s="444" t="s">
        <v>183</v>
      </c>
      <c r="U12" s="45"/>
      <c r="V12" s="444">
        <f>IF(T12="А1",$AX$7,IF(T12="Б2",$AX$6,IF(T12="Б1",$AY$7,IF(T12="А2",$AY$6,IF(T12="Х","Х",IF(T12&lt;6," "," "))))))</f>
        <v>2</v>
      </c>
      <c r="W12" s="41">
        <v>4</v>
      </c>
      <c r="X12" s="444" t="str">
        <f t="shared" ref="X12" si="16">IF(T12="Х","Х",IF(ISBLANK(W12),"",IF(W12&gt;2.5," ",IF(B12=AZ$6,AZ$7,AZ$6))))</f>
        <v xml:space="preserve"> </v>
      </c>
      <c r="Y12" s="41"/>
      <c r="Z12" s="446" t="b">
        <f>IF(H12="Х",F5,IF(J12="Х",H5,IF(L12="Х",J5,IF(N12="Х",L5,IF(P12="Х",N5,IF(R12="Х",P5,IF(T12="Х",R5,IF(V12="Х",T5))))))))</f>
        <v>0</v>
      </c>
      <c r="AA12" s="420">
        <f>SUM(G12+I12+K12+M12+O12+Q12+S12+U12+W12+Y12)</f>
        <v>8</v>
      </c>
      <c r="AB12" s="446">
        <v>3</v>
      </c>
      <c r="AC12" s="386">
        <v>4</v>
      </c>
      <c r="AD12" s="387" t="str">
        <f>COUNTIF(AE$6:AE$119,"&gt;"&amp;AE$6:AE$119)+1&amp;REPT("-"&amp;COUNTIF(AE$6:AE$119,"&gt;="&amp;AE$6:AE$119),COUNTIF(AE$6:AE$119,AE12)&gt;1)</f>
        <v>3-4</v>
      </c>
      <c r="AE12" s="388">
        <f>(AP12*100)+(AN12*10)-AA12</f>
        <v>962</v>
      </c>
      <c r="AF12" s="390" t="str">
        <f>IF(OR(F12="Х",F12="св")," ",IF(AND(G12&gt;=0,G12&lt;3),"1"," "))</f>
        <v xml:space="preserve"> </v>
      </c>
      <c r="AG12" s="390" t="str">
        <f>IF(OR(H12="Х",H12="св")," ",IF(AND(I12&gt;=0,I12&lt;3),"1"," "))</f>
        <v>1</v>
      </c>
      <c r="AH12" s="397" t="str">
        <f>IF(OR(J12="Х",J12="св")," ",IF(AND(K12&gt;=0,K12&lt;3),"1"," "))</f>
        <v>1</v>
      </c>
      <c r="AI12" s="390" t="str">
        <f>IF(OR(L12="Х",L12="св")," ",IF(AND(M12&gt;=0,M12&lt;3),"1"," "))</f>
        <v>1</v>
      </c>
      <c r="AJ12" s="390" t="str">
        <f>IF(OR(N12="Х",N12="св")," ",IF(AND(O12&gt;=0,O12&lt;3),"1"," "))</f>
        <v>1</v>
      </c>
      <c r="AK12" s="390" t="str">
        <f>IF(OR(P12="Х",P12="св")," ",IF(AND(Q12&gt;=0,Q12&lt;3),"1"," "))</f>
        <v>1</v>
      </c>
      <c r="AL12" s="390" t="str">
        <f>IF(OR(R12="Х",R12="св")," ",IF(AND(S12&gt;=0,S12&lt;3),"1"," "))</f>
        <v>1</v>
      </c>
      <c r="AM12" s="390" t="str">
        <f>IF(OR(T12="Х",T12="св")," ",IF(AND(U12&gt;=0,U12&lt;3),"1"," "))</f>
        <v>1</v>
      </c>
      <c r="AN12" s="391">
        <f>COUNTIF(AF12:AM13,1)</f>
        <v>7</v>
      </c>
      <c r="AO12" s="393">
        <f>AE12-AA12</f>
        <v>954</v>
      </c>
      <c r="AP12" s="394">
        <f t="shared" si="10"/>
        <v>9</v>
      </c>
      <c r="AQ12" s="387" t="str">
        <f>COUNTIF(AE$6:AE$119,"&gt;"&amp;AE$6:AE$119)+1&amp;REPT("-"&amp;COUNTIF(AE$6:AE$119,"&gt;="&amp;AE$6:AE$119),COUNTIF(AE$6:AE$119,AE12)&gt;1)</f>
        <v>3-4</v>
      </c>
      <c r="AR12" s="399">
        <f t="shared" ref="AR12" si="17">IF(AB12=1,AR$4,AR$5)</f>
        <v>0</v>
      </c>
      <c r="AS12" s="183"/>
      <c r="AT12" s="183"/>
      <c r="AU12" s="183"/>
      <c r="AV12" s="386" t="str">
        <f>IF(V12="Х","Х",IF(W12&lt;3,B12,"Х"))</f>
        <v>Х</v>
      </c>
      <c r="AW12" s="383" t="s">
        <v>0</v>
      </c>
      <c r="AX12" s="381"/>
      <c r="AY12" s="382" t="s">
        <v>32</v>
      </c>
      <c r="AZ12" s="382"/>
      <c r="BA12" s="82"/>
      <c r="BB12" s="382" t="s">
        <v>0</v>
      </c>
      <c r="BC12" s="382"/>
      <c r="BD12" s="383" t="s">
        <v>32</v>
      </c>
      <c r="BE12" s="384"/>
      <c r="BF12" s="88"/>
      <c r="BU12" s="377">
        <f>IF(J12="х"," ",B12)</f>
        <v>3</v>
      </c>
      <c r="BV12" s="377">
        <f>IF(L12="х"," ",B12)</f>
        <v>3</v>
      </c>
      <c r="BW12" s="377" t="str">
        <f>IF(BV12=" "," ",L12)</f>
        <v xml:space="preserve"> </v>
      </c>
      <c r="BX12" s="377" t="str">
        <f>IF(BU12=" "," ",J12)</f>
        <v xml:space="preserve"> </v>
      </c>
      <c r="BY12" s="61">
        <f>IF(BU12&lt;BX12,BU12,0)</f>
        <v>3</v>
      </c>
      <c r="BZ12" s="61">
        <f t="shared" si="4"/>
        <v>3</v>
      </c>
      <c r="CA12" s="124">
        <f t="array" aca="1" ref="CA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8</v>
      </c>
      <c r="CB12">
        <f>IF(BV12&lt;BW12,BV12,0)</f>
        <v>3</v>
      </c>
      <c r="CC12" s="125">
        <f t="shared" si="5"/>
        <v>3</v>
      </c>
      <c r="CD12" s="51">
        <f t="array" aca="1" ref="CD12" ca="1">IF(ROW()-ROW(Н4кр)+1&gt;ROWS(Е4кр)-COUNTBLANK(Е4кр)," ",INDIRECT(ADDRESS(SMALL((IF(Е4кр&lt;&gt;" ",ROW(Е4кр),ROW()+ROWS(Е4кр))),ROW()-ROW(Н4кр)+1),COLUMN(Е4кр),4)))</f>
        <v>8</v>
      </c>
      <c r="CF12" s="377">
        <f>IF(N12="х"," ",B12)</f>
        <v>3</v>
      </c>
      <c r="CG12" s="377" t="str">
        <f>IF(CF12=" "," ",N12)</f>
        <v xml:space="preserve"> </v>
      </c>
      <c r="CH12" s="125">
        <f>IF(CF12&lt;CG12,CF12,0)</f>
        <v>3</v>
      </c>
      <c r="CI12">
        <f t="shared" si="12"/>
        <v>3</v>
      </c>
      <c r="CJ12" s="51">
        <f t="array" aca="1" ref="CJ12" ca="1">IF(ROW()-ROW(Н5кр)+1&gt;ROWS(Е5кр)-COUNTBLANK(Е5кр)," ",INDIRECT(ADDRESS(SMALL((IF(Е5кр&lt;&gt;" ",ROW(Е5кр),ROW()+ROWS(Е5кр))),ROW()-ROW(Н5кр)+1),COLUMN(Е5кр),4)))</f>
        <v>8</v>
      </c>
      <c r="CL12" s="377">
        <f>IF(P12="х"," ",B12)</f>
        <v>3</v>
      </c>
      <c r="CM12" s="377" t="str">
        <f>IF(CL12=" "," ",P12)</f>
        <v xml:space="preserve"> </v>
      </c>
      <c r="CN12">
        <f>IF(CL12&lt;CM12,CL12,0)</f>
        <v>3</v>
      </c>
      <c r="CO12">
        <f t="shared" si="6"/>
        <v>3</v>
      </c>
      <c r="CP12">
        <f t="array" aca="1" ref="CP12" ca="1">IF(ROW()-ROW(Н6кр)+1&gt;ROWS(Е6кр)-COUNTBLANK(Е6кр)," ",INDIRECT(ADDRESS(SMALL((IF(Е6кр&lt;&gt;" ",ROW(Е6кр),ROW()+ROWS(Е6кр))),ROW()-ROW(Н6кр)+1),COLUMN(Е6кр),4)))</f>
        <v>8</v>
      </c>
      <c r="CR12" s="377">
        <f t="shared" ref="CR12" si="18">IF(R12="х"," ",B12)</f>
        <v>3</v>
      </c>
      <c r="CS12" s="377" t="str">
        <f t="shared" ref="CS12" si="19">IF(CR12=" "," ",R12)</f>
        <v xml:space="preserve"> </v>
      </c>
      <c r="CT12">
        <f>IF(CR12&lt;CS12,CR12,0)</f>
        <v>3</v>
      </c>
      <c r="CU12">
        <f t="shared" si="7"/>
        <v>3</v>
      </c>
      <c r="CV12">
        <f t="array" aca="1" ref="CV12" ca="1">IF(ROW()-ROW(Н7кр)+1&gt;ROWS(Е7кр)-COUNTBLANK(Е7кр)," ",INDIRECT(ADDRESS(SMALL((IF(Е7кр&lt;&gt;" ",ROW(Е7кр),ROW()+ROWS(Е7кр))),ROW()-ROW(Н7кр)+1),COLUMN(Е7кр),4)))</f>
        <v>8</v>
      </c>
    </row>
    <row r="13" spans="1:100" ht="12" customHeight="1" thickBot="1">
      <c r="A13" s="81"/>
      <c r="B13" s="415"/>
      <c r="C13" s="436"/>
      <c r="D13" s="437"/>
      <c r="E13" s="458"/>
      <c r="F13" s="441"/>
      <c r="G13" s="43"/>
      <c r="H13" s="444"/>
      <c r="I13" s="43"/>
      <c r="J13" s="444"/>
      <c r="K13" s="43"/>
      <c r="L13" s="444"/>
      <c r="M13" s="43"/>
      <c r="N13" s="444"/>
      <c r="O13" s="43"/>
      <c r="P13" s="444"/>
      <c r="Q13" s="43"/>
      <c r="R13" s="444"/>
      <c r="S13" s="43"/>
      <c r="T13" s="444"/>
      <c r="U13" s="128"/>
      <c r="V13" s="444"/>
      <c r="W13" s="43"/>
      <c r="X13" s="444"/>
      <c r="Y13" s="43"/>
      <c r="Z13" s="446"/>
      <c r="AA13" s="420"/>
      <c r="AB13" s="432"/>
      <c r="AC13" s="386"/>
      <c r="AD13" s="387"/>
      <c r="AE13" s="389"/>
      <c r="AF13" s="390"/>
      <c r="AG13" s="390"/>
      <c r="AH13" s="398"/>
      <c r="AI13" s="390"/>
      <c r="AJ13" s="390"/>
      <c r="AK13" s="390"/>
      <c r="AL13" s="390"/>
      <c r="AM13" s="390"/>
      <c r="AN13" s="392"/>
      <c r="AO13" s="387"/>
      <c r="AP13" s="394"/>
      <c r="AQ13" s="387"/>
      <c r="AR13" s="399"/>
      <c r="AS13" s="183"/>
      <c r="AT13" s="183"/>
      <c r="AU13" s="183"/>
      <c r="AV13" s="386"/>
      <c r="AW13" s="85">
        <f ca="1">IF(CA3&gt;AW$3," ",CA3)</f>
        <v>1</v>
      </c>
      <c r="AX13" s="58">
        <f ca="1">IF(CA4&gt;AW$3," ",CA4)</f>
        <v>2</v>
      </c>
      <c r="AY13" s="85">
        <f ca="1">IF(AW14=0,AW15,IF(AW15=0,AW16,IF(AW16=0,AW17,IF(AW17=0,AW18,IF(AW18=0,AW19,IF(AW19=0,AW20,IF(AW20=0,AW21,IF(AW21=0,AW22,IF(AW22=0,AW23,IF(AW23=0,AW24,IF(AW24=0,AW25,IF(AW25=0,AW26,IF(AW26=0,AW27,IF(AW27=0,AW28,IF(AW28=0,AW29,IF(AW29=0,AW30,IF(AW30=0,AW31,IF(AW31=0,AW32))))))))))))))))))</f>
        <v>3</v>
      </c>
      <c r="AZ13" s="126">
        <f ca="1">IF(AX14=0,AX15,IF(AX15=0,AX16,IF(AX16=0,AX17,IF(AX17=0,AX18,IF(AX18=0,AX19,IF(AX19=0,AX20,IF(AX20=0,AX21,IF(AX21=0,AX22,IF(AX22=0,AX23,IF(AX23=0,AX24,IF(AX24=0,AX25,IF(AX25=0,AX26,IF(AX26=0,AX27,IF(AX27=0,AX28,IF(AX28=0,AX29,IF(AX29=0,AX30,IF(AX30=0,AX31,IF(AX31=0,AX32))))))))))))))))))</f>
        <v>4</v>
      </c>
      <c r="BA13" s="83"/>
      <c r="BB13" s="85">
        <f ca="1">IF(CD3&gt;AW$3," ",CD3)</f>
        <v>1</v>
      </c>
      <c r="BC13" s="58">
        <f ca="1">IF(CD4&gt;AW$3," ",CD4)</f>
        <v>2</v>
      </c>
      <c r="BD13" s="85">
        <f ca="1">IF(BB14=0,BB15,IF(BB15=0,BB16,IF(BB16=0,BB17,IF(BB17=0,BB18,IF(BB18=0,BB19,IF(BB19=0,BB20,IF(BB20=0,BB21,IF(BB21=0,BB22,IF(BB22=0,BB23,IF(BB23=0,BB24,IF(BB24=0,BB25,IF(BB25=0,BB26,IF(BB26=0,BB27,IF(BB27=0,BB28))))))))))))))</f>
        <v>3</v>
      </c>
      <c r="BE13" s="126">
        <f ca="1">IF(BC14=0,BC15,IF(BC15=0,BC16,IF(BC16=0,BC17,IF(BC17=0,BC18,IF(BC18=0,BC19,IF(BC19=0,BC20,IF(BC20=0,BC21,IF(BC21=0,BC22,IF(BC22=0,BC23,IF(BC23=0,BC24,IF(BC24=0,BC25,IF(BC25=0,BC26,IF(BC26=0,BC27,IF(BC27=0,BC28))))))))))))))</f>
        <v>4</v>
      </c>
      <c r="BF13" s="89"/>
      <c r="BG13" s="378" t="s">
        <v>76</v>
      </c>
      <c r="BH13" s="379"/>
      <c r="BI13" s="379"/>
      <c r="BJ13" s="380"/>
      <c r="BL13" s="378" t="s">
        <v>79</v>
      </c>
      <c r="BM13" s="379"/>
      <c r="BN13" s="379"/>
      <c r="BO13" s="380"/>
      <c r="BP13" s="212"/>
      <c r="BQ13" s="378" t="s">
        <v>136</v>
      </c>
      <c r="BR13" s="379"/>
      <c r="BS13" s="379"/>
      <c r="BT13" s="380"/>
      <c r="BU13" s="377"/>
      <c r="BV13" s="377"/>
      <c r="BW13" s="377"/>
      <c r="BX13" s="377"/>
      <c r="BY13" s="61" t="str">
        <f>IF(BY12&gt;=1,BX12,0)</f>
        <v xml:space="preserve"> </v>
      </c>
      <c r="BZ13" s="61" t="str">
        <f t="shared" si="4"/>
        <v xml:space="preserve"> </v>
      </c>
      <c r="CA13" s="124">
        <f t="array" aca="1" ref="CA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9</v>
      </c>
      <c r="CB13" t="str">
        <f>IF(CB12&gt;=1,BW12,0)</f>
        <v xml:space="preserve"> </v>
      </c>
      <c r="CC13" s="125" t="str">
        <f t="shared" si="5"/>
        <v xml:space="preserve"> </v>
      </c>
      <c r="CD13" s="51">
        <f t="array" aca="1" ref="CD13" ca="1">IF(ROW()-ROW(Н4кр)+1&gt;ROWS(Е4кр)-COUNTBLANK(Е4кр)," ",INDIRECT(ADDRESS(SMALL((IF(Е4кр&lt;&gt;" ",ROW(Е4кр),ROW()+ROWS(Е4кр))),ROW()-ROW(Н4кр)+1),COLUMN(Е4кр),4)))</f>
        <v>9</v>
      </c>
      <c r="CF13" s="377"/>
      <c r="CG13" s="377"/>
      <c r="CH13" s="125" t="str">
        <f>IF(CH12&gt;=1,CG12,0)</f>
        <v xml:space="preserve"> </v>
      </c>
      <c r="CI13" t="str">
        <f t="shared" si="12"/>
        <v xml:space="preserve"> </v>
      </c>
      <c r="CJ13" s="51">
        <f t="array" aca="1" ref="CJ13" ca="1">IF(ROW()-ROW(Н5кр)+1&gt;ROWS(Е5кр)-COUNTBLANK(Е5кр)," ",INDIRECT(ADDRESS(SMALL((IF(Е5кр&lt;&gt;" ",ROW(Е5кр),ROW()+ROWS(Е5кр))),ROW()-ROW(Н5кр)+1),COLUMN(Е5кр),4)))</f>
        <v>9</v>
      </c>
      <c r="CL13" s="377"/>
      <c r="CM13" s="377"/>
      <c r="CN13" t="str">
        <f>IF(CN12&gt;=1,CM12,0)</f>
        <v xml:space="preserve"> </v>
      </c>
      <c r="CO13" t="str">
        <f t="shared" si="6"/>
        <v xml:space="preserve"> </v>
      </c>
      <c r="CP13">
        <f t="array" aca="1" ref="CP13" ca="1">IF(ROW()-ROW(Н6кр)+1&gt;ROWS(Е6кр)-COUNTBLANK(Е6кр)," ",INDIRECT(ADDRESS(SMALL((IF(Е6кр&lt;&gt;" ",ROW(Е6кр),ROW()+ROWS(Е6кр))),ROW()-ROW(Н6кр)+1),COLUMN(Е6кр),4)))</f>
        <v>9</v>
      </c>
      <c r="CR13" s="377"/>
      <c r="CS13" s="377"/>
      <c r="CT13" t="str">
        <f>IF(CT12&gt;=1,CS12,0)</f>
        <v xml:space="preserve"> </v>
      </c>
      <c r="CU13" t="str">
        <f t="shared" si="7"/>
        <v xml:space="preserve"> </v>
      </c>
      <c r="CV13">
        <f t="array" aca="1" ref="CV13" ca="1">IF(ROW()-ROW(Н7кр)+1&gt;ROWS(Е7кр)-COUNTBLANK(Е7кр)," ",INDIRECT(ADDRESS(SMALL((IF(Е7кр&lt;&gt;" ",ROW(Е7кр),ROW()+ROWS(Е7кр))),ROW()-ROW(Н7кр)+1),COLUMN(Е7кр),4)))</f>
        <v>9</v>
      </c>
    </row>
    <row r="14" spans="1:100" ht="12" customHeight="1" thickTop="1">
      <c r="A14" s="81"/>
      <c r="B14" s="423">
        <v>4</v>
      </c>
      <c r="C14" s="425" t="str">
        <f>(VLOOKUP(B14,пр.взв!$B$7:$H$76,2,0))</f>
        <v>ГАСПАРЯН Наре Петросовна</v>
      </c>
      <c r="D14" s="427" t="str">
        <f>(VLOOKUP(B14,пр.взв!$B$7:$H$76,3,0))</f>
        <v>26.02.97, КМС</v>
      </c>
      <c r="E14" s="429" t="str">
        <f>(VLOOKUP(B14,пр.взв!$B$7:$H$76,5,0))</f>
        <v>Челябинская, Челябинск</v>
      </c>
      <c r="F14" s="443">
        <v>3</v>
      </c>
      <c r="G14" s="42">
        <v>0</v>
      </c>
      <c r="H14" s="440"/>
      <c r="I14" s="42"/>
      <c r="J14" s="440" t="str">
        <f t="shared" si="0"/>
        <v xml:space="preserve"> </v>
      </c>
      <c r="K14" s="42"/>
      <c r="L14" s="440" t="str">
        <f t="shared" si="15"/>
        <v xml:space="preserve"> </v>
      </c>
      <c r="M14" s="42"/>
      <c r="N14" s="440" t="str">
        <f>IF(L14="Х","Х",IF(M14&lt;2.5," ",IF(M14&gt;=2.5,IF(G14+I14+K14+M14&gt;=6,"Х",IF(AA14&lt;6," "," ")))))</f>
        <v xml:space="preserve"> </v>
      </c>
      <c r="O14" s="42"/>
      <c r="P14" s="440" t="str">
        <f>IF(N14="Х","Х",IF(O14&lt;2.5," ",IF(O14&gt;=2.5,IF(G14+I14+K14+M14+O14&gt;=6,"Х",IF(AA14&lt;6," "," ")))))</f>
        <v xml:space="preserve"> </v>
      </c>
      <c r="Q14" s="42"/>
      <c r="R14" s="440" t="str">
        <f>IF(P14="Х","Х",IF(Q14&lt;2.5," ",IF(Q14&gt;=2.5,IF(G14+I14+K14+M14+O14+Q14&gt;=6,"Х",IF(AA14&lt;6," "," ")))))</f>
        <v xml:space="preserve"> </v>
      </c>
      <c r="S14" s="42"/>
      <c r="T14" s="440" t="s">
        <v>184</v>
      </c>
      <c r="U14" s="46"/>
      <c r="V14" s="440">
        <f>IF(T14="А1",$AX$7,IF(T14="Б2",$AX$6,IF(T14="Б1",$AY$7,IF(T14="А2",$AY$6,IF(T14="Х","Х",IF(T14&lt;6," "," "))))))</f>
        <v>1</v>
      </c>
      <c r="W14" s="42">
        <v>0</v>
      </c>
      <c r="X14" s="440">
        <f t="shared" ref="X14" si="20">IF(T14="Х","Х",IF(ISBLANK(W14),"",IF(W14&gt;2.5," ",IF(B14=AZ$6,AZ$7,AZ$6))))</f>
        <v>2</v>
      </c>
      <c r="Y14" s="42">
        <v>3</v>
      </c>
      <c r="Z14" s="467" t="b">
        <f>IF(H14="Х",F5,IF(J14="Х",H5,IF(L14="Х",J5,IF(N14="Х",L5,IF(P14="Х",N5,IF(R14="Х",P5,IF(T14="Х",R5,IF(V14="Х",T5))))))))</f>
        <v>0</v>
      </c>
      <c r="AA14" s="418">
        <f>SUM(G14+I14+K14+M14+O14+Q14+S14+U14+W14+Y14)</f>
        <v>3</v>
      </c>
      <c r="AB14" s="431">
        <f t="shared" si="9"/>
        <v>2</v>
      </c>
      <c r="AC14" s="396">
        <f>AB14</f>
        <v>2</v>
      </c>
      <c r="AD14" s="387" t="str">
        <f>COUNTIF(AE$6:AE$119,"&gt;"&amp;AE$6:AE$119)+1&amp;REPT("-"&amp;COUNTIF(AE$6:AE$119,"&gt;="&amp;AE$6:AE$119),COUNTIF(AE$6:AE$119,AE14)&gt;1)</f>
        <v>2</v>
      </c>
      <c r="AE14" s="388">
        <f t="shared" ref="AE14" si="21">(AP14*100)+(AN14*10)-AA14</f>
        <v>1077</v>
      </c>
      <c r="AF14" s="390" t="str">
        <f>IF(OR(F14="Х",F14="св")," ",IF(AND(G14&gt;=0,G14&lt;3),"1"," "))</f>
        <v>1</v>
      </c>
      <c r="AG14" s="390" t="str">
        <f>IF(OR(H14="Х",H14="св")," ",IF(AND(I14&gt;=0,I14&lt;3),"1"," "))</f>
        <v>1</v>
      </c>
      <c r="AH14" s="390" t="str">
        <f>IF(OR(J14="Х",J14="св")," ",IF(AND(K14&gt;=0,K14&lt;3),"1"," "))</f>
        <v>1</v>
      </c>
      <c r="AI14" s="390" t="str">
        <f>IF(OR(L14="Х",L14="св")," ",IF(AND(M14&gt;=0,M14&lt;3),"1"," "))</f>
        <v>1</v>
      </c>
      <c r="AJ14" s="390" t="str">
        <f>IF(OR(N14="Х",N14="св")," ",IF(AND(O14&gt;=0,O14&lt;3),"1"," "))</f>
        <v>1</v>
      </c>
      <c r="AK14" s="390" t="str">
        <f>IF(OR(P14="Х",P14="св")," ",IF(AND(Q14&gt;=0,Q14&lt;3),"1"," "))</f>
        <v>1</v>
      </c>
      <c r="AL14" s="390" t="str">
        <f>IF(OR(R14="Х",R14="св")," ",IF(AND(S14&gt;=0,S14&lt;3),"1"," "))</f>
        <v>1</v>
      </c>
      <c r="AM14" s="390" t="str">
        <f>IF(OR(T14="Х",T14="св")," ",IF(AND(U14&gt;=0,U14&lt;3),"1"," "))</f>
        <v>1</v>
      </c>
      <c r="AN14" s="391">
        <f>COUNTIF(AF14:AM15,1)</f>
        <v>8</v>
      </c>
      <c r="AO14" s="393">
        <f>AE14-AA14</f>
        <v>1074</v>
      </c>
      <c r="AP14" s="394">
        <f t="shared" si="10"/>
        <v>10</v>
      </c>
      <c r="AQ14" s="387" t="str">
        <f>COUNTIF(AE$6:AE$119,"&gt;"&amp;AE$6:AE$119)+1&amp;REPT("-"&amp;COUNTIF(AE$6:AE$119,"&gt;="&amp;AE$6:AE$119),COUNTIF(AE$6:AE$119,AE14)&gt;1)</f>
        <v>2</v>
      </c>
      <c r="AR14" s="395"/>
      <c r="AS14" s="183"/>
      <c r="AT14" s="183"/>
      <c r="AU14" s="183"/>
      <c r="AV14" s="386">
        <f t="shared" ref="AV14" si="22">IF(V14="Х","Х",IF(W14&lt;3,B14,"Х"))</f>
        <v>4</v>
      </c>
      <c r="AW14" s="85">
        <f ca="1">IF(CA5&gt;AW$3," ",CA5)</f>
        <v>0</v>
      </c>
      <c r="AX14" s="58">
        <f ca="1">IF(CA6&gt;AW$3," ",CA6)</f>
        <v>0</v>
      </c>
      <c r="AY14" s="85" t="b">
        <f ca="1">IF(AW15=0,AW17,IF(AW16=0,AW18,IF(AW17=0,AW19,IF(AW18=0,AW20,IF(AW19=0,AW21,IF(AW20=0,AW22,IF(AW21=0,AW23,IF(AW22=0,AW24,IF(AW23=0,AW25,IF(AW24=0,AW26,IF(AW25=0,AW27,IF(AW26=0,AW28,IF(AW27=0,AW29,IF(AW28=0,AW30,IF(AW29=0,AW31,IF(AW30=0,AW32,IF(AW31=0,AW33)))))))))))))))))</f>
        <v>0</v>
      </c>
      <c r="AZ14" s="126" t="b">
        <f ca="1">IF(AX15=0,AX17,IF(AX16=0,AX18,IF(AX17=0,AX19,IF(AX18=0,AX20,IF(AX19=0,AX21,IF(AX20=0,AX22,IF(AX21=0,AX23,IF(AX22=0,AX24,IF(AX23=0,AX25,IF(AX24=0,AX26,IF(AX25=0,AX27,IF(AX26=0,AX28,IF(AX27=0,AX29,IF(AX28=0,AX30,IF(AX29=0,AX31,IF(AX30=0,AX32,IF(AX31=0,AX33)))))))))))))))))</f>
        <v>0</v>
      </c>
      <c r="BA14" s="83"/>
      <c r="BB14" s="85">
        <f ca="1">IF(CD5&gt;AW$3," ",CD5)</f>
        <v>0</v>
      </c>
      <c r="BC14" s="58">
        <f ca="1">IF(CD6&gt;AW$3," ",CD6)</f>
        <v>0</v>
      </c>
      <c r="BD14" s="85" t="b">
        <f ca="1">IF(BB15=0,BB17,IF(BB16=0,BB18,IF(BB17=0,BB19,IF(BB18=0,BB20,IF(BB19=0,BB21,IF(BB20=0,BB22,IF(BB21=0,BB23,IF(BB22=0,BB24,IF(BB23=0,BB25,IF(BB24=0,BB26))))))))))</f>
        <v>0</v>
      </c>
      <c r="BE14" s="126" t="b">
        <f ca="1">IF(BC15=0,BC17,IF(BC16=0,BC18,IF(BC17=0,BC19,IF(BC18=0,BC20,IF(BC19=0,BC21,IF(BC20=0,BC22,IF(BC21=0,BC23,IF(BC22=0,BC24,IF(BC23=0,BC25,IF(BC24=0,BC26))))))))))</f>
        <v>0</v>
      </c>
      <c r="BF14" s="89"/>
      <c r="BG14" s="382" t="s">
        <v>0</v>
      </c>
      <c r="BH14" s="382"/>
      <c r="BI14" s="383" t="s">
        <v>32</v>
      </c>
      <c r="BJ14" s="384"/>
      <c r="BK14" s="74"/>
      <c r="BL14" s="382" t="s">
        <v>0</v>
      </c>
      <c r="BM14" s="382"/>
      <c r="BN14" s="383" t="s">
        <v>32</v>
      </c>
      <c r="BO14" s="384"/>
      <c r="BP14" s="213"/>
      <c r="BQ14" s="381" t="s">
        <v>0</v>
      </c>
      <c r="BR14" s="382"/>
      <c r="BS14" s="383" t="s">
        <v>32</v>
      </c>
      <c r="BT14" s="384"/>
      <c r="BU14" s="385">
        <f>IF(J14="х"," ",B14)</f>
        <v>4</v>
      </c>
      <c r="BV14" s="377">
        <f>IF(L14="х"," ",B14)</f>
        <v>4</v>
      </c>
      <c r="BW14" s="377" t="str">
        <f>IF(BV14=" "," ",L14)</f>
        <v xml:space="preserve"> </v>
      </c>
      <c r="BX14" s="385" t="str">
        <f>IF(BU14=" "," ",J14)</f>
        <v xml:space="preserve"> </v>
      </c>
      <c r="BY14" s="61">
        <f>IF(BU14&lt;BX14,BU14,0)</f>
        <v>4</v>
      </c>
      <c r="BZ14" s="61">
        <f t="shared" si="4"/>
        <v>4</v>
      </c>
      <c r="CA14" s="124">
        <f t="array" aca="1" ref="CA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10</v>
      </c>
      <c r="CB14">
        <f>IF(BV14&lt;BW14,BV14,0)</f>
        <v>4</v>
      </c>
      <c r="CC14" s="125">
        <f t="shared" si="5"/>
        <v>4</v>
      </c>
      <c r="CD14" s="51">
        <f t="array" aca="1" ref="CD14" ca="1">IF(ROW()-ROW(Н4кр)+1&gt;ROWS(Е4кр)-COUNTBLANK(Е4кр)," ",INDIRECT(ADDRESS(SMALL((IF(Е4кр&lt;&gt;" ",ROW(Е4кр),ROW()+ROWS(Е4кр))),ROW()-ROW(Н4кр)+1),COLUMN(Е4кр),4)))</f>
        <v>10</v>
      </c>
      <c r="CF14" s="377">
        <f>IF(N14="х"," ",B14)</f>
        <v>4</v>
      </c>
      <c r="CG14" s="377" t="str">
        <f>IF(CF14=" "," ",N14)</f>
        <v xml:space="preserve"> </v>
      </c>
      <c r="CH14" s="125">
        <f>IF(CF14&lt;CG14,CF14,0)</f>
        <v>4</v>
      </c>
      <c r="CI14">
        <f t="shared" si="12"/>
        <v>4</v>
      </c>
      <c r="CJ14" s="51">
        <f t="array" aca="1" ref="CJ14" ca="1">IF(ROW()-ROW(Н5кр)+1&gt;ROWS(Е5кр)-COUNTBLANK(Е5кр)," ",INDIRECT(ADDRESS(SMALL((IF(Е5кр&lt;&gt;" ",ROW(Е5кр),ROW()+ROWS(Е5кр))),ROW()-ROW(Н5кр)+1),COLUMN(Е5кр),4)))</f>
        <v>10</v>
      </c>
      <c r="CL14" s="377">
        <f>IF(P14="х"," ",B14)</f>
        <v>4</v>
      </c>
      <c r="CM14" s="377" t="str">
        <f>IF(CL14=" "," ",P14)</f>
        <v xml:space="preserve"> </v>
      </c>
      <c r="CN14">
        <f>IF(CL14&lt;CM14,CL14,0)</f>
        <v>4</v>
      </c>
      <c r="CO14">
        <f t="shared" si="6"/>
        <v>4</v>
      </c>
      <c r="CP14">
        <f t="array" aca="1" ref="CP14" ca="1">IF(ROW()-ROW(Н6кр)+1&gt;ROWS(Е6кр)-COUNTBLANK(Е6кр)," ",INDIRECT(ADDRESS(SMALL((IF(Е6кр&lt;&gt;" ",ROW(Е6кр),ROW()+ROWS(Е6кр))),ROW()-ROW(Н6кр)+1),COLUMN(Е6кр),4)))</f>
        <v>10</v>
      </c>
      <c r="CR14" s="377">
        <f t="shared" ref="CR14" si="23">IF(R14="х"," ",B14)</f>
        <v>4</v>
      </c>
      <c r="CS14" s="377" t="str">
        <f t="shared" ref="CS14" si="24">IF(CR14=" "," ",R14)</f>
        <v xml:space="preserve"> </v>
      </c>
      <c r="CT14">
        <f>IF(CR14&lt;CS14,CR14,0)</f>
        <v>4</v>
      </c>
      <c r="CU14">
        <f t="shared" si="7"/>
        <v>4</v>
      </c>
      <c r="CV14">
        <f t="array" aca="1" ref="CV14" ca="1">IF(ROW()-ROW(Н7кр)+1&gt;ROWS(Е7кр)-COUNTBLANK(Е7кр)," ",INDIRECT(ADDRESS(SMALL((IF(Е7кр&lt;&gt;" ",ROW(Е7кр),ROW()+ROWS(Е7кр))),ROW()-ROW(Н7кр)+1),COLUMN(Е7кр),4)))</f>
        <v>10</v>
      </c>
    </row>
    <row r="15" spans="1:100" ht="12" customHeight="1" thickBot="1">
      <c r="A15" s="81"/>
      <c r="B15" s="424"/>
      <c r="C15" s="426"/>
      <c r="D15" s="428"/>
      <c r="E15" s="430"/>
      <c r="F15" s="442"/>
      <c r="G15" s="44" t="s">
        <v>180</v>
      </c>
      <c r="H15" s="439"/>
      <c r="I15" s="44"/>
      <c r="J15" s="439"/>
      <c r="K15" s="44"/>
      <c r="L15" s="439"/>
      <c r="M15" s="44"/>
      <c r="N15" s="439"/>
      <c r="O15" s="44"/>
      <c r="P15" s="439"/>
      <c r="Q15" s="44"/>
      <c r="R15" s="439"/>
      <c r="S15" s="44"/>
      <c r="T15" s="439"/>
      <c r="U15" s="47"/>
      <c r="V15" s="439"/>
      <c r="W15" s="44" t="s">
        <v>186</v>
      </c>
      <c r="X15" s="439"/>
      <c r="Y15" s="44"/>
      <c r="Z15" s="422"/>
      <c r="AA15" s="419"/>
      <c r="AB15" s="432"/>
      <c r="AC15" s="396"/>
      <c r="AD15" s="387"/>
      <c r="AE15" s="389"/>
      <c r="AF15" s="390"/>
      <c r="AG15" s="390"/>
      <c r="AH15" s="390"/>
      <c r="AI15" s="390"/>
      <c r="AJ15" s="390"/>
      <c r="AK15" s="390"/>
      <c r="AL15" s="390"/>
      <c r="AM15" s="390"/>
      <c r="AN15" s="392"/>
      <c r="AO15" s="387"/>
      <c r="AP15" s="394"/>
      <c r="AQ15" s="387"/>
      <c r="AR15" s="395"/>
      <c r="AS15" s="183"/>
      <c r="AT15" s="183"/>
      <c r="AU15" s="183"/>
      <c r="AV15" s="386"/>
      <c r="AW15" s="85">
        <f ca="1">IF(CA7&gt;AW$3," ",CA7)</f>
        <v>3</v>
      </c>
      <c r="AX15" s="58">
        <f ca="1">IF(CA8&gt;AW$3," ",CA8)</f>
        <v>4</v>
      </c>
      <c r="AY15" s="85" t="b">
        <f ca="1">IF(AW15=0,AW18,IF(AW16=0,AW19,IF(AW17=0,AW20,IF(AW18=0,AW21,IF(AW19=0,AW22,IF(AW20=0,AW23,IF(AW21=0,AW24,IF(AW22=0,AW25,IF(AW23=0,AW26,IF(AW24=0,AW27,IF(AW25=0,AW28,IF(AW26=0,AW29,IF(AW27=0,AW30,IF(AW28=0,AW31,IF(AW29=0,AW32,IF(AW30=0,AW33))))))))))))))))</f>
        <v>0</v>
      </c>
      <c r="AZ15" s="126" t="b">
        <f ca="1">IF(AX16=0,AX19,IF(AX17=0,AX20,IF(AX18=0,AX21,IF(AX19=0,AX22,IF(AX20=0,AX23,IF(AX21=0,AX24,IF(AX22=0,AX25,IF(AX23=0,AX26,IF(AX24=0,AX27,IF(AX25=0,AX28,IF(AX26=0,AX29,IF(AX27=0,AX30,IF(AX28=0,AX31,IF(AX29=0,AX32,IF(AX30=0,AX33)))))))))))))))</f>
        <v>0</v>
      </c>
      <c r="BA15" s="83"/>
      <c r="BB15" s="85">
        <f ca="1">IF(CD7&gt;AW$3," ",CD7)</f>
        <v>3</v>
      </c>
      <c r="BC15" s="58">
        <f ca="1">IF(CD8&gt;AW$3," ",CD8)</f>
        <v>4</v>
      </c>
      <c r="BD15" s="85" t="b">
        <f ca="1">IF(BB15=0,BB18,IF(BB16=0,BB19,IF(BB17=0,BB20,IF(BB18=0,BB21,IF(BB19=0,BB22,IF(BB20=0,BB23,IF(BB21=0,BB24,IF(BB22=0,BB25,IF(BB23=0,BB26,IF(BB24=0,BB27))))))))))</f>
        <v>0</v>
      </c>
      <c r="BE15" s="126" t="b">
        <f ca="1">IF(BC15=0,BC18,IF(BC16=0,BC19,IF(BC17=0,BC20,IF(BC18=0,BC21,IF(BC19=0,BC22,IF(BC20=0,BC23,IF(BC21=0,BC24,IF(BC22=0,BC25,IF(BC23=0,BC26,IF(BC24=0,BC27))))))))))</f>
        <v>0</v>
      </c>
      <c r="BF15" s="89"/>
      <c r="BG15" s="85">
        <f ca="1">IF(CJ3&gt;AW$3," ",CJ3)</f>
        <v>1</v>
      </c>
      <c r="BH15" s="58">
        <f ca="1">IF(CJ4&gt;AW$3," ",CJ4)</f>
        <v>2</v>
      </c>
      <c r="BI15" s="85">
        <f ca="1">IF(BG16=0,BG17,IF(BG17=0,BG18,IF(BG18=0,BG19,IF(BG19=0,BG20,IF(BG20=0,BG21,IF(BG21=0,BG22,IF(BG22=0,BG23,IF(BG23=0,BG24,IF(BG24=0,BG25,IF(BG25=0,BG26,IF(BG26=0,BG27)))))))))))</f>
        <v>3</v>
      </c>
      <c r="BJ15" s="126">
        <f ca="1">IF(BH16=0,BH17,IF(BH17=0,BH18,IF(BH18=0,BH19,IF(BH19=0,BH20,IF(BH20=0,BH21,IF(BH21=0,BH22,IF(BH22=0,BH23,IF(BH23=0,BH24,IF(BH24=0,BH25,IF(BH25=0,BH26,IF(BH26=0,BH27)))))))))))</f>
        <v>4</v>
      </c>
      <c r="BK15" s="74"/>
      <c r="BL15" s="85">
        <f ca="1">IF(CP3&gt;AW$3," ",CP3)</f>
        <v>1</v>
      </c>
      <c r="BM15" s="58">
        <f ca="1">IF(CP4&gt;AW$3," ",CP4)</f>
        <v>2</v>
      </c>
      <c r="BN15" s="85">
        <f ca="1">IF(BL16=0,BL17,IF(BL17=0,BL18,IF(BL18=0,BL19,IF(BL19=0,BL20,IF(BL20=0,BL21,IF(BL21=0,BL22,IF(BL22=0,BL23,IF(BL23=0,BL24,IF(BL24=0,BL25,IF(BL25=0,BL26,IF(BL26=0,BL27)))))))))))</f>
        <v>3</v>
      </c>
      <c r="BO15" s="209">
        <f ca="1">IF(BM16=0,BM17,IF(BM17=0,BM18,IF(BM18=0,BM19,IF(BM19=0,BM20,IF(BM20=0,BM21,IF(BM21=0,BM22,IF(BM22=0,BM23,IF(BM23=0,BM24,IF(BM24=0,BM25,IF(BM25=0,BM26,IF(BM26=0,BM27)))))))))))</f>
        <v>4</v>
      </c>
      <c r="BP15" s="208"/>
      <c r="BQ15" s="210">
        <f ca="1">IF(CV3&gt;AW$3," ",CV3)</f>
        <v>1</v>
      </c>
      <c r="BR15" s="58">
        <f ca="1">IF(CV4&gt;AW$3," ",CV4)</f>
        <v>2</v>
      </c>
      <c r="BS15" s="85">
        <f ca="1">IF(BQ16=0,BQ17,IF(BQ17=0,BQ18,IF(BQ18=0,BQ19,IF(BQ19=0,BQ20,IF(BQ20=0,BQ21,IF(BQ21=0,BQ22,IF(BQ22=0,BQ23,IF(BQ23=0,BQ24,IF(BQ24=0,BQ25,IF(BQ25=0,BQ26,IF(BQ26=0,BQ27)))))))))))</f>
        <v>3</v>
      </c>
      <c r="BT15" s="126">
        <f ca="1">IF(BR16=0,BR17,IF(BR17=0,BR18,IF(BR18=0,BR19,IF(BR19=0,BR20,IF(BR20=0,BR21,IF(BR21=0,BR22,IF(BR22=0,BR23,IF(BR23=0,BR24,IF(BR24=0,BR25,IF(BR25=0,BR26,IF(BR26=0,BR27)))))))))))</f>
        <v>4</v>
      </c>
      <c r="BU15" s="385"/>
      <c r="BV15" s="377"/>
      <c r="BW15" s="377"/>
      <c r="BX15" s="385"/>
      <c r="BY15" s="61" t="str">
        <f>IF(BY14&gt;=1,BX14,0)</f>
        <v xml:space="preserve"> </v>
      </c>
      <c r="BZ15" s="61" t="str">
        <f t="shared" si="4"/>
        <v xml:space="preserve"> </v>
      </c>
      <c r="CA15" s="124">
        <f t="array" aca="1" ref="CA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11</v>
      </c>
      <c r="CB15" t="str">
        <f>IF(CB14&gt;=1,BW14,0)</f>
        <v xml:space="preserve"> </v>
      </c>
      <c r="CC15" s="125" t="str">
        <f t="shared" si="5"/>
        <v xml:space="preserve"> </v>
      </c>
      <c r="CD15" s="51">
        <f t="array" aca="1" ref="CD15" ca="1">IF(ROW()-ROW(Н4кр)+1&gt;ROWS(Е4кр)-COUNTBLANK(Е4кр)," ",INDIRECT(ADDRESS(SMALL((IF(Е4кр&lt;&gt;" ",ROW(Е4кр),ROW()+ROWS(Е4кр))),ROW()-ROW(Н4кр)+1),COLUMN(Е4кр),4)))</f>
        <v>11</v>
      </c>
      <c r="CF15" s="377"/>
      <c r="CG15" s="377"/>
      <c r="CH15" s="125" t="str">
        <f>IF(CH14&gt;=1,CG14,0)</f>
        <v xml:space="preserve"> </v>
      </c>
      <c r="CI15" t="str">
        <f t="shared" si="12"/>
        <v xml:space="preserve"> </v>
      </c>
      <c r="CJ15" s="51">
        <f t="array" aca="1" ref="CJ15" ca="1">IF(ROW()-ROW(Н5кр)+1&gt;ROWS(Е5кр)-COUNTBLANK(Е5кр)," ",INDIRECT(ADDRESS(SMALL((IF(Е5кр&lt;&gt;" ",ROW(Е5кр),ROW()+ROWS(Е5кр))),ROW()-ROW(Н5кр)+1),COLUMN(Е5кр),4)))</f>
        <v>11</v>
      </c>
      <c r="CL15" s="377"/>
      <c r="CM15" s="377"/>
      <c r="CN15" t="str">
        <f>IF(CN14&gt;=1,CM14,0)</f>
        <v xml:space="preserve"> </v>
      </c>
      <c r="CO15" t="str">
        <f t="shared" si="6"/>
        <v xml:space="preserve"> </v>
      </c>
      <c r="CP15">
        <f t="array" aca="1" ref="CP15" ca="1">IF(ROW()-ROW(Н6кр)+1&gt;ROWS(Е6кр)-COUNTBLANK(Е6кр)," ",INDIRECT(ADDRESS(SMALL((IF(Е6кр&lt;&gt;" ",ROW(Е6кр),ROW()+ROWS(Е6кр))),ROW()-ROW(Н6кр)+1),COLUMN(Е6кр),4)))</f>
        <v>11</v>
      </c>
      <c r="CR15" s="377"/>
      <c r="CS15" s="377"/>
      <c r="CT15" t="str">
        <f>IF(CT14&gt;=1,CS14,0)</f>
        <v xml:space="preserve"> </v>
      </c>
      <c r="CU15" t="str">
        <f t="shared" si="7"/>
        <v xml:space="preserve"> </v>
      </c>
      <c r="CV15">
        <f t="array" aca="1" ref="CV15" ca="1">IF(ROW()-ROW(Н7кр)+1&gt;ROWS(Е7кр)-COUNTBLANK(Е7кр)," ",INDIRECT(ADDRESS(SMALL((IF(Е7кр&lt;&gt;" ",ROW(Е7кр),ROW()+ROWS(Е7кр))),ROW()-ROW(Н7кр)+1),COLUMN(Е7кр),4)))</f>
        <v>11</v>
      </c>
    </row>
    <row r="16" spans="1:100" ht="12" hidden="1" customHeight="1" thickTop="1">
      <c r="A16" s="81"/>
      <c r="B16" s="423">
        <v>5</v>
      </c>
      <c r="C16" s="425" t="e">
        <f>(VLOOKUP(B16,пр.взв!$B$7:$H$76,2,0))</f>
        <v>#N/A</v>
      </c>
      <c r="D16" s="427" t="e">
        <f>(VLOOKUP(B16,пр.взв!$B$7:$H$76,3,0))</f>
        <v>#N/A</v>
      </c>
      <c r="E16" s="429" t="e">
        <f>(VLOOKUP(B16,пр.взв!$B$7:$H$76,5,0))</f>
        <v>#N/A</v>
      </c>
      <c r="F16" s="443">
        <f t="shared" ref="F16" si="25">IF(ISERROR(C16),0,B18)</f>
        <v>0</v>
      </c>
      <c r="G16" s="42"/>
      <c r="H16" s="440"/>
      <c r="I16" s="42"/>
      <c r="J16" s="440" t="str">
        <f t="shared" si="0"/>
        <v xml:space="preserve"> </v>
      </c>
      <c r="K16" s="42"/>
      <c r="L16" s="440" t="str">
        <f t="shared" ref="L16" si="26">IF(J16="Х","Х",IF(K16&lt;2.5," ",IF(K16&gt;=2.5,IF(G16+I16+K16&gt;=6,"Х",IF(AA16&lt;6," "," ")))))</f>
        <v xml:space="preserve"> </v>
      </c>
      <c r="M16" s="220"/>
      <c r="N16" s="440" t="str">
        <f>IF(L16="Х","Х",IF(M16&lt;2.5," ",IF(M16&gt;=2.5,IF(G16+I16+K16+M16&gt;=6,"Х",IF(AA16&lt;6," "," ")))))</f>
        <v xml:space="preserve"> </v>
      </c>
      <c r="O16" s="42"/>
      <c r="P16" s="440" t="str">
        <f>IF(N16="Х","Х",IF(O16&lt;2.5," ",IF(O16&gt;=2.5,IF(G16+I16+K16+M16+O16&gt;=6,"Х",IF(AA16&lt;6," "," ")))))</f>
        <v xml:space="preserve"> </v>
      </c>
      <c r="Q16" s="42"/>
      <c r="R16" s="440" t="str">
        <f>IF(P16="Х","Х",IF(Q16&lt;2.5," ",IF(Q16&gt;=2.5,IF(G16+I16+K16+M16+O16+Q16&gt;=6,"Х",IF(AA16&lt;6," "," ")))))</f>
        <v xml:space="preserve"> </v>
      </c>
      <c r="S16" s="42"/>
      <c r="T16" s="440" t="str">
        <f t="shared" ref="T16" si="27">IF(R16="Х","Х",IF(S16&lt;2.5," ",IF(S16&gt;=2.5,IF(G16+I16+K16+M16+O16+Q16+S16&gt;=6,"Х",IF(AA16&lt;6," "," ")))))</f>
        <v xml:space="preserve"> </v>
      </c>
      <c r="U16" s="46"/>
      <c r="V16" s="440" t="str">
        <f>IF(T16="А1",$AX$7,IF(T16="Б2",$AX$6,IF(T16="Б1",$AY$7,IF(T16="А2",$AY$6,IF(T16="Х","Х",IF(T16&lt;6," "," "))))))</f>
        <v xml:space="preserve"> </v>
      </c>
      <c r="W16" s="42"/>
      <c r="X16" s="440" t="str">
        <f t="shared" ref="X16" si="28">IF(T16="Х","Х",IF(ISBLANK(W16),"",IF(W16&gt;2.5," ",IF(B16=AZ$6,AZ$7,AZ$6))))</f>
        <v/>
      </c>
      <c r="Y16" s="42"/>
      <c r="Z16" s="467" t="b">
        <f>IF(H16="Х",F5,IF(J16="Х",H5,IF(L16="Х",J5,IF(N16="Х",L5,IF(P16="Х",N5,IF(R16="Х",P5,IF(T16="Х",R5,IF(V16="Х",T5))))))))</f>
        <v>0</v>
      </c>
      <c r="AA16" s="418">
        <f>SUM(G16+I16+K16+M16+O16+Q16+S16+U16+W16+Y16)</f>
        <v>0</v>
      </c>
      <c r="AB16" s="431">
        <f t="shared" si="9"/>
        <v>20576</v>
      </c>
      <c r="AC16" s="396">
        <f>AB16</f>
        <v>20576</v>
      </c>
      <c r="AD16" s="387" t="str">
        <f>COUNTIF(AE$6:AE$119,"&gt;"&amp;AE$6:AE$119)+1&amp;REPT("-"&amp;COUNTIF(AE$6:AE$119,"&gt;="&amp;AE$6:AE$119),COUNTIF(AE$6:AE$119,AE16)&gt;1)</f>
        <v>5-56</v>
      </c>
      <c r="AE16" s="388">
        <f t="shared" ref="AE16" si="29">(AP16*100)+(AN16*10)-AA16</f>
        <v>80</v>
      </c>
      <c r="AF16" s="390" t="str">
        <f>IF(OR(F16="Х",F16="св")," ",IF(AND(G16&gt;=0,G16&lt;3),"1"," "))</f>
        <v>1</v>
      </c>
      <c r="AG16" s="390" t="str">
        <f>IF(OR(H16="Х",H16="св")," ",IF(AND(I16&gt;=0,I16&lt;3),"1"," "))</f>
        <v>1</v>
      </c>
      <c r="AH16" s="390" t="str">
        <f>IF(OR(J16="Х",J16="св")," ",IF(AND(K16&gt;=0,K16&lt;3),"1"," "))</f>
        <v>1</v>
      </c>
      <c r="AI16" s="390" t="str">
        <f>IF(OR(L16="Х",L16="св")," ",IF(AND(M16&gt;=0,M16&lt;3),"1"," "))</f>
        <v>1</v>
      </c>
      <c r="AJ16" s="390" t="str">
        <f>IF(OR(N16="Х",N16="св")," ",IF(AND(O16&gt;=0,O16&lt;3),"1"," "))</f>
        <v>1</v>
      </c>
      <c r="AK16" s="390" t="str">
        <f>IF(OR(P16="Х",P16="св")," ",IF(AND(Q16&gt;=0,Q16&lt;3),"1"," "))</f>
        <v>1</v>
      </c>
      <c r="AL16" s="390" t="str">
        <f>IF(OR(R16="Х",R16="св")," ",IF(AND(S16&gt;=0,S16&lt;3),"1"," "))</f>
        <v>1</v>
      </c>
      <c r="AM16" s="390" t="str">
        <f>IF(OR(T16="Х",T16="св")," ",IF(AND(U16&gt;=0,U16&lt;3),"1"," "))</f>
        <v>1</v>
      </c>
      <c r="AN16" s="391">
        <f>COUNTIF(AF16:AM17,1)</f>
        <v>8</v>
      </c>
      <c r="AO16" s="393">
        <f>AE16-AA16</f>
        <v>80</v>
      </c>
      <c r="AP16" s="394">
        <f t="shared" si="10"/>
        <v>0</v>
      </c>
      <c r="AQ16" s="387" t="str">
        <f>COUNTIF(AE$6:AE$119,"&gt;"&amp;AE$6:AE$119)+1&amp;REPT("-"&amp;COUNTIF(AE$6:AE$119,"&gt;="&amp;AE$6:AE$119),COUNTIF(AE$6:AE$119,AE16)&gt;1)</f>
        <v>5-56</v>
      </c>
      <c r="AR16" s="395"/>
      <c r="AS16" s="183"/>
      <c r="AT16" s="183"/>
      <c r="AU16" s="183"/>
      <c r="AV16" s="386">
        <f t="shared" ref="AV16" si="30">IF(V16="Х","Х",IF(W16&lt;3,B16,"Х"))</f>
        <v>5</v>
      </c>
      <c r="AW16" s="85" t="str">
        <f ca="1">IF(CA9&gt;AW$3," ",CA9)</f>
        <v xml:space="preserve"> </v>
      </c>
      <c r="AX16" s="126" t="str">
        <f ca="1">IF(CA12&gt;AW$3," ",CA12)</f>
        <v xml:space="preserve"> </v>
      </c>
      <c r="AY16" s="85" t="b">
        <f ca="1">IF(AW16=0,AW20,IF(AW17=0,AW21,IF(AW18=0,AW22,IF(AW19=0,AW23,IF(AW20=0,AW24,IF(AW21=0,AW25,IF(AW22=0,AW26,IF(AW23=0,AW27,IF(AW24=0,AW28,IF(AW25=0,AW29,IF(AW26=0,AW30,IF(AW27=0,AW31,IF(AW28=0,AW32,IF(AW29=0,AW33))))))))))))))</f>
        <v>0</v>
      </c>
      <c r="AZ16" s="126" t="b">
        <f ca="1">IF(AX17=0,AX21,IF(AX18=0,AX22,IF(AX19=0,AX23,IF(AX20=0,AX24,IF(AX21=0,AX25,IF(AX22=0,AX26,IF(AX23=0,AX27,IF(AX24=0,AX28,IF(AX25=0,AX29,IF(AX26=0,AX30,IF(AX27=0,AX31,IF(AX28=0,AX32,IF(AX29=0,AX33)))))))))))))</f>
        <v>0</v>
      </c>
      <c r="BA16" s="83"/>
      <c r="BB16" s="85" t="str">
        <f ca="1">IF(CD9&gt;AW$3," ",CD9)</f>
        <v xml:space="preserve"> </v>
      </c>
      <c r="BC16" s="58" t="str">
        <f ca="1">IF(CD12&gt;AW$3," ",CD12)</f>
        <v xml:space="preserve"> </v>
      </c>
      <c r="BD16" s="85" t="b">
        <f ca="1">IF(BB15=0,BB19,IF(BB16=0,BB20,IF(BB17=0,BB21,IF(BB18=0,BB22,IF(BB19=0,BB23,IF(BB20=0,BB24,IF(BB21=0,BB25,IF(BB22=0,BB26,IF(BB23=0,BB27)))))))))</f>
        <v>0</v>
      </c>
      <c r="BE16" s="126" t="b">
        <f ca="1">IF(BC15=0,BC19,IF(BC16=0,BC20,IF(BC17=0,BC21,IF(BC18=0,BC22,IF(BC19=0,BC23,IF(BC20=0,BC24,IF(BC21=0,BC25,IF(BC22=0,BC26,IF(BC23=0,BC27)))))))))</f>
        <v>0</v>
      </c>
      <c r="BF16" s="89"/>
      <c r="BG16" s="85">
        <f ca="1">IF(CJ5&gt;AW$3," ",CJ5)</f>
        <v>0</v>
      </c>
      <c r="BH16" s="58">
        <f ca="1">IF(CJ6&gt;AW$3," ",CJ6)</f>
        <v>0</v>
      </c>
      <c r="BI16" s="85" t="b">
        <f ca="1">IF(BG17=0,BG19,IF(BG18=0,BG20,IF(BG19=0,BG21,IF(BG20=0,BG22,IF(BG21=0,BG23,IF(BG22=0,BG24,IF(BG23=0,BG25,IF(BG24=0,BG26,IF(BG25=0,BG27)))))))))</f>
        <v>0</v>
      </c>
      <c r="BJ16" s="126" t="b">
        <f ca="1">IF(BH17=0,BH19,IF(BH18=0,BH20,IF(BH19=0,BH21,IF(BH20=0,BH22,IF(BH21=0,BH23,IF(BH22=0,BH24,IF(BH23=0,BH25,IF(BH24=0,BH26,IF(BH25=0,BH27)))))))))</f>
        <v>0</v>
      </c>
      <c r="BK16" s="74"/>
      <c r="BL16" s="85">
        <f ca="1">IF(CP5&gt;AW$3," ",CP5)</f>
        <v>0</v>
      </c>
      <c r="BM16" s="58">
        <f ca="1">IF(CP6&gt;AW$3," ",CP6)</f>
        <v>0</v>
      </c>
      <c r="BN16" s="85" t="b">
        <f ca="1">IF(BL17=0,BL19,IF(BL18=0,BL20,IF(BL19=0,BL21,IF(BL20=0,BL22,IF(BL21=0,BL23,IF(BL22=0,BL24,IF(BL23=0,BL25)))))))</f>
        <v>0</v>
      </c>
      <c r="BO16" s="209" t="b">
        <f ca="1">IF(BM17=0,BM19,IF(BM18=0,BM20,IF(BM19=0,BM21,IF(BM20=0,BM22,IF(BM21=0,BM23,IF(BM22=0,BM24,IF(BM23=0,BM25)))))))</f>
        <v>0</v>
      </c>
      <c r="BP16" s="208"/>
      <c r="BQ16" s="210">
        <f ca="1">IF(CV5&gt;AW$3," ",CV5)</f>
        <v>0</v>
      </c>
      <c r="BR16" s="58">
        <f ca="1">IF(CV6&gt;AW$3," ",CV6)</f>
        <v>0</v>
      </c>
      <c r="BS16" s="85" t="str">
        <f ca="1">IF(BQ16=0,BQ18,IF(BQ17=0,BQ19,IF(BQ18=0,BQ20,IF(BQ19=0,BQ21,IF(BQ20=0,BQ22,IF(BQ21=0,BQ23,IF(BQ22=0,BQ24,IF(BQ23=0,BQ24,IF(BQ24=0,BQ25,IF(BQ25=0,BQ26,IF(BQ26=0,BQ27)))))))))))</f>
        <v xml:space="preserve"> </v>
      </c>
      <c r="BT16" s="126" t="str">
        <f ca="1">IF(BR16=0,BR18,IF(BR17=0,BR19,IF(BR18=0,BR20,IF(BR19=0,BR21))))</f>
        <v xml:space="preserve"> </v>
      </c>
      <c r="BU16" s="377">
        <f>IF(J16="х"," ",B16)</f>
        <v>5</v>
      </c>
      <c r="BV16" s="377">
        <f>IF(L16="х"," ",B16)</f>
        <v>5</v>
      </c>
      <c r="BW16" s="377" t="str">
        <f>IF(BV16=" "," ",L16)</f>
        <v xml:space="preserve"> </v>
      </c>
      <c r="BX16" s="377" t="str">
        <f>IF(BU16=" "," ",J16)</f>
        <v xml:space="preserve"> </v>
      </c>
      <c r="BY16" s="61">
        <f>IF(BU16&lt;BX16,BU16,0)</f>
        <v>5</v>
      </c>
      <c r="BZ16" s="61">
        <f t="shared" si="4"/>
        <v>5</v>
      </c>
      <c r="CA16" s="124">
        <f t="array" aca="1" ref="CA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12</v>
      </c>
      <c r="CB16">
        <f>IF(BV16&lt;BW16,BV16,0)</f>
        <v>5</v>
      </c>
      <c r="CC16" s="125">
        <f t="shared" si="5"/>
        <v>5</v>
      </c>
      <c r="CD16" s="51">
        <f t="array" aca="1" ref="CD16" ca="1">IF(ROW()-ROW(Н4кр)+1&gt;ROWS(Е4кр)-COUNTBLANK(Е4кр)," ",INDIRECT(ADDRESS(SMALL((IF(Е4кр&lt;&gt;" ",ROW(Е4кр),ROW()+ROWS(Е4кр))),ROW()-ROW(Н4кр)+1),COLUMN(Е4кр),4)))</f>
        <v>12</v>
      </c>
      <c r="CF16" s="377">
        <f>IF(N16="х"," ",B16)</f>
        <v>5</v>
      </c>
      <c r="CG16" s="377" t="str">
        <f>IF(CF16=" "," ",N16)</f>
        <v xml:space="preserve"> </v>
      </c>
      <c r="CH16" s="125">
        <f>IF(CF16&lt;CG16,CF16,0)</f>
        <v>5</v>
      </c>
      <c r="CI16">
        <f t="shared" si="12"/>
        <v>5</v>
      </c>
      <c r="CJ16" s="51">
        <f t="array" aca="1" ref="CJ16" ca="1">IF(ROW()-ROW(Н5кр)+1&gt;ROWS(Е5кр)-COUNTBLANK(Е5кр)," ",INDIRECT(ADDRESS(SMALL((IF(Е5кр&lt;&gt;" ",ROW(Е5кр),ROW()+ROWS(Е5кр))),ROW()-ROW(Н5кр)+1),COLUMN(Е5кр),4)))</f>
        <v>12</v>
      </c>
      <c r="CL16" s="377">
        <f>IF(P16="х"," ",B16)</f>
        <v>5</v>
      </c>
      <c r="CM16" s="377" t="str">
        <f>IF(CL16=" "," ",P16)</f>
        <v xml:space="preserve"> </v>
      </c>
      <c r="CN16">
        <f>IF(CL16&lt;CM16,CL16,0)</f>
        <v>5</v>
      </c>
      <c r="CO16">
        <f t="shared" si="6"/>
        <v>5</v>
      </c>
      <c r="CP16">
        <f t="array" aca="1" ref="CP16" ca="1">IF(ROW()-ROW(Н6кр)+1&gt;ROWS(Е6кр)-COUNTBLANK(Е6кр)," ",INDIRECT(ADDRESS(SMALL((IF(Е6кр&lt;&gt;" ",ROW(Е6кр),ROW()+ROWS(Е6кр))),ROW()-ROW(Н6кр)+1),COLUMN(Е6кр),4)))</f>
        <v>12</v>
      </c>
      <c r="CR16" s="377">
        <f t="shared" ref="CR16" si="31">IF(R16="х"," ",B16)</f>
        <v>5</v>
      </c>
      <c r="CS16" s="377" t="str">
        <f t="shared" ref="CS16" si="32">IF(CR16=" "," ",R16)</f>
        <v xml:space="preserve"> </v>
      </c>
      <c r="CT16">
        <f>IF(CR16&lt;CS16,CR16,0)</f>
        <v>5</v>
      </c>
      <c r="CU16">
        <f t="shared" si="7"/>
        <v>5</v>
      </c>
      <c r="CV16">
        <f t="array" aca="1" ref="CV16" ca="1">IF(ROW()-ROW(Н7кр)+1&gt;ROWS(Е7кр)-COUNTBLANK(Е7кр)," ",INDIRECT(ADDRESS(SMALL((IF(Е7кр&lt;&gt;" ",ROW(Е7кр),ROW()+ROWS(Е7кр))),ROW()-ROW(Н7кр)+1),COLUMN(Е7кр),4)))</f>
        <v>12</v>
      </c>
    </row>
    <row r="17" spans="1:100" ht="12" hidden="1" customHeight="1" thickBot="1">
      <c r="A17" s="81"/>
      <c r="B17" s="424"/>
      <c r="C17" s="426"/>
      <c r="D17" s="428"/>
      <c r="E17" s="430"/>
      <c r="F17" s="442"/>
      <c r="G17" s="44"/>
      <c r="H17" s="439"/>
      <c r="I17" s="44"/>
      <c r="J17" s="439"/>
      <c r="K17" s="44"/>
      <c r="L17" s="439"/>
      <c r="M17" s="44"/>
      <c r="N17" s="439"/>
      <c r="O17" s="44"/>
      <c r="P17" s="439"/>
      <c r="Q17" s="44"/>
      <c r="R17" s="439"/>
      <c r="S17" s="44"/>
      <c r="T17" s="439"/>
      <c r="U17" s="47"/>
      <c r="V17" s="439"/>
      <c r="W17" s="44"/>
      <c r="X17" s="439"/>
      <c r="Y17" s="44"/>
      <c r="Z17" s="422"/>
      <c r="AA17" s="419"/>
      <c r="AB17" s="432"/>
      <c r="AC17" s="396"/>
      <c r="AD17" s="387"/>
      <c r="AE17" s="389"/>
      <c r="AF17" s="390"/>
      <c r="AG17" s="390"/>
      <c r="AH17" s="390"/>
      <c r="AI17" s="390"/>
      <c r="AJ17" s="390"/>
      <c r="AK17" s="390"/>
      <c r="AL17" s="390"/>
      <c r="AM17" s="390"/>
      <c r="AN17" s="392"/>
      <c r="AO17" s="387"/>
      <c r="AP17" s="394"/>
      <c r="AQ17" s="387"/>
      <c r="AR17" s="395"/>
      <c r="AS17" s="183"/>
      <c r="AT17" s="183"/>
      <c r="AU17" s="183"/>
      <c r="AV17" s="386"/>
      <c r="AW17" s="85" t="str">
        <f ca="1">IF(CA13&gt;AW$3," ",CA13)</f>
        <v xml:space="preserve"> </v>
      </c>
      <c r="AX17" s="126" t="str">
        <f ca="1">IF(CA14&gt;AW$3," ",CA14)</f>
        <v xml:space="preserve"> </v>
      </c>
      <c r="AY17" s="85" t="b">
        <f ca="1">IF(AW17=0,AW22,IF(AW18=0,AW23,IF(AW19=0,AW24,IF(AW20=0,AW25,IF(AW21=0,AW26,IF(AW22=0,AW27,IF(AW23=0,AW28,IF(AW24=0,AW29,IF(AW25=0,AW30,IF(AW26=0,AW31,IF(AW27=0,AW32)))))))))))</f>
        <v>0</v>
      </c>
      <c r="AZ17" s="126" t="b">
        <f ca="1">IF(AX17=0,AX22,IF(AX18=0,AX23,IF(AX19=0,AX24,IF(AX20=0,AX25,IF(AX21=0,AX26,IF(AX22=0,AX27,IF(AX23=0,AX28,IF(AX24=0,AX29,IF(AX25=0,AX30,IF(AX26=0,AX31,IF(AX27=0,AX32)))))))))))</f>
        <v>0</v>
      </c>
      <c r="BA17" s="83"/>
      <c r="BB17" s="85" t="str">
        <f ca="1">IF(CD13&gt;AW$3," ",CD13)</f>
        <v xml:space="preserve"> </v>
      </c>
      <c r="BC17" s="58" t="str">
        <f ca="1">IF(CD14&gt;AW$3," ",CD14)</f>
        <v xml:space="preserve"> </v>
      </c>
      <c r="BD17" s="85" t="b">
        <f ca="1">IF(BB15=0,BB20,IF(BB16=0,BB21,IF(BB17=0,BB22,IF(BB18=0,BB23,IF(BB19=0,BB24,IF(BB20=0,BB25,IF(BB21=0,BB26,IF(BB22=0,BB27))))))))</f>
        <v>0</v>
      </c>
      <c r="BE17" s="126" t="b">
        <f ca="1">IF(BC15=0,BC20,IF(BC16=0,BC21,IF(BC17=0,BC22,IF(BC18=0,BC23,IF(BC19=0,BC24,IF(BC20=0,BC25,IF(BC21=0,BC26,IF(BC22=0,BC27))))))))</f>
        <v>0</v>
      </c>
      <c r="BF17" s="89"/>
      <c r="BG17" s="85">
        <f ca="1">IF(CJ7&gt;AW$3," ",CJ7)</f>
        <v>3</v>
      </c>
      <c r="BH17" s="58">
        <f ca="1">IF(CJ8&gt;AW$3," ",CJ8)</f>
        <v>4</v>
      </c>
      <c r="BI17" s="85" t="b">
        <f ca="1">IF(BG18=0,BG21,IF(BG19=0,BG22,IF(BG20=0,BG23,IF(BG21=0,BG24,IF(BG22=0,BG25,IF(BG23=0,BG26,IF(BG24=0,BG27)))))))</f>
        <v>0</v>
      </c>
      <c r="BJ17" s="126" t="b">
        <f ca="1">IF(BH18=0,BH21,IF(BH19=0,BH22,IF(BH20=0,BH23,IF(BH21=0,BH24,IF(BH22=0,BH25,IF(BH23=0,BH26,IF(BH24=0,BH27)))))))</f>
        <v>0</v>
      </c>
      <c r="BK17" s="74"/>
      <c r="BL17" s="85">
        <f ca="1">IF(CP7&gt;AW$3," ",CP7)</f>
        <v>3</v>
      </c>
      <c r="BM17" s="58">
        <f ca="1">IF(CP8&gt;AW$3," ",CP8)</f>
        <v>4</v>
      </c>
      <c r="BN17" s="85" t="b">
        <f ca="1">IF(BL17=0,BL20,IF(BL18=0,BL21,IF(BL19=0,BL22,IF(BL20=0,BL23,IF(BL21=0,BL24,IF(BL22=0,BL25,IF(BL23=0,BL26)))))))</f>
        <v>0</v>
      </c>
      <c r="BO17" s="209" t="b">
        <f ca="1">IF(BM17=0,BM20,IF(BM18=0,BM21,IF(BM19=0,BM22,IF(BM20=0,BM23,IF(BM21=0,BM24,IF(BM22=0,BM25,IF(BM23=0,BM26)))))))</f>
        <v>0</v>
      </c>
      <c r="BP17" s="208"/>
      <c r="BQ17" s="210">
        <f ca="1">IF(CV7&gt;AW$3," ",CV7)</f>
        <v>3</v>
      </c>
      <c r="BR17" s="58">
        <f ca="1">IF(CV8&gt;AW$3," ",CV8)</f>
        <v>4</v>
      </c>
      <c r="BS17" s="85" t="str">
        <f ca="1">IF(BQ16=0,BQ19,IF(BQ17=0,BQ20,IF(BQ18=0,BQ21,IF(BQ19=0,BQ21,IF(BQ20=0,BQ22,IF(BQ21=0,BQ23,IF(BQ22=0,BQ24,IF(BQ23=0,BQ24,IF(BQ24=0,BQ25,IF(BQ25=0,BQ26,IF(BQ26=0,BQ27)))))))))))</f>
        <v xml:space="preserve"> </v>
      </c>
      <c r="BT17" s="126" t="str">
        <f ca="1">IF(BR16=0,BR19,IF(BR17=0,BR20,IF(BR18=0,BR21,IF(BR19=0,BR22))))</f>
        <v xml:space="preserve"> </v>
      </c>
      <c r="BU17" s="377"/>
      <c r="BV17" s="377"/>
      <c r="BW17" s="377"/>
      <c r="BX17" s="377"/>
      <c r="BY17" s="61" t="str">
        <f>IF(BY16&gt;=1,BX16,0)</f>
        <v xml:space="preserve"> </v>
      </c>
      <c r="BZ17" s="61" t="str">
        <f t="shared" si="4"/>
        <v xml:space="preserve"> </v>
      </c>
      <c r="CA17" s="124">
        <f t="array" aca="1" ref="CA1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13</v>
      </c>
      <c r="CB17" t="str">
        <f>IF(CB16&gt;=1,BW16,0)</f>
        <v xml:space="preserve"> </v>
      </c>
      <c r="CC17" s="125" t="str">
        <f t="shared" si="5"/>
        <v xml:space="preserve"> </v>
      </c>
      <c r="CD17" s="51">
        <f t="array" aca="1" ref="CD17" ca="1">IF(ROW()-ROW(Н4кр)+1&gt;ROWS(Е4кр)-COUNTBLANK(Е4кр)," ",INDIRECT(ADDRESS(SMALL((IF(Е4кр&lt;&gt;" ",ROW(Е4кр),ROW()+ROWS(Е4кр))),ROW()-ROW(Н4кр)+1),COLUMN(Е4кр),4)))</f>
        <v>13</v>
      </c>
      <c r="CF17" s="377"/>
      <c r="CG17" s="377"/>
      <c r="CH17" s="125" t="str">
        <f>IF(CH16&gt;=1,CG16,0)</f>
        <v xml:space="preserve"> </v>
      </c>
      <c r="CI17" t="str">
        <f t="shared" si="12"/>
        <v xml:space="preserve"> </v>
      </c>
      <c r="CJ17" s="51">
        <f t="array" aca="1" ref="CJ17" ca="1">IF(ROW()-ROW(Н5кр)+1&gt;ROWS(Е5кр)-COUNTBLANK(Е5кр)," ",INDIRECT(ADDRESS(SMALL((IF(Е5кр&lt;&gt;" ",ROW(Е5кр),ROW()+ROWS(Е5кр))),ROW()-ROW(Н5кр)+1),COLUMN(Е5кр),4)))</f>
        <v>13</v>
      </c>
      <c r="CL17" s="377"/>
      <c r="CM17" s="377"/>
      <c r="CN17" t="str">
        <f>IF(CN16&gt;=1,CM16,0)</f>
        <v xml:space="preserve"> </v>
      </c>
      <c r="CO17" t="str">
        <f t="shared" si="6"/>
        <v xml:space="preserve"> </v>
      </c>
      <c r="CP17">
        <f t="array" aca="1" ref="CP17" ca="1">IF(ROW()-ROW(Н6кр)+1&gt;ROWS(Е6кр)-COUNTBLANK(Е6кр)," ",INDIRECT(ADDRESS(SMALL((IF(Е6кр&lt;&gt;" ",ROW(Е6кр),ROW()+ROWS(Е6кр))),ROW()-ROW(Н6кр)+1),COLUMN(Е6кр),4)))</f>
        <v>13</v>
      </c>
      <c r="CR17" s="377"/>
      <c r="CS17" s="377"/>
      <c r="CT17" t="str">
        <f>IF(CT16&gt;=1,CS16,0)</f>
        <v xml:space="preserve"> </v>
      </c>
      <c r="CU17" t="str">
        <f t="shared" si="7"/>
        <v xml:space="preserve"> </v>
      </c>
      <c r="CV17">
        <f t="array" aca="1" ref="CV17" ca="1">IF(ROW()-ROW(Н7кр)+1&gt;ROWS(Е7кр)-COUNTBLANK(Е7кр)," ",INDIRECT(ADDRESS(SMALL((IF(Е7кр&lt;&gt;" ",ROW(Е7кр),ROW()+ROWS(Е7кр))),ROW()-ROW(Н7кр)+1),COLUMN(Е7кр),4)))</f>
        <v>13</v>
      </c>
    </row>
    <row r="18" spans="1:100" ht="12" hidden="1" customHeight="1" thickTop="1">
      <c r="A18" s="81"/>
      <c r="B18" s="414">
        <v>6</v>
      </c>
      <c r="C18" s="436" t="e">
        <f>(VLOOKUP(B18,пр.взв!$B$7:$H$76,2,0))</f>
        <v>#N/A</v>
      </c>
      <c r="D18" s="437" t="e">
        <f>(VLOOKUP(B18,пр.взв!$B$7:$H$76,3,0))</f>
        <v>#N/A</v>
      </c>
      <c r="E18" s="458" t="e">
        <f>(VLOOKUP(B18,пр.взв!$B$7:$H$76,5,0))</f>
        <v>#N/A</v>
      </c>
      <c r="F18" s="441">
        <f t="shared" ref="F18" si="33">IF(ISERROR(C18),0,B16)</f>
        <v>0</v>
      </c>
      <c r="G18" s="41"/>
      <c r="H18" s="444"/>
      <c r="I18" s="41"/>
      <c r="J18" s="444" t="str">
        <f t="shared" si="0"/>
        <v xml:space="preserve"> </v>
      </c>
      <c r="K18" s="41"/>
      <c r="L18" s="444" t="str">
        <f t="shared" ref="L18" si="34">IF(J18="Х","Х",IF(K18&lt;2.5," ",IF(K18&gt;=2.5,IF(G18+I18+K18&gt;=6,"Х",IF(AA18&lt;6," "," ")))))</f>
        <v xml:space="preserve"> </v>
      </c>
      <c r="M18" s="41"/>
      <c r="N18" s="444" t="str">
        <f>IF(L18="Х","Х",IF(M18&lt;2.5," ",IF(M18&gt;=2.5,IF(G18+I18+K18+M18&gt;=6,"Х",IF(AA18&lt;6," "," ")))))</f>
        <v xml:space="preserve"> </v>
      </c>
      <c r="O18" s="41"/>
      <c r="P18" s="444" t="str">
        <f>IF(N18="Х","Х",IF(O18&lt;2.5," ",IF(O18&gt;=2.5,IF(G18+I18+K18+M18+O18&gt;=6,"Х",IF(AA18&lt;6," "," ")))))</f>
        <v xml:space="preserve"> </v>
      </c>
      <c r="Q18" s="41"/>
      <c r="R18" s="444" t="str">
        <f>IF(P18="Х","Х",IF(Q18&lt;2.5," ",IF(Q18&gt;=2.5,IF(G18+I18+K18+M18+O18+Q18&gt;=6,"Х",IF(AA18&lt;6," "," ")))))</f>
        <v xml:space="preserve"> </v>
      </c>
      <c r="S18" s="41"/>
      <c r="T18" s="444" t="str">
        <f t="shared" ref="T18" si="35">IF(R18="Х","Х",IF(S18&lt;2.5," ",IF(S18&gt;=2.5,IF(G18+I18+K18+M18+O18+Q18+S18&gt;=6,"Х",IF(AA18&lt;6," "," ")))))</f>
        <v xml:space="preserve"> </v>
      </c>
      <c r="U18" s="45"/>
      <c r="V18" s="444" t="str">
        <f>IF(T18="А1",$AX$7,IF(T18="Б2",$AX$6,IF(T18="Б1",$AY$7,IF(T18="А2",$AY$6,IF(T18="Х","Х",IF(T18&lt;6," "," "))))))</f>
        <v xml:space="preserve"> </v>
      </c>
      <c r="W18" s="41"/>
      <c r="X18" s="444" t="str">
        <f t="shared" ref="X18" si="36">IF(T18="Х","Х",IF(ISBLANK(W18),"",IF(W18&gt;2.5," ",IF(B18=AZ$6,AZ$7,AZ$6))))</f>
        <v/>
      </c>
      <c r="Y18" s="41"/>
      <c r="Z18" s="421" t="b">
        <f>IF(H18="Х",F5,IF(J18="Х",H5,IF(L18="Х",J5,IF(N18="Х",L5,IF(P18="Х",N5,IF(R18="Х",P5,IF(T18="Х",R5,IF(V18="Х",T5))))))))</f>
        <v>0</v>
      </c>
      <c r="AA18" s="420">
        <f>SUM(G18+I18+K18+M18+O18+Q18+S18+U18+W18+Y18)</f>
        <v>0</v>
      </c>
      <c r="AB18" s="431">
        <f t="shared" si="9"/>
        <v>20576</v>
      </c>
      <c r="AC18" s="386">
        <f>AB18</f>
        <v>20576</v>
      </c>
      <c r="AD18" s="387" t="str">
        <f>COUNTIF(AE$6:AE$119,"&gt;"&amp;AE$6:AE$119)+1&amp;REPT("-"&amp;COUNTIF(AE$6:AE$119,"&gt;="&amp;AE$6:AE$119),COUNTIF(AE$6:AE$119,AE18)&gt;1)</f>
        <v>5-56</v>
      </c>
      <c r="AE18" s="388">
        <f t="shared" ref="AE18" si="37">(AP18*100)+(AN18*10)-AA18</f>
        <v>80</v>
      </c>
      <c r="AF18" s="390" t="str">
        <f>IF(OR(F18="Х",F18="св")," ",IF(AND(G18&gt;=0,G18&lt;3),"1"," "))</f>
        <v>1</v>
      </c>
      <c r="AG18" s="390" t="str">
        <f>IF(OR(H18="Х",H18="св")," ",IF(AND(I18&gt;=0,I18&lt;3),"1"," "))</f>
        <v>1</v>
      </c>
      <c r="AH18" s="390" t="str">
        <f>IF(OR(J18="Х",J18="св")," ",IF(AND(K18&gt;=0,K18&lt;3),"1"," "))</f>
        <v>1</v>
      </c>
      <c r="AI18" s="390" t="str">
        <f>IF(OR(L18="Х",L18="св")," ",IF(AND(M18&gt;=0,M18&lt;3),"1"," "))</f>
        <v>1</v>
      </c>
      <c r="AJ18" s="390" t="str">
        <f>IF(OR(N18="Х",N18="св")," ",IF(AND(O18&gt;=0,O18&lt;3),"1"," "))</f>
        <v>1</v>
      </c>
      <c r="AK18" s="390" t="str">
        <f>IF(OR(P18="Х",P18="св")," ",IF(AND(Q18&gt;=0,Q18&lt;3),"1"," "))</f>
        <v>1</v>
      </c>
      <c r="AL18" s="390" t="str">
        <f>IF(OR(R18="Х",R18="св")," ",IF(AND(S18&gt;=0,S18&lt;3),"1"," "))</f>
        <v>1</v>
      </c>
      <c r="AM18" s="390" t="str">
        <f>IF(OR(T18="Х",T18="св")," ",IF(AND(U18&gt;=0,U18&lt;3),"1"," "))</f>
        <v>1</v>
      </c>
      <c r="AN18" s="391">
        <f>COUNTIF(AF18:AM19,1)</f>
        <v>8</v>
      </c>
      <c r="AO18" s="393">
        <f>AE18-AA18</f>
        <v>80</v>
      </c>
      <c r="AP18" s="394">
        <f t="shared" si="10"/>
        <v>0</v>
      </c>
      <c r="AQ18" s="387" t="str">
        <f>COUNTIF(AE$6:AE$119,"&gt;"&amp;AE$6:AE$119)+1&amp;REPT("-"&amp;COUNTIF(AE$6:AE$119,"&gt;="&amp;AE$6:AE$119),COUNTIF(AE$6:AE$119,AE18)&gt;1)</f>
        <v>5-56</v>
      </c>
      <c r="AR18" s="395"/>
      <c r="AS18" s="183"/>
      <c r="AT18" s="183"/>
      <c r="AU18" s="183"/>
      <c r="AV18" s="386">
        <f t="shared" ref="AV18" si="38">IF(V18="Х","Х",IF(W18&lt;3,B18,"Х"))</f>
        <v>6</v>
      </c>
      <c r="AW18" s="85" t="str">
        <f ca="1">IF(CA15&gt;AW$3," ",CA15)</f>
        <v xml:space="preserve"> </v>
      </c>
      <c r="AX18" s="126" t="str">
        <f ca="1">IF(CA16&gt;AW$3," ",CA16)</f>
        <v xml:space="preserve"> </v>
      </c>
      <c r="AY18" s="85" t="b">
        <f ca="1">IF(AW17=0,AW23,IF(AW18=0,AW24,IF(AW19=0,AW25,IF(AW20=0,AW26,IF(AW21=0,AW27,IF(AW22=0,AW28,IF(AW23=0,AW29,IF(AW24=0,AW30,IF(AW25=0,AW31,IF(AW26=0,AW32))))))))))</f>
        <v>0</v>
      </c>
      <c r="AZ18" s="126" t="b">
        <f ca="1">IF(AX17=0,AX23,IF(AX18=0,AX24,IF(AX19=0,AX25,IF(AX20=0,AX26,IF(AX21=0,AX27,IF(AX22=0,AX28,IF(AX23=0,AX29,IF(AX24=0,AX30,IF(AX25=0,AX31,IF(AX26=0,AX32))))))))))</f>
        <v>0</v>
      </c>
      <c r="BA18" s="83"/>
      <c r="BB18" s="85" t="str">
        <f ca="1">IF(CD15&gt;AW$3," ",CD15)</f>
        <v xml:space="preserve"> </v>
      </c>
      <c r="BC18" s="58" t="str">
        <f ca="1">IF(CD16&gt;AW$3," ",CD16)</f>
        <v xml:space="preserve"> </v>
      </c>
      <c r="BD18" s="85" t="b">
        <f ca="1">IF(BB15=0,BB21,IF(BB16=0,BB22,IF(BB17=0,BB23,IF(BB18=0,BB24,IF(BB19=0,BB25,IF(BB20=0,BB26,IF(BB21=0,BB27)))))))</f>
        <v>0</v>
      </c>
      <c r="BE18" s="126" t="b">
        <f ca="1">IF(BC15=0,BC21,IF(BC16=0,BC22,IF(BC17=0,BC23,IF(BC18=0,BC24,IF(BC19=0,BC25,IF(BC20=0,BC26,IF(BC21=0,BC27)))))))</f>
        <v>0</v>
      </c>
      <c r="BF18" s="89"/>
      <c r="BG18" s="85" t="str">
        <f ca="1">IF(CJ9&gt;AW$3," ",CJ9)</f>
        <v xml:space="preserve"> </v>
      </c>
      <c r="BH18" s="58" t="str">
        <f ca="1">IF(CJ12&gt;AW$3," ",CJ12)</f>
        <v xml:space="preserve"> </v>
      </c>
      <c r="BI18" s="85" t="b">
        <f ca="1">IF(BG19=0,BG23,IF(BG20=0,BG24,IF(BG21=0,BG25,IF(BG22=0,BG26,IF(BG23=0,BG27)))))</f>
        <v>0</v>
      </c>
      <c r="BJ18" s="126" t="b">
        <f ca="1">IF(BH19=0,BH23,IF(BH20=0,BH24,IF(BH21=0,BH25,IF(BH22=0,BH26,IF(BH23=0,BH27)))))</f>
        <v>0</v>
      </c>
      <c r="BK18" s="74"/>
      <c r="BL18" s="85" t="str">
        <f ca="1">IF(CP9&gt;AW$3," ",CP9)</f>
        <v xml:space="preserve"> </v>
      </c>
      <c r="BM18" s="58" t="str">
        <f ca="1">IF(CP12&gt;AW$3," ",CP12)</f>
        <v xml:space="preserve"> </v>
      </c>
      <c r="BN18" s="85" t="b">
        <f ca="1">IF(BL17=0,BL21,IF(BL18=0,BL22,IF(BL19=0,BL23,IF(BL20=0,BL24,IF(BL21=0,BL25,IF(BL22=0,BL26,IF(BL23=0,BL27)))))))</f>
        <v>0</v>
      </c>
      <c r="BO18" s="209" t="b">
        <f ca="1">IF(BM17=0,BM21,IF(BM18=0,BM22,IF(BM19=0,BM23,IF(BM20=0,BM24,IF(BM21=0,BM25,IF(BM22=0,BM26,IF(BM23=0,BM27)))))))</f>
        <v>0</v>
      </c>
      <c r="BP18" s="208"/>
      <c r="BQ18" s="210" t="str">
        <f ca="1">IF(CV9&gt;AW$3," ",CV9)</f>
        <v xml:space="preserve"> </v>
      </c>
      <c r="BR18" s="58" t="str">
        <f ca="1">IF(CV12&gt;AW$3," ",CV12)</f>
        <v xml:space="preserve"> </v>
      </c>
      <c r="BS18" s="85"/>
      <c r="BT18" s="126"/>
      <c r="BU18" s="377">
        <f>IF(J18="х"," ",B18)</f>
        <v>6</v>
      </c>
      <c r="BV18" s="377">
        <f>IF(L18="х"," ",B18)</f>
        <v>6</v>
      </c>
      <c r="BW18" s="377" t="str">
        <f>IF(BV18=" "," ",L18)</f>
        <v xml:space="preserve"> </v>
      </c>
      <c r="BX18" s="377" t="str">
        <f>IF(BU18=" "," ",J18)</f>
        <v xml:space="preserve"> </v>
      </c>
      <c r="BY18" s="61">
        <f>IF(BU18&lt;BX18,BU18,0)</f>
        <v>6</v>
      </c>
      <c r="BZ18" s="61">
        <f t="shared" si="4"/>
        <v>6</v>
      </c>
      <c r="CA18" s="124">
        <f t="array" aca="1" ref="CA1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14</v>
      </c>
      <c r="CB18">
        <f>IF(BV18&lt;BW18,BV18,0)</f>
        <v>6</v>
      </c>
      <c r="CC18" s="125">
        <f t="shared" si="5"/>
        <v>6</v>
      </c>
      <c r="CD18" s="51">
        <f t="array" aca="1" ref="CD18" ca="1">IF(ROW()-ROW(Н4кр)+1&gt;ROWS(Е4кр)-COUNTBLANK(Е4кр)," ",INDIRECT(ADDRESS(SMALL((IF(Е4кр&lt;&gt;" ",ROW(Е4кр),ROW()+ROWS(Е4кр))),ROW()-ROW(Н4кр)+1),COLUMN(Е4кр),4)))</f>
        <v>14</v>
      </c>
      <c r="CF18" s="377">
        <f>IF(N18="х"," ",B18)</f>
        <v>6</v>
      </c>
      <c r="CG18" s="377" t="str">
        <f>IF(CF18=" "," ",N18)</f>
        <v xml:space="preserve"> </v>
      </c>
      <c r="CH18" s="125">
        <f>IF(CF18&lt;CG18,CF18,0)</f>
        <v>6</v>
      </c>
      <c r="CI18">
        <f t="shared" si="12"/>
        <v>6</v>
      </c>
      <c r="CJ18" s="51">
        <f t="array" aca="1" ref="CJ18" ca="1">IF(ROW()-ROW(Н5кр)+1&gt;ROWS(Е5кр)-COUNTBLANK(Е5кр)," ",INDIRECT(ADDRESS(SMALL((IF(Е5кр&lt;&gt;" ",ROW(Е5кр),ROW()+ROWS(Е5кр))),ROW()-ROW(Н5кр)+1),COLUMN(Е5кр),4)))</f>
        <v>14</v>
      </c>
      <c r="CL18" s="377">
        <f>IF(P18="х"," ",B18)</f>
        <v>6</v>
      </c>
      <c r="CM18" s="377" t="str">
        <f>IF(CL18=" "," ",P18)</f>
        <v xml:space="preserve"> </v>
      </c>
      <c r="CN18">
        <f>IF(CL18&lt;CM18,CL18,0)</f>
        <v>6</v>
      </c>
      <c r="CO18">
        <f t="shared" si="6"/>
        <v>6</v>
      </c>
      <c r="CP18">
        <f t="array" aca="1" ref="CP18" ca="1">IF(ROW()-ROW(Н6кр)+1&gt;ROWS(Е6кр)-COUNTBLANK(Е6кр)," ",INDIRECT(ADDRESS(SMALL((IF(Е6кр&lt;&gt;" ",ROW(Е6кр),ROW()+ROWS(Е6кр))),ROW()-ROW(Н6кр)+1),COLUMN(Е6кр),4)))</f>
        <v>14</v>
      </c>
      <c r="CR18" s="377">
        <f t="shared" ref="CR18" si="39">IF(R18="х"," ",B18)</f>
        <v>6</v>
      </c>
      <c r="CS18" s="377" t="str">
        <f t="shared" ref="CS18" si="40">IF(CR18=" "," ",R18)</f>
        <v xml:space="preserve"> </v>
      </c>
      <c r="CT18">
        <f>IF(CR18&lt;CS18,CR18,0)</f>
        <v>6</v>
      </c>
      <c r="CU18">
        <f t="shared" si="7"/>
        <v>6</v>
      </c>
      <c r="CV18">
        <f t="array" aca="1" ref="CV18" ca="1">IF(ROW()-ROW(Н7кр)+1&gt;ROWS(Е7кр)-COUNTBLANK(Е7кр)," ",INDIRECT(ADDRESS(SMALL((IF(Е7кр&lt;&gt;" ",ROW(Е7кр),ROW()+ROWS(Е7кр))),ROW()-ROW(Н7кр)+1),COLUMN(Е7кр),4)))</f>
        <v>14</v>
      </c>
    </row>
    <row r="19" spans="1:100" ht="12" hidden="1" customHeight="1" thickBot="1">
      <c r="A19" s="81"/>
      <c r="B19" s="424"/>
      <c r="C19" s="426"/>
      <c r="D19" s="428"/>
      <c r="E19" s="430"/>
      <c r="F19" s="442"/>
      <c r="G19" s="44"/>
      <c r="H19" s="439"/>
      <c r="I19" s="44"/>
      <c r="J19" s="439"/>
      <c r="K19" s="44"/>
      <c r="L19" s="439"/>
      <c r="M19" s="44"/>
      <c r="N19" s="439"/>
      <c r="O19" s="44"/>
      <c r="P19" s="439"/>
      <c r="Q19" s="44"/>
      <c r="R19" s="439"/>
      <c r="S19" s="44"/>
      <c r="T19" s="439"/>
      <c r="U19" s="47"/>
      <c r="V19" s="439"/>
      <c r="W19" s="44"/>
      <c r="X19" s="439"/>
      <c r="Y19" s="44"/>
      <c r="Z19" s="422"/>
      <c r="AA19" s="419"/>
      <c r="AB19" s="432"/>
      <c r="AC19" s="386"/>
      <c r="AD19" s="387"/>
      <c r="AE19" s="389"/>
      <c r="AF19" s="390"/>
      <c r="AG19" s="390"/>
      <c r="AH19" s="390"/>
      <c r="AI19" s="390"/>
      <c r="AJ19" s="390"/>
      <c r="AK19" s="390"/>
      <c r="AL19" s="390"/>
      <c r="AM19" s="390"/>
      <c r="AN19" s="392"/>
      <c r="AO19" s="387"/>
      <c r="AP19" s="394"/>
      <c r="AQ19" s="387"/>
      <c r="AR19" s="395"/>
      <c r="AS19" s="183"/>
      <c r="AT19" s="183"/>
      <c r="AU19" s="183"/>
      <c r="AV19" s="386"/>
      <c r="AW19" s="85" t="str">
        <f ca="1">IF(CA17&gt;AW$3," ",CA17)</f>
        <v xml:space="preserve"> </v>
      </c>
      <c r="AX19" s="126" t="str">
        <f ca="1">IF(CA18&gt;AW$3," ",CA18)</f>
        <v xml:space="preserve"> </v>
      </c>
      <c r="AY19" s="85" t="b">
        <f ca="1">IF(AW17=0,AW24,IF(AW18=0,AW25,IF(AW19=0,AW26,IF(AW20=0,AW27,IF(AW21=0,AW28,IF(AW22=0,AW29,IF(AW23=0,AW30,IF(AW24=0,AW31,IF(AW25=0,AW32)))))))))</f>
        <v>0</v>
      </c>
      <c r="AZ19" s="126" t="b">
        <f ca="1">IF(AX17=0,AX24,IF(AX18=0,AX25,IF(AX19=0,AX26,IF(AX20=0,AX27,IF(AX21=0,AX28,IF(AX22=0,AX29,IF(AX23=0,AX30,IF(AX24=0,AX31,IF(AX25=0,AX32)))))))))</f>
        <v>0</v>
      </c>
      <c r="BA19" s="83"/>
      <c r="BB19" s="85" t="str">
        <f ca="1">IF(CD17&gt;AW$3," ",CD17)</f>
        <v xml:space="preserve"> </v>
      </c>
      <c r="BC19" s="58" t="str">
        <f ca="1">IF(CD18&gt;AW$3," ",CD18)</f>
        <v xml:space="preserve"> </v>
      </c>
      <c r="BD19" s="85" t="b">
        <f ca="1">IF(BB16=0,BB23,IF(BB17=0,BB24,IF(BB18=0,BB25,IF(BB19=0,BB26,IF(BB20=0,BB27)))))</f>
        <v>0</v>
      </c>
      <c r="BE19" s="126" t="b">
        <f ca="1">IF(BC16=0,BC23,IF(BC17=0,BC24,IF(BC18=0,BC25,IF(BC19=0,BC26,IF(BC20=0,BC27)))))</f>
        <v>0</v>
      </c>
      <c r="BF19" s="89"/>
      <c r="BG19" s="85" t="str">
        <f ca="1">IF(CJ13&gt;AW$3," ",CJ13)</f>
        <v xml:space="preserve"> </v>
      </c>
      <c r="BH19" s="58" t="str">
        <f ca="1">IF(CJ14&gt;AW$3," ",CJ14)</f>
        <v xml:space="preserve"> </v>
      </c>
      <c r="BI19" s="85" t="b">
        <f ca="1">IF(BG20=0,BG25,IF(BG21=0,BG26,IF(BG22=0,BG27)))</f>
        <v>0</v>
      </c>
      <c r="BJ19" s="126" t="b">
        <f ca="1">IF(BH20=0,BH25,IF(BH21=0,BH26,IF(BH22=0,BH27)))</f>
        <v>0</v>
      </c>
      <c r="BK19" s="74"/>
      <c r="BL19" s="85" t="str">
        <f ca="1">IF(CP13&gt;AW$3," ",CP13)</f>
        <v xml:space="preserve"> </v>
      </c>
      <c r="BM19" s="58" t="str">
        <f ca="1">IF(CP14&gt;AW$3," ",CP14)</f>
        <v xml:space="preserve"> </v>
      </c>
      <c r="BN19" s="85"/>
      <c r="BO19" s="84"/>
      <c r="BP19" s="86"/>
      <c r="BQ19" s="210" t="str">
        <f ca="1">IF(CV13&gt;AW$3," ",CV13)</f>
        <v xml:space="preserve"> </v>
      </c>
      <c r="BR19" s="58" t="str">
        <f ca="1">IF(CV14&gt;AW$3," ",CV14)</f>
        <v xml:space="preserve"> </v>
      </c>
      <c r="BS19" s="85"/>
      <c r="BT19" s="58"/>
      <c r="BU19" s="377"/>
      <c r="BV19" s="377"/>
      <c r="BW19" s="377"/>
      <c r="BX19" s="377"/>
      <c r="BY19" s="61" t="str">
        <f>IF(BY18&gt;=1,BX18,0)</f>
        <v xml:space="preserve"> </v>
      </c>
      <c r="BZ19" s="61" t="str">
        <f t="shared" si="4"/>
        <v xml:space="preserve"> </v>
      </c>
      <c r="CA19" s="124">
        <f t="array" aca="1" ref="CA1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15</v>
      </c>
      <c r="CB19" t="str">
        <f>IF(CB18&gt;=1,BW18,0)</f>
        <v xml:space="preserve"> </v>
      </c>
      <c r="CC19" s="125" t="str">
        <f t="shared" si="5"/>
        <v xml:space="preserve"> </v>
      </c>
      <c r="CD19" s="51">
        <f t="array" aca="1" ref="CD19" ca="1">IF(ROW()-ROW(Н4кр)+1&gt;ROWS(Е4кр)-COUNTBLANK(Е4кр)," ",INDIRECT(ADDRESS(SMALL((IF(Е4кр&lt;&gt;" ",ROW(Е4кр),ROW()+ROWS(Е4кр))),ROW()-ROW(Н4кр)+1),COLUMN(Е4кр),4)))</f>
        <v>15</v>
      </c>
      <c r="CF19" s="377"/>
      <c r="CG19" s="377"/>
      <c r="CH19" s="125" t="str">
        <f>IF(CH18&gt;=1,CG18,0)</f>
        <v xml:space="preserve"> </v>
      </c>
      <c r="CI19" t="str">
        <f t="shared" si="12"/>
        <v xml:space="preserve"> </v>
      </c>
      <c r="CJ19" s="51">
        <f t="array" aca="1" ref="CJ19" ca="1">IF(ROW()-ROW(Н5кр)+1&gt;ROWS(Е5кр)-COUNTBLANK(Е5кр)," ",INDIRECT(ADDRESS(SMALL((IF(Е5кр&lt;&gt;" ",ROW(Е5кр),ROW()+ROWS(Е5кр))),ROW()-ROW(Н5кр)+1),COLUMN(Е5кр),4)))</f>
        <v>15</v>
      </c>
      <c r="CL19" s="377"/>
      <c r="CM19" s="377"/>
      <c r="CN19" t="str">
        <f>IF(CN18&gt;=1,CM18,0)</f>
        <v xml:space="preserve"> </v>
      </c>
      <c r="CO19" t="str">
        <f t="shared" si="6"/>
        <v xml:space="preserve"> </v>
      </c>
      <c r="CP19">
        <f t="array" aca="1" ref="CP19" ca="1">IF(ROW()-ROW(Н6кр)+1&gt;ROWS(Е6кр)-COUNTBLANK(Е6кр)," ",INDIRECT(ADDRESS(SMALL((IF(Е6кр&lt;&gt;" ",ROW(Е6кр),ROW()+ROWS(Е6кр))),ROW()-ROW(Н6кр)+1),COLUMN(Е6кр),4)))</f>
        <v>15</v>
      </c>
      <c r="CR19" s="377"/>
      <c r="CS19" s="377"/>
      <c r="CT19" t="str">
        <f>IF(CT18&gt;=1,CS18,0)</f>
        <v xml:space="preserve"> </v>
      </c>
      <c r="CU19" t="str">
        <f t="shared" si="7"/>
        <v xml:space="preserve"> </v>
      </c>
      <c r="CV19">
        <f t="array" aca="1" ref="CV19" ca="1">IF(ROW()-ROW(Н7кр)+1&gt;ROWS(Е7кр)-COUNTBLANK(Е7кр)," ",INDIRECT(ADDRESS(SMALL((IF(Е7кр&lt;&gt;" ",ROW(Е7кр),ROW()+ROWS(Е7кр))),ROW()-ROW(Н7кр)+1),COLUMN(Е7кр),4)))</f>
        <v>15</v>
      </c>
    </row>
    <row r="20" spans="1:100" ht="12" hidden="1" customHeight="1" thickTop="1">
      <c r="A20" s="81"/>
      <c r="B20" s="423">
        <v>7</v>
      </c>
      <c r="C20" s="425" t="e">
        <f>(VLOOKUP(B20,пр.взв!$B$7:$H$76,2,0))</f>
        <v>#N/A</v>
      </c>
      <c r="D20" s="427" t="e">
        <f>(VLOOKUP(B20,пр.взв!$B$7:$H$76,3,0))</f>
        <v>#N/A</v>
      </c>
      <c r="E20" s="429" t="e">
        <f>(VLOOKUP(B20,пр.взв!$B$7:$H$76,5,0))</f>
        <v>#N/A</v>
      </c>
      <c r="F20" s="445">
        <f t="shared" ref="F20:F76" si="41">IF(ISERROR(C20),0,B22)</f>
        <v>0</v>
      </c>
      <c r="G20" s="42"/>
      <c r="H20" s="440"/>
      <c r="I20" s="42"/>
      <c r="J20" s="444" t="str">
        <f t="shared" si="0"/>
        <v xml:space="preserve"> </v>
      </c>
      <c r="K20" s="42"/>
      <c r="L20" s="438" t="str">
        <f t="shared" ref="L20" si="42">IF(J20="Х","Х",IF(K20&lt;2.5," ",IF(K20&gt;=2.5,IF(G20+I20+K20&gt;=6,"Х",IF(AA20&lt;6," "," ")))))</f>
        <v xml:space="preserve"> </v>
      </c>
      <c r="M20" s="42"/>
      <c r="N20" s="440" t="str">
        <f>IF(L20="Х","Х",IF(M20&lt;2.5," ",IF(M20&gt;=2.5,IF(G20+I20+K20+M20&gt;=6,"Х",IF(AA20&lt;6," "," ")))))</f>
        <v xml:space="preserve"> </v>
      </c>
      <c r="O20" s="42"/>
      <c r="P20" s="440" t="str">
        <f>IF(N20="Х","Х",IF(O20&lt;2.5," ",IF(O20&gt;=2.5,IF(G20+I20+K20+M20+O20&gt;=6,"Х",IF(AA20&lt;6," "," ")))))</f>
        <v xml:space="preserve"> </v>
      </c>
      <c r="Q20" s="42"/>
      <c r="R20" s="440" t="str">
        <f>IF(P20="Х","Х",IF(Q20&lt;2.5," ",IF(Q20&gt;=2.5,IF(G20+I20+K20+M20+O20+Q20&gt;=6,"Х",IF(AA20&lt;6," "," ")))))</f>
        <v xml:space="preserve"> </v>
      </c>
      <c r="S20" s="42"/>
      <c r="T20" s="440" t="str">
        <f t="shared" ref="T20" si="43">IF(R20="Х","Х",IF(S20&lt;2.5," ",IF(S20&gt;=2.5,IF(G20+I20+K20+M20+O20+Q20+S20&gt;=6,"Х",IF(AA20&lt;6," "," ")))))</f>
        <v xml:space="preserve"> </v>
      </c>
      <c r="U20" s="46"/>
      <c r="V20" s="438" t="str">
        <f>IF(T20="А1",$AX$7,IF(T20="Б2",$AX$6,IF(T20="Б1",$AY$7,IF(T20="А2",$AY$6,IF(T20="Х","Х",IF(T20&lt;6," "," "))))))</f>
        <v xml:space="preserve"> </v>
      </c>
      <c r="W20" s="42"/>
      <c r="X20" s="438" t="str">
        <f t="shared" ref="X20" si="44">IF(T20="Х","Х",IF(ISBLANK(W20),"",IF(W20&gt;2.5," ",IF(B20=AZ$6,AZ$7,AZ$6))))</f>
        <v/>
      </c>
      <c r="Y20" s="42"/>
      <c r="Z20" s="467" t="b">
        <f>IF(H20="Х",F5,IF(J20="Х",H5,IF(L20="Х",J5,IF(N20="Х",L5,IF(P20="Х",N5,IF(R20="Х",P5,IF(T20="Х",R5,IF(V20="Х",T5))))))))</f>
        <v>0</v>
      </c>
      <c r="AA20" s="418">
        <f>SUM(G20+I20+K20+M20+O20+Q20+S20+U20+W20+Y20)</f>
        <v>0</v>
      </c>
      <c r="AB20" s="431">
        <f t="shared" si="9"/>
        <v>20576</v>
      </c>
      <c r="AC20" s="386">
        <f>AB20</f>
        <v>20576</v>
      </c>
      <c r="AD20" s="387" t="str">
        <f>COUNTIF(AE$6:AE$119,"&gt;"&amp;AE$6:AE$119)+1&amp;REPT("-"&amp;COUNTIF(AE$6:AE$119,"&gt;="&amp;AE$6:AE$119),COUNTIF(AE$6:AE$119,AE20)&gt;1)</f>
        <v>5-56</v>
      </c>
      <c r="AE20" s="388">
        <f t="shared" ref="AE20:AE82" si="45">(AP20*100)+(AN20*10)-AA20</f>
        <v>80</v>
      </c>
      <c r="AF20" s="390" t="str">
        <f>IF(OR(F20="Х",F20="св")," ",IF(AND(G20&gt;=0,G20&lt;3),"1"," "))</f>
        <v>1</v>
      </c>
      <c r="AG20" s="390" t="str">
        <f>IF(OR(H20="Х",H20="св")," ",IF(AND(I20&gt;=0,I20&lt;3),"1"," "))</f>
        <v>1</v>
      </c>
      <c r="AH20" s="390" t="str">
        <f>IF(OR(J20="Х",J20="св")," ",IF(AND(K20&gt;=0,K20&lt;3),"1"," "))</f>
        <v>1</v>
      </c>
      <c r="AI20" s="390" t="str">
        <f>IF(OR(L20="Х",L20="св")," ",IF(AND(M20&gt;=0,M20&lt;3),"1"," "))</f>
        <v>1</v>
      </c>
      <c r="AJ20" s="390" t="str">
        <f>IF(OR(N20="Х",N20="св")," ",IF(AND(O20&gt;=0,O20&lt;3),"1"," "))</f>
        <v>1</v>
      </c>
      <c r="AK20" s="390" t="str">
        <f>IF(OR(P20="Х",P20="св")," ",IF(AND(Q20&gt;=0,Q20&lt;3),"1"," "))</f>
        <v>1</v>
      </c>
      <c r="AL20" s="390" t="str">
        <f>IF(OR(R20="Х",R20="св")," ",IF(AND(S20&gt;=0,S20&lt;3),"1"," "))</f>
        <v>1</v>
      </c>
      <c r="AM20" s="390" t="str">
        <f>IF(OR(T20="Х",T20="св")," ",IF(AND(U20&gt;=0,U20&lt;3),"1"," "))</f>
        <v>1</v>
      </c>
      <c r="AN20" s="391">
        <f>COUNTIF(AF20:AM21,1)</f>
        <v>8</v>
      </c>
      <c r="AO20" s="393">
        <f>AE20-AA20</f>
        <v>80</v>
      </c>
      <c r="AP20" s="394">
        <f t="shared" si="10"/>
        <v>0</v>
      </c>
      <c r="AQ20" s="387" t="str">
        <f>COUNTIF(AE$6:AE$119,"&gt;"&amp;AE$6:AE$119)+1&amp;REPT("-"&amp;COUNTIF(AE$6:AE$119,"&gt;="&amp;AE$6:AE$119),COUNTIF(AE$6:AE$119,AE20)&gt;1)</f>
        <v>5-56</v>
      </c>
      <c r="AR20" s="395"/>
      <c r="AS20" s="183"/>
      <c r="AT20" s="183"/>
      <c r="AU20" s="183"/>
      <c r="AV20" s="386">
        <f t="shared" ref="AV20" si="46">IF(V20="Х","Х",IF(W20&lt;3,B20,"Х"))</f>
        <v>7</v>
      </c>
      <c r="AW20" s="85" t="str">
        <f ca="1">IF(CA19&gt;AW$3," ",CA19)</f>
        <v xml:space="preserve"> </v>
      </c>
      <c r="AX20" s="126" t="str">
        <f ca="1">IF(CA20&gt;AW$3," ",CA20)</f>
        <v xml:space="preserve"> </v>
      </c>
      <c r="AY20" s="85" t="b">
        <f ca="1">IF(AW17=0,AW25,IF(AW18=0,AW26,IF(AW19=0,AW27,IF(AW20=0,AW28,IF(AW21=0,AW29,IF(AW22=0,AW30,IF(AW23=0,AW31,IF(AW24=0,AW32))))))))</f>
        <v>0</v>
      </c>
      <c r="AZ20" s="126" t="b">
        <f ca="1">IF(AX17=0,AX25,IF(AX18=0,AX26,IF(AX19=0,AX27,IF(AX20=0,AX28,IF(AX21=0,AX29,IF(AX22=0,AX30,IF(AX23=0,AX31,IF(AX24=0,AX32))))))))</f>
        <v>0</v>
      </c>
      <c r="BA20" s="83"/>
      <c r="BB20" s="85" t="str">
        <f ca="1">IF(CD19&gt;AW$3," ",CD19)</f>
        <v xml:space="preserve"> </v>
      </c>
      <c r="BC20" s="58" t="str">
        <f ca="1">IF(CD20&gt;AW$3," ",CD20)</f>
        <v xml:space="preserve"> </v>
      </c>
      <c r="BD20" s="85"/>
      <c r="BE20" s="84"/>
      <c r="BF20" s="89"/>
      <c r="BG20" s="85" t="str">
        <f ca="1">IF(CJ15&gt;AW$3," ",CJ15)</f>
        <v xml:space="preserve"> </v>
      </c>
      <c r="BH20" s="58" t="str">
        <f ca="1">IF(CJ16&gt;AW$3," ",CJ16)</f>
        <v xml:space="preserve"> </v>
      </c>
      <c r="BI20" s="85" t="b">
        <f ca="1">IF(BG20=0,BG26,IF(BG21=0,BG27))</f>
        <v>0</v>
      </c>
      <c r="BJ20" s="126" t="b">
        <f ca="1">IF(BH20=0,BH26,IF(BH21=0,BH27))</f>
        <v>0</v>
      </c>
      <c r="BK20" s="74"/>
      <c r="BL20" s="85" t="str">
        <f ca="1">IF(CP15&gt;AW$3," ",CP15)</f>
        <v xml:space="preserve"> </v>
      </c>
      <c r="BM20" s="58" t="str">
        <f ca="1">IF(CP16&gt;AW$3," ",CP16)</f>
        <v xml:space="preserve"> </v>
      </c>
      <c r="BN20" s="85"/>
      <c r="BO20" s="84"/>
      <c r="BP20" s="86"/>
      <c r="BQ20" s="210" t="str">
        <f ca="1">IF(CV15&gt;AW$3," ",CV15)</f>
        <v xml:space="preserve"> </v>
      </c>
      <c r="BR20" s="58" t="str">
        <f ca="1">IF(CV16&gt;AW$3," ",CV16)</f>
        <v xml:space="preserve"> </v>
      </c>
      <c r="BS20" s="85"/>
      <c r="BT20" s="58"/>
      <c r="BU20" s="377">
        <f>IF(J20="х"," ",B20)</f>
        <v>7</v>
      </c>
      <c r="BV20" s="377">
        <f>IF(L20="х"," ",B20)</f>
        <v>7</v>
      </c>
      <c r="BW20" s="377" t="str">
        <f>IF(BV20=" "," ",L20)</f>
        <v xml:space="preserve"> </v>
      </c>
      <c r="BX20" s="377" t="str">
        <f>IF(BU20=" "," ",J20)</f>
        <v xml:space="preserve"> </v>
      </c>
      <c r="BY20" s="61">
        <f>IF(BU20&lt;BX20,BU20,0)</f>
        <v>7</v>
      </c>
      <c r="BZ20" s="61">
        <f>IF(BY20=0," ",BY20)</f>
        <v>7</v>
      </c>
      <c r="CA20" s="124">
        <f t="array" aca="1" ref="CA2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16</v>
      </c>
      <c r="CB20">
        <f>IF(BV20&lt;BW20,BV20,0)</f>
        <v>7</v>
      </c>
      <c r="CC20" s="125">
        <f t="shared" si="5"/>
        <v>7</v>
      </c>
      <c r="CD20" s="51">
        <f t="array" aca="1" ref="CD20" ca="1">IF(ROW()-ROW(Н4кр)+1&gt;ROWS(Е4кр)-COUNTBLANK(Е4кр)," ",INDIRECT(ADDRESS(SMALL((IF(Е4кр&lt;&gt;" ",ROW(Е4кр),ROW()+ROWS(Е4кр))),ROW()-ROW(Н4кр)+1),COLUMN(Е4кр),4)))</f>
        <v>16</v>
      </c>
      <c r="CF20" s="377">
        <f>IF(N20="х"," ",B20)</f>
        <v>7</v>
      </c>
      <c r="CG20" s="377" t="str">
        <f>IF(CF20=" "," ",N20)</f>
        <v xml:space="preserve"> </v>
      </c>
      <c r="CH20" s="125">
        <f>IF(CF20&lt;CG20,CF20,0)</f>
        <v>7</v>
      </c>
      <c r="CI20">
        <f t="shared" si="12"/>
        <v>7</v>
      </c>
      <c r="CJ20" s="51">
        <f t="array" aca="1" ref="CJ20" ca="1">IF(ROW()-ROW(Н5кр)+1&gt;ROWS(Е5кр)-COUNTBLANK(Е5кр)," ",INDIRECT(ADDRESS(SMALL((IF(Е5кр&lt;&gt;" ",ROW(Е5кр),ROW()+ROWS(Е5кр))),ROW()-ROW(Н5кр)+1),COLUMN(Е5кр),4)))</f>
        <v>16</v>
      </c>
      <c r="CL20" s="377">
        <f>IF(P20="х"," ",B20)</f>
        <v>7</v>
      </c>
      <c r="CM20" s="377" t="str">
        <f>IF(CL20=" "," ",P20)</f>
        <v xml:space="preserve"> </v>
      </c>
      <c r="CN20">
        <f>IF(CL20&lt;CM20,CL20,0)</f>
        <v>7</v>
      </c>
      <c r="CO20">
        <f t="shared" si="6"/>
        <v>7</v>
      </c>
      <c r="CP20">
        <f t="array" aca="1" ref="CP20" ca="1">IF(ROW()-ROW(Н6кр)+1&gt;ROWS(Е6кр)-COUNTBLANK(Е6кр)," ",INDIRECT(ADDRESS(SMALL((IF(Е6кр&lt;&gt;" ",ROW(Е6кр),ROW()+ROWS(Е6кр))),ROW()-ROW(Н6кр)+1),COLUMN(Е6кр),4)))</f>
        <v>16</v>
      </c>
      <c r="CR20" s="377">
        <f t="shared" ref="CR20" si="47">IF(R20="х"," ",B20)</f>
        <v>7</v>
      </c>
      <c r="CS20" s="377" t="str">
        <f t="shared" ref="CS20" si="48">IF(CR20=" "," ",R20)</f>
        <v xml:space="preserve"> </v>
      </c>
      <c r="CT20">
        <f>IF(CR20&lt;CS20,CR20,0)</f>
        <v>7</v>
      </c>
      <c r="CU20">
        <f t="shared" si="7"/>
        <v>7</v>
      </c>
      <c r="CV20">
        <f t="array" aca="1" ref="CV20" ca="1">IF(ROW()-ROW(Н7кр)+1&gt;ROWS(Е7кр)-COUNTBLANK(Е7кр)," ",INDIRECT(ADDRESS(SMALL((IF(Е7кр&lt;&gt;" ",ROW(Е7кр),ROW()+ROWS(Е7кр))),ROW()-ROW(Н7кр)+1),COLUMN(Е7кр),4)))</f>
        <v>16</v>
      </c>
    </row>
    <row r="21" spans="1:100" ht="12" hidden="1" customHeight="1" thickBot="1">
      <c r="A21" s="81"/>
      <c r="B21" s="415"/>
      <c r="C21" s="436"/>
      <c r="D21" s="437"/>
      <c r="E21" s="458"/>
      <c r="F21" s="441"/>
      <c r="G21" s="43"/>
      <c r="H21" s="444"/>
      <c r="I21" s="43"/>
      <c r="J21" s="444"/>
      <c r="K21" s="43"/>
      <c r="L21" s="444"/>
      <c r="M21" s="43"/>
      <c r="N21" s="444"/>
      <c r="O21" s="43"/>
      <c r="P21" s="444"/>
      <c r="Q21" s="43"/>
      <c r="R21" s="444"/>
      <c r="S21" s="43"/>
      <c r="T21" s="444"/>
      <c r="U21" s="128"/>
      <c r="V21" s="444"/>
      <c r="W21" s="43"/>
      <c r="X21" s="444"/>
      <c r="Y21" s="43"/>
      <c r="Z21" s="421"/>
      <c r="AA21" s="420"/>
      <c r="AB21" s="432"/>
      <c r="AC21" s="386"/>
      <c r="AD21" s="387"/>
      <c r="AE21" s="389"/>
      <c r="AF21" s="390"/>
      <c r="AG21" s="390"/>
      <c r="AH21" s="390"/>
      <c r="AI21" s="390"/>
      <c r="AJ21" s="390"/>
      <c r="AK21" s="390"/>
      <c r="AL21" s="390"/>
      <c r="AM21" s="390"/>
      <c r="AN21" s="392"/>
      <c r="AO21" s="387"/>
      <c r="AP21" s="394"/>
      <c r="AQ21" s="387"/>
      <c r="AR21" s="395"/>
      <c r="AS21" s="183"/>
      <c r="AT21" s="183"/>
      <c r="AU21" s="183"/>
      <c r="AV21" s="386"/>
      <c r="AW21" s="85" t="str">
        <f ca="1">IF(CA21&gt;AW$3," ",CA21)</f>
        <v xml:space="preserve"> </v>
      </c>
      <c r="AX21" s="126" t="str">
        <f ca="1">IF(CA22&gt;AW$3," ",CA22)</f>
        <v xml:space="preserve"> </v>
      </c>
      <c r="AY21" s="85" t="b">
        <f ca="1">IF(AW17=0,AW26,IF(AW18=0,AW27,IF(AW19=0,AW28,IF(AW20=0,AW29,IF(AW21=0,AW30,IF(AW22=0,AW31,IF(AW23=0,AW32,IF(AW24=0,AW33))))))))</f>
        <v>0</v>
      </c>
      <c r="AZ21" s="126" t="b">
        <f ca="1">IF(AX17=0,AX26,IF(AX18=0,AX27,IF(AX19=0,AX28,IF(AX20=0,AX29,IF(AX21=0,AX30,IF(AX22=0,AX31,IF(AX23=0,AX32,IF(AX24=0,AX33))))))))</f>
        <v>0</v>
      </c>
      <c r="BA21" s="83"/>
      <c r="BB21" s="85" t="str">
        <f ca="1">IF(CD21&gt;AW$3," ",CD21)</f>
        <v xml:space="preserve"> </v>
      </c>
      <c r="BC21" s="58" t="str">
        <f ca="1">IF(CD22&gt;AW$3," ",CD22)</f>
        <v xml:space="preserve"> </v>
      </c>
      <c r="BD21" s="85"/>
      <c r="BE21" s="84"/>
      <c r="BF21" s="89"/>
      <c r="BG21" s="85" t="str">
        <f ca="1">IF(CJ17&gt;AW$3," ",CJ17)</f>
        <v xml:space="preserve"> </v>
      </c>
      <c r="BH21" s="58" t="str">
        <f ca="1">IF(CJ18&gt;AW$3," ",CJ18)</f>
        <v xml:space="preserve"> </v>
      </c>
      <c r="BI21" s="85" t="b">
        <f ca="1">IF(BG20=0,BG27)</f>
        <v>0</v>
      </c>
      <c r="BJ21" s="126" t="b">
        <f ca="1">IF(BH20=0,BH27)</f>
        <v>0</v>
      </c>
      <c r="BK21" s="74"/>
      <c r="BL21" s="85" t="str">
        <f ca="1">IF(CP17&gt;AW$3," ",CP17)</f>
        <v xml:space="preserve"> </v>
      </c>
      <c r="BM21" s="58" t="str">
        <f ca="1">IF(CP18&gt;AW$3," ",CP18)</f>
        <v xml:space="preserve"> </v>
      </c>
      <c r="BN21" s="85"/>
      <c r="BO21" s="84"/>
      <c r="BP21" s="86"/>
      <c r="BQ21" s="210" t="str">
        <f>IF(CT20&gt;BA$3," ",CT20)</f>
        <v xml:space="preserve"> </v>
      </c>
      <c r="BR21" s="58" t="str">
        <f>IF(CT21&gt;BA$3," ",CT21)</f>
        <v xml:space="preserve"> </v>
      </c>
      <c r="BS21" s="85"/>
      <c r="BT21" s="58"/>
      <c r="BU21" s="377"/>
      <c r="BV21" s="377"/>
      <c r="BW21" s="377"/>
      <c r="BX21" s="377"/>
      <c r="BY21" s="61" t="str">
        <f>IF(BY20&gt;=1,BX20,0)</f>
        <v xml:space="preserve"> </v>
      </c>
      <c r="BZ21" s="61" t="str">
        <f t="shared" ref="BZ21:BZ31" si="49">IF(BY21=0," ",BY21)</f>
        <v xml:space="preserve"> </v>
      </c>
      <c r="CA21" s="124">
        <f t="array" aca="1" ref="CA2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17</v>
      </c>
      <c r="CB21" t="str">
        <f>IF(CB20&gt;=1,BW20,0)</f>
        <v xml:space="preserve"> </v>
      </c>
      <c r="CC21" s="125" t="str">
        <f t="shared" si="5"/>
        <v xml:space="preserve"> </v>
      </c>
      <c r="CD21" s="51">
        <f t="array" aca="1" ref="CD21" ca="1">IF(ROW()-ROW(Н4кр)+1&gt;ROWS(Е4кр)-COUNTBLANK(Е4кр)," ",INDIRECT(ADDRESS(SMALL((IF(Е4кр&lt;&gt;" ",ROW(Е4кр),ROW()+ROWS(Е4кр))),ROW()-ROW(Н4кр)+1),COLUMN(Е4кр),4)))</f>
        <v>17</v>
      </c>
      <c r="CF21" s="377"/>
      <c r="CG21" s="377"/>
      <c r="CH21" s="125" t="str">
        <f>IF(CH20&gt;=1,CG20,0)</f>
        <v xml:space="preserve"> </v>
      </c>
      <c r="CI21" t="str">
        <f t="shared" si="12"/>
        <v xml:space="preserve"> </v>
      </c>
      <c r="CJ21" s="51">
        <f t="array" aca="1" ref="CJ21" ca="1">IF(ROW()-ROW(Н5кр)+1&gt;ROWS(Е5кр)-COUNTBLANK(Е5кр)," ",INDIRECT(ADDRESS(SMALL((IF(Е5кр&lt;&gt;" ",ROW(Е5кр),ROW()+ROWS(Е5кр))),ROW()-ROW(Н5кр)+1),COLUMN(Е5кр),4)))</f>
        <v>17</v>
      </c>
      <c r="CL21" s="377"/>
      <c r="CM21" s="377"/>
      <c r="CN21" t="str">
        <f>IF(CN20&gt;=1,CM20,0)</f>
        <v xml:space="preserve"> </v>
      </c>
      <c r="CO21" t="str">
        <f t="shared" si="6"/>
        <v xml:space="preserve"> </v>
      </c>
      <c r="CP21">
        <f t="array" aca="1" ref="CP21" ca="1">IF(ROW()-ROW(Н6кр)+1&gt;ROWS(Е6кр)-COUNTBLANK(Е6кр)," ",INDIRECT(ADDRESS(SMALL((IF(Е6кр&lt;&gt;" ",ROW(Е6кр),ROW()+ROWS(Е6кр))),ROW()-ROW(Н6кр)+1),COLUMN(Е6кр),4)))</f>
        <v>17</v>
      </c>
      <c r="CR21" s="377"/>
      <c r="CS21" s="377"/>
      <c r="CT21" t="str">
        <f>IF(CT20&gt;=1,CS20,0)</f>
        <v xml:space="preserve"> </v>
      </c>
      <c r="CU21" t="str">
        <f t="shared" si="7"/>
        <v xml:space="preserve"> </v>
      </c>
      <c r="CV21">
        <f t="array" aca="1" ref="CV21" ca="1">IF(ROW()-ROW(Н7кр)+1&gt;ROWS(Е7кр)-COUNTBLANK(Е7кр)," ",INDIRECT(ADDRESS(SMALL((IF(Е7кр&lt;&gt;" ",ROW(Е7кр),ROW()+ROWS(Е7кр))),ROW()-ROW(Н7кр)+1),COLUMN(Е7кр),4)))</f>
        <v>17</v>
      </c>
    </row>
    <row r="22" spans="1:100" ht="12" hidden="1" customHeight="1" thickTop="1">
      <c r="A22" s="81"/>
      <c r="B22" s="423">
        <v>8</v>
      </c>
      <c r="C22" s="425" t="e">
        <f>(VLOOKUP(B22,пр.взв!$B$7:$H$76,2,0))</f>
        <v>#N/A</v>
      </c>
      <c r="D22" s="427" t="e">
        <f>(VLOOKUP(B22,пр.взв!$B$7:$H$76,3,0))</f>
        <v>#N/A</v>
      </c>
      <c r="E22" s="429" t="e">
        <f>(VLOOKUP(B22,пр.взв!$B$7:$H$76,5,0))</f>
        <v>#N/A</v>
      </c>
      <c r="F22" s="443">
        <f t="shared" ref="F22:F78" si="50">IF(ISERROR(C22),0,B20)</f>
        <v>0</v>
      </c>
      <c r="G22" s="42"/>
      <c r="H22" s="440"/>
      <c r="I22" s="42"/>
      <c r="J22" s="440" t="str">
        <f t="shared" si="0"/>
        <v xml:space="preserve"> </v>
      </c>
      <c r="K22" s="42"/>
      <c r="L22" s="440" t="str">
        <f t="shared" ref="L22" si="51">IF(J22="Х","Х",IF(K22&lt;2.5," ",IF(K22&gt;=2.5,IF(G22+I22+K22&gt;=6,"Х",IF(AA22&lt;6," "," ")))))</f>
        <v xml:space="preserve"> </v>
      </c>
      <c r="M22" s="42"/>
      <c r="N22" s="440" t="str">
        <f>IF(L22="Х","Х",IF(M22&lt;2.5," ",IF(M22&gt;=2.5,IF(G22+I22+K22+M22&gt;=6,"Х",IF(AA22&lt;6," "," ")))))</f>
        <v xml:space="preserve"> </v>
      </c>
      <c r="O22" s="42"/>
      <c r="P22" s="440" t="str">
        <f>IF(N22="Х","Х",IF(O22&lt;2.5," ",IF(O22&gt;=2.5,IF(G22+I22+K22+M22+O22&gt;=6,"Х",IF(AA22&lt;6," "," ")))))</f>
        <v xml:space="preserve"> </v>
      </c>
      <c r="Q22" s="42"/>
      <c r="R22" s="440" t="str">
        <f>IF(P22="Х","Х",IF(Q22&lt;2.5," ",IF(Q22&gt;=2.5,IF(G22+I22+K22+M22+O22+Q22&gt;=6,"Х",IF(AA22&lt;6," "," ")))))</f>
        <v xml:space="preserve"> </v>
      </c>
      <c r="S22" s="42"/>
      <c r="T22" s="440" t="str">
        <f t="shared" ref="T22" si="52">IF(R22="Х","Х",IF(S22&lt;2.5," ",IF(S22&gt;=2.5,IF(G22+I22+K22+M22+O22+Q22+S22&gt;=6,"Х",IF(AA22&lt;6," "," ")))))</f>
        <v xml:space="preserve"> </v>
      </c>
      <c r="U22" s="46"/>
      <c r="V22" s="440" t="str">
        <f>IF(T22="А1",$AX$7,IF(T22="Б2",$AX$6,IF(T22="Б1",$AY$7,IF(T22="А2",$AY$6,IF(T22="Х","Х",IF(T22&lt;6," "," "))))))</f>
        <v xml:space="preserve"> </v>
      </c>
      <c r="W22" s="42"/>
      <c r="X22" s="440" t="str">
        <f t="shared" ref="X22" si="53">IF(T22="Х","Х",IF(ISBLANK(W22),"",IF(W22&gt;2.5," ",IF(B22=AZ$6,AZ$7,AZ$6))))</f>
        <v/>
      </c>
      <c r="Y22" s="42"/>
      <c r="Z22" s="467" t="b">
        <f>IF(H22="Х",F5,IF(J22="Х",H5,IF(L22="Х",J5,IF(N22="Х",L5,IF(P22="Х",N5,IF(R22="Х",P5,IF(T22="Х",R5,IF(V22="Х",T5))))))))</f>
        <v>0</v>
      </c>
      <c r="AA22" s="418">
        <f>SUM(G22+I22+K22+M22+O22+Q22+S22+U22+W22+Y22)</f>
        <v>0</v>
      </c>
      <c r="AB22" s="431">
        <f t="shared" si="9"/>
        <v>20576</v>
      </c>
      <c r="AC22" s="396">
        <f>AB22</f>
        <v>20576</v>
      </c>
      <c r="AD22" s="387" t="str">
        <f>COUNTIF(AE$6:AE$119,"&gt;"&amp;AE$6:AE$119)+1&amp;REPT("-"&amp;COUNTIF(AE$6:AE$119,"&gt;="&amp;AE$6:AE$119),COUNTIF(AE$6:AE$119,AE22)&gt;1)</f>
        <v>5-56</v>
      </c>
      <c r="AE22" s="388">
        <f t="shared" si="45"/>
        <v>80</v>
      </c>
      <c r="AF22" s="390" t="str">
        <f>IF(OR(F22="Х",F22="св")," ",IF(AND(G22&gt;=0,G22&lt;3),"1"," "))</f>
        <v>1</v>
      </c>
      <c r="AG22" s="390" t="str">
        <f>IF(OR(H22="Х",H22="св")," ",IF(AND(I22&gt;=0,I22&lt;3),"1"," "))</f>
        <v>1</v>
      </c>
      <c r="AH22" s="390" t="str">
        <f>IF(OR(J22="Х",J22="св")," ",IF(AND(K22&gt;=0,K22&lt;3),"1"," "))</f>
        <v>1</v>
      </c>
      <c r="AI22" s="390" t="str">
        <f>IF(OR(L22="Х",L22="св")," ",IF(AND(M22&gt;=0,M22&lt;3),"1"," "))</f>
        <v>1</v>
      </c>
      <c r="AJ22" s="390" t="str">
        <f>IF(OR(N22="Х",N22="св")," ",IF(AND(O22&gt;=0,O22&lt;3),"1"," "))</f>
        <v>1</v>
      </c>
      <c r="AK22" s="390" t="str">
        <f>IF(OR(P22="Х",P22="св")," ",IF(AND(Q22&gt;=0,Q22&lt;3),"1"," "))</f>
        <v>1</v>
      </c>
      <c r="AL22" s="390" t="str">
        <f>IF(OR(R22="Х",R22="св")," ",IF(AND(S22&gt;=0,S22&lt;3),"1"," "))</f>
        <v>1</v>
      </c>
      <c r="AM22" s="390" t="str">
        <f>IF(OR(T22="Х",T22="св")," ",IF(AND(U22&gt;=0,U22&lt;3),"1"," "))</f>
        <v>1</v>
      </c>
      <c r="AN22" s="391">
        <f>COUNTIF(AF22:AM23,1)</f>
        <v>8</v>
      </c>
      <c r="AO22" s="393">
        <f>AE22-AA22</f>
        <v>80</v>
      </c>
      <c r="AP22" s="394">
        <f t="shared" si="10"/>
        <v>0</v>
      </c>
      <c r="AQ22" s="387" t="str">
        <f>COUNTIF(AE$6:AE$119,"&gt;"&amp;AE$6:AE$119)+1&amp;REPT("-"&amp;COUNTIF(AE$6:AE$119,"&gt;="&amp;AE$6:AE$119),COUNTIF(AE$6:AE$119,AE22)&gt;1)</f>
        <v>5-56</v>
      </c>
      <c r="AR22" s="395"/>
      <c r="AS22" s="183"/>
      <c r="AT22" s="183"/>
      <c r="AU22" s="183"/>
      <c r="AV22" s="386">
        <f>IF(V22="Х","Х",IF(W22&lt;3,B22,"Х"))</f>
        <v>8</v>
      </c>
      <c r="AW22" s="85" t="str">
        <f ca="1">IF(CA23&gt;AW$3," ",CA23)</f>
        <v xml:space="preserve"> </v>
      </c>
      <c r="AX22" s="126" t="str">
        <f ca="1">IF(CA24&gt;AW$3," ",CA24)</f>
        <v xml:space="preserve"> </v>
      </c>
      <c r="AY22" s="85" t="b">
        <f ca="1">IF(AW17=0,AW27,IF(AW18=0,AW28,IF(AW19=0,AW29,IF(AW20=0,AW30,IF(AW21=0,AW31,IF(AW22=0,AW32,IF(AW23=0,AW33)))))))</f>
        <v>0</v>
      </c>
      <c r="AZ22" s="126" t="b">
        <f ca="1">IF(AX17=0,AX27,IF(AX18=0,AX28,IF(AX19=0,AX29,IF(AX20=0,AX30,IF(AX21=0,AX31,IF(AX22=0,AX32,IF(AX23=0,AX33)))))))</f>
        <v>0</v>
      </c>
      <c r="BA22" s="83"/>
      <c r="BB22" s="85" t="str">
        <f ca="1">IF(CD23&gt;AW$3," ",CD23)</f>
        <v xml:space="preserve"> </v>
      </c>
      <c r="BC22" s="58" t="str">
        <f ca="1">IF(CD24&gt;AW$3," ",CD24)</f>
        <v xml:space="preserve"> </v>
      </c>
      <c r="BD22" s="85"/>
      <c r="BE22" s="84"/>
      <c r="BF22" s="86"/>
      <c r="BG22" s="85" t="str">
        <f ca="1">IF(CJ19&gt;AW$3," ",CJ19)</f>
        <v xml:space="preserve"> </v>
      </c>
      <c r="BH22" s="58" t="str">
        <f ca="1">IF(CJ20&gt;AW$3," ",CJ20)</f>
        <v xml:space="preserve"> </v>
      </c>
      <c r="BI22" s="85"/>
      <c r="BJ22" s="84"/>
      <c r="BK22" s="86"/>
      <c r="BL22" s="85" t="str">
        <f ca="1">IF(CP19&gt;AW$3," ",CP19)</f>
        <v xml:space="preserve"> </v>
      </c>
      <c r="BM22" s="58" t="str">
        <f ca="1">IF(CP20&gt;AW$3," ",CP20)</f>
        <v xml:space="preserve"> </v>
      </c>
      <c r="BN22" s="85"/>
      <c r="BO22" s="84"/>
      <c r="BP22" s="86"/>
      <c r="BQ22" s="210" t="str">
        <f>IF(CT22&gt;BA$3," ",CT22)</f>
        <v xml:space="preserve"> </v>
      </c>
      <c r="BR22" s="58" t="str">
        <f>IF(CT23&gt;BA$3," ",CT23)</f>
        <v xml:space="preserve"> </v>
      </c>
      <c r="BS22" s="85"/>
      <c r="BT22" s="58"/>
      <c r="BU22" s="377">
        <f>IF(J22="х"," ",B22)</f>
        <v>8</v>
      </c>
      <c r="BV22" s="377">
        <f>IF(L22="х"," ",B22)</f>
        <v>8</v>
      </c>
      <c r="BW22" s="377" t="str">
        <f>IF(BV22=" "," ",L22)</f>
        <v xml:space="preserve"> </v>
      </c>
      <c r="BX22" s="377" t="str">
        <f>IF(BU22=" "," ",J22)</f>
        <v xml:space="preserve"> </v>
      </c>
      <c r="BY22" s="61">
        <f>IF(BU22&lt;BX22,BU22,0)</f>
        <v>8</v>
      </c>
      <c r="BZ22" s="61">
        <f t="shared" si="49"/>
        <v>8</v>
      </c>
      <c r="CA22" s="124">
        <f t="array" aca="1" ref="CA2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18</v>
      </c>
      <c r="CB22">
        <f>IF(BV22&lt;BW22,BV22,0)</f>
        <v>8</v>
      </c>
      <c r="CC22" s="125">
        <f t="shared" si="5"/>
        <v>8</v>
      </c>
      <c r="CD22" s="51">
        <f t="array" aca="1" ref="CD22" ca="1">IF(ROW()-ROW(Н4кр)+1&gt;ROWS(Е4кр)-COUNTBLANK(Е4кр)," ",INDIRECT(ADDRESS(SMALL((IF(Е4кр&lt;&gt;" ",ROW(Е4кр),ROW()+ROWS(Е4кр))),ROW()-ROW(Н4кр)+1),COLUMN(Е4кр),4)))</f>
        <v>18</v>
      </c>
      <c r="CF22" s="377">
        <f>IF(N22="х"," ",B22)</f>
        <v>8</v>
      </c>
      <c r="CG22" s="377" t="str">
        <f>IF(CF22=" "," ",N22)</f>
        <v xml:space="preserve"> </v>
      </c>
      <c r="CH22" s="125">
        <f>IF(CF22&lt;CG22,CF22,0)</f>
        <v>8</v>
      </c>
      <c r="CI22">
        <f t="shared" si="12"/>
        <v>8</v>
      </c>
      <c r="CJ22" s="51">
        <f t="array" aca="1" ref="CJ22" ca="1">IF(ROW()-ROW(Н5кр)+1&gt;ROWS(Е5кр)-COUNTBLANK(Е5кр)," ",INDIRECT(ADDRESS(SMALL((IF(Е5кр&lt;&gt;" ",ROW(Е5кр),ROW()+ROWS(Е5кр))),ROW()-ROW(Н5кр)+1),COLUMN(Е5кр),4)))</f>
        <v>18</v>
      </c>
      <c r="CL22" s="377">
        <f>IF(P22="х"," ",B22)</f>
        <v>8</v>
      </c>
      <c r="CM22" s="377" t="str">
        <f>IF(CL22=" "," ",P22)</f>
        <v xml:space="preserve"> </v>
      </c>
      <c r="CN22">
        <f>IF(CL22&lt;CM22,CL22,0)</f>
        <v>8</v>
      </c>
      <c r="CO22">
        <f t="shared" si="6"/>
        <v>8</v>
      </c>
      <c r="CP22">
        <f t="array" aca="1" ref="CP22" ca="1">IF(ROW()-ROW(Н6кр)+1&gt;ROWS(Е6кр)-COUNTBLANK(Е6кр)," ",INDIRECT(ADDRESS(SMALL((IF(Е6кр&lt;&gt;" ",ROW(Е6кр),ROW()+ROWS(Е6кр))),ROW()-ROW(Н6кр)+1),COLUMN(Е6кр),4)))</f>
        <v>18</v>
      </c>
      <c r="CR22" s="377">
        <f t="shared" ref="CR22" si="54">IF(R22="х"," ",B22)</f>
        <v>8</v>
      </c>
      <c r="CS22" s="377" t="str">
        <f t="shared" ref="CS22" si="55">IF(CR22=" "," ",R22)</f>
        <v xml:space="preserve"> </v>
      </c>
      <c r="CT22">
        <f>IF(CR22&lt;CS22,CR22,0)</f>
        <v>8</v>
      </c>
      <c r="CU22">
        <f t="shared" si="7"/>
        <v>8</v>
      </c>
      <c r="CV22">
        <f t="array" aca="1" ref="CV22" ca="1">IF(ROW()-ROW(Н7кр)+1&gt;ROWS(Е7кр)-COUNTBLANK(Е7кр)," ",INDIRECT(ADDRESS(SMALL((IF(Е7кр&lt;&gt;" ",ROW(Е7кр),ROW()+ROWS(Е7кр))),ROW()-ROW(Н7кр)+1),COLUMN(Е7кр),4)))</f>
        <v>18</v>
      </c>
    </row>
    <row r="23" spans="1:100" ht="12" hidden="1" customHeight="1" thickBot="1">
      <c r="A23" s="81"/>
      <c r="B23" s="424"/>
      <c r="C23" s="426"/>
      <c r="D23" s="428"/>
      <c r="E23" s="430"/>
      <c r="F23" s="442"/>
      <c r="G23" s="44"/>
      <c r="H23" s="439"/>
      <c r="I23" s="44"/>
      <c r="J23" s="439"/>
      <c r="K23" s="44"/>
      <c r="L23" s="439"/>
      <c r="M23" s="59"/>
      <c r="N23" s="439"/>
      <c r="O23" s="44"/>
      <c r="P23" s="439"/>
      <c r="Q23" s="44"/>
      <c r="R23" s="439"/>
      <c r="S23" s="44"/>
      <c r="T23" s="439"/>
      <c r="U23" s="47"/>
      <c r="V23" s="439"/>
      <c r="W23" s="44"/>
      <c r="X23" s="439"/>
      <c r="Y23" s="44"/>
      <c r="Z23" s="422"/>
      <c r="AA23" s="419"/>
      <c r="AB23" s="432"/>
      <c r="AC23" s="396"/>
      <c r="AD23" s="387"/>
      <c r="AE23" s="389"/>
      <c r="AF23" s="390"/>
      <c r="AG23" s="390"/>
      <c r="AH23" s="390"/>
      <c r="AI23" s="390"/>
      <c r="AJ23" s="390"/>
      <c r="AK23" s="390"/>
      <c r="AL23" s="390"/>
      <c r="AM23" s="390"/>
      <c r="AN23" s="392"/>
      <c r="AO23" s="387"/>
      <c r="AP23" s="394"/>
      <c r="AQ23" s="387"/>
      <c r="AR23" s="395"/>
      <c r="AS23" s="183"/>
      <c r="AT23" s="183"/>
      <c r="AU23" s="183"/>
      <c r="AV23" s="386"/>
      <c r="AW23" s="85" t="str">
        <f ca="1">IF(CA25&gt;AW$3," ",CA25)</f>
        <v xml:space="preserve"> </v>
      </c>
      <c r="AX23" s="126" t="str">
        <f ca="1">IF(CA26&gt;AW$3," ",CA26)</f>
        <v xml:space="preserve"> </v>
      </c>
      <c r="AY23" s="85"/>
      <c r="AZ23" s="126"/>
      <c r="BA23" s="83"/>
      <c r="BB23" s="85" t="str">
        <f ca="1">IF(CD25&gt;AW$3," ",CD25)</f>
        <v xml:space="preserve"> </v>
      </c>
      <c r="BC23" s="58" t="str">
        <f ca="1">IF(CD26&gt;AW$3," ",CD26)</f>
        <v xml:space="preserve"> </v>
      </c>
      <c r="BD23" s="85"/>
      <c r="BE23" s="84"/>
      <c r="BF23" s="86"/>
      <c r="BG23" s="85" t="str">
        <f ca="1">IF(CJ21&gt;AW$3," ",CJ21)</f>
        <v xml:space="preserve"> </v>
      </c>
      <c r="BH23" s="58" t="str">
        <f ca="1">IF(CJ22&gt;AW$3," ",CJ22)</f>
        <v xml:space="preserve"> </v>
      </c>
      <c r="BI23" s="85"/>
      <c r="BJ23" s="84"/>
      <c r="BK23" s="86"/>
      <c r="BL23" s="85" t="str">
        <f ca="1">IF(CP21&gt;AW$3," ",CP21)</f>
        <v xml:space="preserve"> </v>
      </c>
      <c r="BM23" s="58" t="str">
        <f ca="1">IF(CP22&gt;AW$3," ",CP22)</f>
        <v xml:space="preserve"> </v>
      </c>
      <c r="BN23" s="85"/>
      <c r="BO23" s="84"/>
      <c r="BP23" s="86"/>
      <c r="BQ23" s="210" t="str">
        <f>IF(CT24&gt;BA$3," ",CT24)</f>
        <v xml:space="preserve"> </v>
      </c>
      <c r="BR23" s="58" t="str">
        <f>IF(CT25&gt;BA$3," ",CT25)</f>
        <v xml:space="preserve"> </v>
      </c>
      <c r="BS23" s="85"/>
      <c r="BT23" s="58"/>
      <c r="BU23" s="377"/>
      <c r="BV23" s="377"/>
      <c r="BW23" s="377"/>
      <c r="BX23" s="377"/>
      <c r="BY23" s="61" t="str">
        <f>IF(BY22&gt;=1,BX22,0)</f>
        <v xml:space="preserve"> </v>
      </c>
      <c r="BZ23" s="61" t="str">
        <f t="shared" si="49"/>
        <v xml:space="preserve"> </v>
      </c>
      <c r="CA23" s="124">
        <f t="array" aca="1" ref="CA2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19</v>
      </c>
      <c r="CB23" t="str">
        <f>IF(CB22&gt;=1,BW22,0)</f>
        <v xml:space="preserve"> </v>
      </c>
      <c r="CC23" s="125" t="str">
        <f t="shared" si="5"/>
        <v xml:space="preserve"> </v>
      </c>
      <c r="CD23" s="51">
        <f t="array" aca="1" ref="CD23" ca="1">IF(ROW()-ROW(Н4кр)+1&gt;ROWS(Е4кр)-COUNTBLANK(Е4кр)," ",INDIRECT(ADDRESS(SMALL((IF(Е4кр&lt;&gt;" ",ROW(Е4кр),ROW()+ROWS(Е4кр))),ROW()-ROW(Н4кр)+1),COLUMN(Е4кр),4)))</f>
        <v>19</v>
      </c>
      <c r="CF23" s="377"/>
      <c r="CG23" s="377"/>
      <c r="CH23" s="125" t="str">
        <f>IF(CH22&gt;=1,CG22,0)</f>
        <v xml:space="preserve"> </v>
      </c>
      <c r="CI23" t="str">
        <f t="shared" si="12"/>
        <v xml:space="preserve"> </v>
      </c>
      <c r="CJ23" s="51">
        <f t="array" aca="1" ref="CJ23" ca="1">IF(ROW()-ROW(Н5кр)+1&gt;ROWS(Е5кр)-COUNTBLANK(Е5кр)," ",INDIRECT(ADDRESS(SMALL((IF(Е5кр&lt;&gt;" ",ROW(Е5кр),ROW()+ROWS(Е5кр))),ROW()-ROW(Н5кр)+1),COLUMN(Е5кр),4)))</f>
        <v>19</v>
      </c>
      <c r="CL23" s="377"/>
      <c r="CM23" s="377"/>
      <c r="CN23" t="str">
        <f>IF(CN22&gt;=1,CM22,0)</f>
        <v xml:space="preserve"> </v>
      </c>
      <c r="CO23" t="str">
        <f t="shared" si="6"/>
        <v xml:space="preserve"> </v>
      </c>
      <c r="CP23">
        <f t="array" aca="1" ref="CP23" ca="1">IF(ROW()-ROW(Н6кр)+1&gt;ROWS(Е6кр)-COUNTBLANK(Е6кр)," ",INDIRECT(ADDRESS(SMALL((IF(Е6кр&lt;&gt;" ",ROW(Е6кр),ROW()+ROWS(Е6кр))),ROW()-ROW(Н6кр)+1),COLUMN(Е6кр),4)))</f>
        <v>19</v>
      </c>
      <c r="CR23" s="377"/>
      <c r="CS23" s="377"/>
      <c r="CT23" t="str">
        <f>IF(CT22&gt;=1,CS22,0)</f>
        <v xml:space="preserve"> </v>
      </c>
      <c r="CU23" t="str">
        <f t="shared" si="7"/>
        <v xml:space="preserve"> </v>
      </c>
      <c r="CV23">
        <f t="array" aca="1" ref="CV23" ca="1">IF(ROW()-ROW(Н7кр)+1&gt;ROWS(Е7кр)-COUNTBLANK(Е7кр)," ",INDIRECT(ADDRESS(SMALL((IF(Е7кр&lt;&gt;" ",ROW(Е7кр),ROW()+ROWS(Е7кр))),ROW()-ROW(Н7кр)+1),COLUMN(Е7кр),4)))</f>
        <v>19</v>
      </c>
    </row>
    <row r="24" spans="1:100" ht="12" hidden="1" customHeight="1" thickTop="1">
      <c r="A24" s="81"/>
      <c r="B24" s="414">
        <v>9</v>
      </c>
      <c r="C24" s="436" t="e">
        <f>(VLOOKUP(B24,пр.взв!$B$7:$H$76,2,0))</f>
        <v>#N/A</v>
      </c>
      <c r="D24" s="437" t="e">
        <f>(VLOOKUP(B24,пр.взв!$B$7:$H$76,3,0))</f>
        <v>#N/A</v>
      </c>
      <c r="E24" s="458" t="e">
        <f>(VLOOKUP(B24,пр.взв!$B$7:$H$76,5,0))</f>
        <v>#N/A</v>
      </c>
      <c r="F24" s="441">
        <f t="shared" si="50"/>
        <v>0</v>
      </c>
      <c r="G24" s="41"/>
      <c r="H24" s="444"/>
      <c r="I24" s="41"/>
      <c r="J24" s="444" t="str">
        <f t="shared" si="0"/>
        <v xml:space="preserve"> </v>
      </c>
      <c r="K24" s="41"/>
      <c r="L24" s="444" t="str">
        <f t="shared" ref="L24" si="56">IF(J24="Х","Х",IF(K24&lt;2.5," ",IF(K24&gt;=2.5,IF(G24+I24+K24&gt;=6,"Х",IF(AA24&lt;6," "," ")))))</f>
        <v xml:space="preserve"> </v>
      </c>
      <c r="M24" s="41"/>
      <c r="N24" s="444" t="str">
        <f>IF(L24="Х","Х",IF(M24&lt;2.5," ",IF(M24&gt;=2.5,IF(G24+I24+K24+M24&gt;=6,"Х",IF(AA24&lt;6," "," ")))))</f>
        <v xml:space="preserve"> </v>
      </c>
      <c r="O24" s="41"/>
      <c r="P24" s="444" t="str">
        <f>IF(N24="Х","Х",IF(O24&lt;2.5," ",IF(O24&gt;=2.5,IF(G24+I24+K24+M24+O24&gt;=6,"Х",IF(AA24&lt;6," "," ")))))</f>
        <v xml:space="preserve"> </v>
      </c>
      <c r="Q24" s="41"/>
      <c r="R24" s="444" t="str">
        <f>IF(P24="Х","Х",IF(Q24&lt;2.5," ",IF(Q24&gt;=2.5,IF(G24+I24+K24+M24+O24+Q24&gt;=6,"Х",IF(AA24&lt;6," "," ")))))</f>
        <v xml:space="preserve"> </v>
      </c>
      <c r="S24" s="41"/>
      <c r="T24" s="444" t="str">
        <f t="shared" ref="T24" si="57">IF(R24="Х","Х",IF(S24&lt;2.5," ",IF(S24&gt;=2.5,IF(G24+I24+K24+M24+O24+Q24+S24&gt;=6,"Х",IF(AA24&lt;6," "," ")))))</f>
        <v xml:space="preserve"> </v>
      </c>
      <c r="U24" s="45"/>
      <c r="V24" s="444" t="str">
        <f>IF(T24="А1",$AX$7,IF(T24="Б2",$AX$6,IF(T24="Б1",$AY$7,IF(T24="А2",$AY$6,IF(T24="Х","Х",IF(T24&lt;6," "," "))))))</f>
        <v xml:space="preserve"> </v>
      </c>
      <c r="W24" s="41"/>
      <c r="X24" s="444" t="str">
        <f t="shared" ref="X24" si="58">IF(T24="Х","Х",IF(ISBLANK(W24),"",IF(W24&gt;2.5," ",IF(B24=AZ$6,AZ$7,AZ$6))))</f>
        <v/>
      </c>
      <c r="Y24" s="41"/>
      <c r="Z24" s="421" t="b">
        <f>IF(H24="Х",F5,IF(J24="Х",H5,IF(L24="Х",J5,IF(N24="Х",L5,IF(P24="Х",N5,IF(R24="Х",P5,IF(T24="Х",R5,IF(V24="Х",T5))))))))</f>
        <v>0</v>
      </c>
      <c r="AA24" s="420">
        <f>SUM(G24+I24+K24+M24+O24+Q24+S24+U24+W24+Y24)</f>
        <v>0</v>
      </c>
      <c r="AB24" s="431">
        <f t="shared" si="9"/>
        <v>20576</v>
      </c>
      <c r="AC24" s="386">
        <f>AB24</f>
        <v>20576</v>
      </c>
      <c r="AD24" s="387" t="str">
        <f>COUNTIF(AE$6:AE$119,"&gt;"&amp;AE$6:AE$119)+1&amp;REPT("-"&amp;COUNTIF(AE$6:AE$119,"&gt;="&amp;AE$6:AE$119),COUNTIF(AE$6:AE$119,AE24)&gt;1)</f>
        <v>5-56</v>
      </c>
      <c r="AE24" s="388">
        <f t="shared" si="45"/>
        <v>80</v>
      </c>
      <c r="AF24" s="390" t="str">
        <f>IF(OR(F24="Х",F24="св")," ",IF(AND(G24&gt;=0,G24&lt;3),"1"," "))</f>
        <v>1</v>
      </c>
      <c r="AG24" s="390" t="str">
        <f>IF(OR(H24="Х",H24="св")," ",IF(AND(I24&gt;=0,I24&lt;3),"1"," "))</f>
        <v>1</v>
      </c>
      <c r="AH24" s="390" t="str">
        <f>IF(OR(J24="Х",J24="св")," ",IF(AND(K24&gt;=0,K24&lt;3),"1"," "))</f>
        <v>1</v>
      </c>
      <c r="AI24" s="390" t="str">
        <f>IF(OR(L24="Х",L24="св")," ",IF(AND(M24&gt;=0,M24&lt;3),"1"," "))</f>
        <v>1</v>
      </c>
      <c r="AJ24" s="390" t="str">
        <f>IF(OR(N24="Х",N24="св")," ",IF(AND(O24&gt;=0,O24&lt;3),"1"," "))</f>
        <v>1</v>
      </c>
      <c r="AK24" s="390" t="str">
        <f>IF(OR(P24="Х",P24="св")," ",IF(AND(Q24&gt;=0,Q24&lt;3),"1"," "))</f>
        <v>1</v>
      </c>
      <c r="AL24" s="390" t="str">
        <f>IF(OR(R24="Х",R24="св")," ",IF(AND(S24&gt;=0,S24&lt;3),"1"," "))</f>
        <v>1</v>
      </c>
      <c r="AM24" s="390" t="str">
        <f>IF(OR(T24="Х",T24="св")," ",IF(AND(U24&gt;=0,U24&lt;3),"1"," "))</f>
        <v>1</v>
      </c>
      <c r="AN24" s="391">
        <f>COUNTIF(AF24:AM25,1)</f>
        <v>8</v>
      </c>
      <c r="AO24" s="393">
        <f>AE24-AA24</f>
        <v>80</v>
      </c>
      <c r="AP24" s="394">
        <f t="shared" si="10"/>
        <v>0</v>
      </c>
      <c r="AQ24" s="387" t="str">
        <f>COUNTIF(AE$6:AE$119,"&gt;"&amp;AE$6:AE$119)+1&amp;REPT("-"&amp;COUNTIF(AE$6:AE$119,"&gt;="&amp;AE$6:AE$119),COUNTIF(AE$6:AE$119,AE24)&gt;1)</f>
        <v>5-56</v>
      </c>
      <c r="AR24" s="395"/>
      <c r="AS24" s="183"/>
      <c r="AT24" s="183"/>
      <c r="AU24" s="183"/>
      <c r="AV24" s="386">
        <f t="shared" ref="AV24" si="59">IF(V24="Х","Х",IF(W24&lt;3,B24,"Х"))</f>
        <v>9</v>
      </c>
      <c r="AW24" s="85" t="str">
        <f ca="1">IF(CA27&gt;AW$3," ",CA27)</f>
        <v xml:space="preserve"> </v>
      </c>
      <c r="AX24" s="126" t="str">
        <f ca="1">IF(CA28&gt;AW$3," ",CA28)</f>
        <v xml:space="preserve"> </v>
      </c>
      <c r="AY24" s="85"/>
      <c r="AZ24" s="58"/>
      <c r="BA24" s="83"/>
      <c r="BB24" s="85" t="str">
        <f ca="1">IF(CD27&gt;AW$3," ",CD27)</f>
        <v xml:space="preserve"> </v>
      </c>
      <c r="BC24" s="58" t="str">
        <f ca="1">IF(CD28&gt;AW$3," ",CD28)</f>
        <v xml:space="preserve"> </v>
      </c>
      <c r="BD24" s="85"/>
      <c r="BE24" s="84"/>
      <c r="BF24" s="86"/>
      <c r="BG24" s="85" t="str">
        <f ca="1">IF(CJ23&gt;AW$3," ",CJ23)</f>
        <v xml:space="preserve"> </v>
      </c>
      <c r="BH24" s="58" t="str">
        <f ca="1">IF(CJ24&gt;AW$3," ",CJ24)</f>
        <v xml:space="preserve"> </v>
      </c>
      <c r="BI24" s="85"/>
      <c r="BJ24" s="84"/>
      <c r="BK24" s="86"/>
      <c r="BL24" s="85" t="str">
        <f ca="1">IF(CP23&gt;AW$3," ",CP23)</f>
        <v xml:space="preserve"> </v>
      </c>
      <c r="BM24" s="58" t="str">
        <f ca="1">IF(CP24&gt;AW$3," ",CP24)</f>
        <v xml:space="preserve"> </v>
      </c>
      <c r="BN24" s="85"/>
      <c r="BO24" s="84"/>
      <c r="BP24" s="86"/>
      <c r="BQ24" s="210" t="str">
        <f>IF(CT26&gt;BA$3," ",CT26)</f>
        <v xml:space="preserve"> </v>
      </c>
      <c r="BR24" s="58" t="str">
        <f>IF(CT27&gt;BA$3," ",CT27)</f>
        <v xml:space="preserve"> </v>
      </c>
      <c r="BS24" s="85"/>
      <c r="BT24" s="58"/>
      <c r="BU24" s="377">
        <f>IF(J24="х"," ",B24)</f>
        <v>9</v>
      </c>
      <c r="BV24" s="377">
        <f>IF(L24="х"," ",B24)</f>
        <v>9</v>
      </c>
      <c r="BW24" s="377" t="str">
        <f>IF(BV24=" "," ",L24)</f>
        <v xml:space="preserve"> </v>
      </c>
      <c r="BX24" s="377" t="str">
        <f>IF(BU24=" "," ",J24)</f>
        <v xml:space="preserve"> </v>
      </c>
      <c r="BY24" s="61">
        <f>IF(BU24&lt;BX24,BU24,0)</f>
        <v>9</v>
      </c>
      <c r="BZ24" s="61">
        <f t="shared" si="49"/>
        <v>9</v>
      </c>
      <c r="CA24" s="124">
        <f t="array" aca="1" ref="CA2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20</v>
      </c>
      <c r="CB24">
        <f>IF(BV24&lt;BW24,BV24,0)</f>
        <v>9</v>
      </c>
      <c r="CC24" s="125">
        <f t="shared" si="5"/>
        <v>9</v>
      </c>
      <c r="CD24" s="51">
        <f t="array" aca="1" ref="CD24" ca="1">IF(ROW()-ROW(Н4кр)+1&gt;ROWS(Е4кр)-COUNTBLANK(Е4кр)," ",INDIRECT(ADDRESS(SMALL((IF(Е4кр&lt;&gt;" ",ROW(Е4кр),ROW()+ROWS(Е4кр))),ROW()-ROW(Н4кр)+1),COLUMN(Е4кр),4)))</f>
        <v>20</v>
      </c>
      <c r="CF24" s="377">
        <f>IF(N24="х"," ",B24)</f>
        <v>9</v>
      </c>
      <c r="CG24" s="377" t="str">
        <f>IF(CF24=" "," ",N24)</f>
        <v xml:space="preserve"> </v>
      </c>
      <c r="CH24" s="125">
        <f>IF(CF24&lt;CG24,CF24,0)</f>
        <v>9</v>
      </c>
      <c r="CI24">
        <f t="shared" si="12"/>
        <v>9</v>
      </c>
      <c r="CJ24" s="51">
        <f t="array" aca="1" ref="CJ24" ca="1">IF(ROW()-ROW(Н5кр)+1&gt;ROWS(Е5кр)-COUNTBLANK(Е5кр)," ",INDIRECT(ADDRESS(SMALL((IF(Е5кр&lt;&gt;" ",ROW(Е5кр),ROW()+ROWS(Е5кр))),ROW()-ROW(Н5кр)+1),COLUMN(Е5кр),4)))</f>
        <v>20</v>
      </c>
      <c r="CL24" s="377">
        <f>IF(P24="х"," ",B24)</f>
        <v>9</v>
      </c>
      <c r="CM24" s="377" t="str">
        <f>IF(CL24=" "," ",P24)</f>
        <v xml:space="preserve"> </v>
      </c>
      <c r="CN24">
        <f>IF(CL24&lt;CM24,CL24,0)</f>
        <v>9</v>
      </c>
      <c r="CO24">
        <f t="shared" si="6"/>
        <v>9</v>
      </c>
      <c r="CP24">
        <f t="array" aca="1" ref="CP24" ca="1">IF(ROW()-ROW(Н6кр)+1&gt;ROWS(Е6кр)-COUNTBLANK(Е6кр)," ",INDIRECT(ADDRESS(SMALL((IF(Е6кр&lt;&gt;" ",ROW(Е6кр),ROW()+ROWS(Е6кр))),ROW()-ROW(Н6кр)+1),COLUMN(Е6кр),4)))</f>
        <v>20</v>
      </c>
      <c r="CR24" s="377">
        <f t="shared" ref="CR24" si="60">IF(R24="х"," ",B24)</f>
        <v>9</v>
      </c>
      <c r="CS24" s="377" t="str">
        <f t="shared" ref="CS24" si="61">IF(CR24=" "," ",R24)</f>
        <v xml:space="preserve"> </v>
      </c>
      <c r="CT24">
        <f>IF(CR24&lt;CS24,CR24,0)</f>
        <v>9</v>
      </c>
      <c r="CU24">
        <f t="shared" si="7"/>
        <v>9</v>
      </c>
      <c r="CV24">
        <f t="array" aca="1" ref="CV24" ca="1">IF(ROW()-ROW(Н7кр)+1&gt;ROWS(Е7кр)-COUNTBLANK(Е7кр)," ",INDIRECT(ADDRESS(SMALL((IF(Е7кр&lt;&gt;" ",ROW(Е7кр),ROW()+ROWS(Е7кр))),ROW()-ROW(Н7кр)+1),COLUMN(Е7кр),4)))</f>
        <v>20</v>
      </c>
    </row>
    <row r="25" spans="1:100" ht="12" hidden="1" customHeight="1" thickBot="1">
      <c r="A25" s="81"/>
      <c r="B25" s="424"/>
      <c r="C25" s="426"/>
      <c r="D25" s="428"/>
      <c r="E25" s="430"/>
      <c r="F25" s="442"/>
      <c r="G25" s="43"/>
      <c r="H25" s="444"/>
      <c r="I25" s="43"/>
      <c r="J25" s="439"/>
      <c r="K25" s="59"/>
      <c r="L25" s="439"/>
      <c r="M25" s="43"/>
      <c r="N25" s="444"/>
      <c r="O25" s="43"/>
      <c r="P25" s="444"/>
      <c r="Q25" s="59"/>
      <c r="R25" s="439"/>
      <c r="S25" s="43"/>
      <c r="T25" s="439"/>
      <c r="U25" s="128"/>
      <c r="V25" s="439"/>
      <c r="W25" s="59"/>
      <c r="X25" s="439"/>
      <c r="Y25" s="59"/>
      <c r="Z25" s="421"/>
      <c r="AA25" s="420"/>
      <c r="AB25" s="432"/>
      <c r="AC25" s="386"/>
      <c r="AD25" s="387"/>
      <c r="AE25" s="389"/>
      <c r="AF25" s="390"/>
      <c r="AG25" s="390"/>
      <c r="AH25" s="390"/>
      <c r="AI25" s="390"/>
      <c r="AJ25" s="390"/>
      <c r="AK25" s="390"/>
      <c r="AL25" s="390"/>
      <c r="AM25" s="390"/>
      <c r="AN25" s="392"/>
      <c r="AO25" s="387"/>
      <c r="AP25" s="394"/>
      <c r="AQ25" s="387"/>
      <c r="AR25" s="395"/>
      <c r="AS25" s="183"/>
      <c r="AT25" s="183"/>
      <c r="AU25" s="183"/>
      <c r="AV25" s="386"/>
      <c r="AW25" s="85" t="str">
        <f ca="1">IF(CA29&gt;AW$3," ",CA29)</f>
        <v xml:space="preserve"> </v>
      </c>
      <c r="AX25" s="126" t="str">
        <f ca="1">IF(CA30&gt;AW$3," ",CA30)</f>
        <v xml:space="preserve"> </v>
      </c>
      <c r="AY25" s="85"/>
      <c r="AZ25" s="58"/>
      <c r="BA25" s="83"/>
      <c r="BB25" s="85" t="str">
        <f ca="1">IF(CD29&gt;AW$3," ",CD29)</f>
        <v xml:space="preserve"> </v>
      </c>
      <c r="BC25" s="58" t="str">
        <f ca="1">IF(CD30&gt;AW$3," ",CD30)</f>
        <v xml:space="preserve"> </v>
      </c>
      <c r="BD25" s="85"/>
      <c r="BE25" s="84"/>
      <c r="BF25" s="86"/>
      <c r="BG25" s="85" t="str">
        <f ca="1">IF(CJ25&gt;AW$3," ",CJ25)</f>
        <v xml:space="preserve"> </v>
      </c>
      <c r="BH25" s="58" t="str">
        <f ca="1">IF(CJ26&gt;AW$3," ",CJ26)</f>
        <v xml:space="preserve"> </v>
      </c>
      <c r="BI25" s="85"/>
      <c r="BJ25" s="84"/>
      <c r="BK25" s="86"/>
      <c r="BL25" s="85" t="str">
        <f ca="1">IF(CP25&gt;AW$3," ",CP25)</f>
        <v xml:space="preserve"> </v>
      </c>
      <c r="BM25" s="58" t="str">
        <f ca="1">IF(CP26&gt;AW$3," ",CP26)</f>
        <v xml:space="preserve"> </v>
      </c>
      <c r="BN25" s="85"/>
      <c r="BO25" s="84"/>
      <c r="BP25" s="86"/>
      <c r="BQ25" s="210" t="str">
        <f>IF(CT28&gt;BA$3," ",CT28)</f>
        <v xml:space="preserve"> </v>
      </c>
      <c r="BR25" s="58" t="str">
        <f>IF(CT29&gt;BA$3," ",CT29)</f>
        <v xml:space="preserve"> </v>
      </c>
      <c r="BS25" s="85"/>
      <c r="BT25" s="58"/>
      <c r="BU25" s="377"/>
      <c r="BV25" s="377"/>
      <c r="BW25" s="377"/>
      <c r="BX25" s="377"/>
      <c r="BY25" s="61" t="str">
        <f>IF(BY24&gt;=1,BX24,0)</f>
        <v xml:space="preserve"> </v>
      </c>
      <c r="BZ25" s="61" t="str">
        <f t="shared" si="49"/>
        <v xml:space="preserve"> </v>
      </c>
      <c r="CA25" s="124">
        <f t="array" aca="1" ref="CA2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21</v>
      </c>
      <c r="CB25" t="str">
        <f>IF(CB24&gt;=1,BW24,0)</f>
        <v xml:space="preserve"> </v>
      </c>
      <c r="CC25" s="125" t="str">
        <f t="shared" si="5"/>
        <v xml:space="preserve"> </v>
      </c>
      <c r="CD25" s="51">
        <f t="array" aca="1" ref="CD25" ca="1">IF(ROW()-ROW(Н4кр)+1&gt;ROWS(Е4кр)-COUNTBLANK(Е4кр)," ",INDIRECT(ADDRESS(SMALL((IF(Е4кр&lt;&gt;" ",ROW(Е4кр),ROW()+ROWS(Е4кр))),ROW()-ROW(Н4кр)+1),COLUMN(Е4кр),4)))</f>
        <v>21</v>
      </c>
      <c r="CF25" s="377"/>
      <c r="CG25" s="377"/>
      <c r="CH25" s="125" t="str">
        <f>IF(CH24&gt;=1,CG24,0)</f>
        <v xml:space="preserve"> </v>
      </c>
      <c r="CI25" t="str">
        <f t="shared" si="12"/>
        <v xml:space="preserve"> </v>
      </c>
      <c r="CJ25" s="51">
        <f t="array" aca="1" ref="CJ25" ca="1">IF(ROW()-ROW(Н5кр)+1&gt;ROWS(Е5кр)-COUNTBLANK(Е5кр)," ",INDIRECT(ADDRESS(SMALL((IF(Е5кр&lt;&gt;" ",ROW(Е5кр),ROW()+ROWS(Е5кр))),ROW()-ROW(Н5кр)+1),COLUMN(Е5кр),4)))</f>
        <v>21</v>
      </c>
      <c r="CL25" s="377"/>
      <c r="CM25" s="377"/>
      <c r="CN25" t="str">
        <f>IF(CN24&gt;=1,CM24,0)</f>
        <v xml:space="preserve"> </v>
      </c>
      <c r="CO25" t="str">
        <f t="shared" si="6"/>
        <v xml:space="preserve"> </v>
      </c>
      <c r="CP25">
        <f t="array" aca="1" ref="CP25" ca="1">IF(ROW()-ROW(Н6кр)+1&gt;ROWS(Е6кр)-COUNTBLANK(Е6кр)," ",INDIRECT(ADDRESS(SMALL((IF(Е6кр&lt;&gt;" ",ROW(Е6кр),ROW()+ROWS(Е6кр))),ROW()-ROW(Н6кр)+1),COLUMN(Е6кр),4)))</f>
        <v>21</v>
      </c>
      <c r="CR25" s="377"/>
      <c r="CS25" s="377"/>
      <c r="CT25" t="str">
        <f>IF(CT24&gt;=1,CS24,0)</f>
        <v xml:space="preserve"> </v>
      </c>
      <c r="CU25" t="str">
        <f t="shared" si="7"/>
        <v xml:space="preserve"> </v>
      </c>
      <c r="CV25">
        <f t="array" aca="1" ref="CV25" ca="1">IF(ROW()-ROW(Н7кр)+1&gt;ROWS(Е7кр)-COUNTBLANK(Е7кр)," ",INDIRECT(ADDRESS(SMALL((IF(Е7кр&lt;&gt;" ",ROW(Е7кр),ROW()+ROWS(Е7кр))),ROW()-ROW(Н7кр)+1),COLUMN(Е7кр),4)))</f>
        <v>21</v>
      </c>
    </row>
    <row r="26" spans="1:100" ht="12" hidden="1" customHeight="1" thickTop="1">
      <c r="A26" s="81"/>
      <c r="B26" s="435">
        <v>10</v>
      </c>
      <c r="C26" s="425" t="e">
        <f>(VLOOKUP(B26,пр.взв!$B$7:$H$76,2,0))</f>
        <v>#N/A</v>
      </c>
      <c r="D26" s="427" t="e">
        <f>(VLOOKUP(B26,пр.взв!$B$7:$H$76,3,0))</f>
        <v>#N/A</v>
      </c>
      <c r="E26" s="429" t="e">
        <f>(VLOOKUP(B26,пр.взв!$B$7:$H$76,5,0))</f>
        <v>#N/A</v>
      </c>
      <c r="F26" s="443">
        <f t="shared" ref="F26" si="62">IF(ISERROR(C26),0,B24)</f>
        <v>0</v>
      </c>
      <c r="G26" s="42"/>
      <c r="H26" s="440"/>
      <c r="I26" s="42"/>
      <c r="J26" s="444" t="str">
        <f t="shared" si="0"/>
        <v xml:space="preserve"> </v>
      </c>
      <c r="K26" s="42"/>
      <c r="L26" s="438" t="str">
        <f t="shared" ref="L26" si="63">IF(J26="Х","Х",IF(K26&lt;2.5," ",IF(K26&gt;=2.5,IF(G26+I26+K26&gt;=6,"Х",IF(AA26&lt;6," "," ")))))</f>
        <v xml:space="preserve"> </v>
      </c>
      <c r="M26" s="42"/>
      <c r="N26" s="440" t="str">
        <f>IF(L26="Х","Х",IF(M26&lt;2.5," ",IF(M26&gt;=2.5,IF(G26+I26+K26+M26&gt;=6,"Х",IF(AA26&lt;6," "," ")))))</f>
        <v xml:space="preserve"> </v>
      </c>
      <c r="O26" s="42"/>
      <c r="P26" s="440" t="str">
        <f>IF(N26="Х","Х",IF(O26&lt;2.5," ",IF(O26&gt;=2.5,IF(G26+I26+K26+M26+O26&gt;=6,"Х",IF(AA26&lt;6," "," ")))))</f>
        <v xml:space="preserve"> </v>
      </c>
      <c r="Q26" s="42"/>
      <c r="R26" s="440" t="str">
        <f>IF(P26="Х","Х",IF(Q26&lt;2.5," ",IF(Q26&gt;=2.5,IF(G26+I26+K26+M26+O26+Q26&gt;=6,"Х",IF(AA26&lt;6," "," ")))))</f>
        <v xml:space="preserve"> </v>
      </c>
      <c r="S26" s="42"/>
      <c r="T26" s="440" t="str">
        <f>IF(R26="Х","Х",IF(S26&lt;2.5," ",IF(S26&gt;=2.5,IF(G26+I26+K26+M26+O26+Q26+S26&gt;=6,"Х",IF(AA26&lt;6," "," ")))))</f>
        <v xml:space="preserve"> </v>
      </c>
      <c r="U26" s="42"/>
      <c r="V26" s="438" t="str">
        <f>IF(T26="А1",$AX$7,IF(T26="Б2",$AX$6,IF(T26="Б1",$AY$7,IF(T26="А2",$AY$6,IF(T26="Х","Х",IF(T26&lt;6," "," "))))))</f>
        <v xml:space="preserve"> </v>
      </c>
      <c r="W26" s="42"/>
      <c r="X26" s="438" t="str">
        <f t="shared" ref="X26" si="64">IF(T26="Х","Х",IF(ISBLANK(W26),"",IF(W26&gt;2.5," ",IF(B26=AZ$6,AZ$7,AZ$6))))</f>
        <v/>
      </c>
      <c r="Y26" s="42"/>
      <c r="Z26" s="459" t="b">
        <f>IF(H26="Х",F5,IF(J26="Х",H5,IF(L26="Х",J5,IF(N26="Х",L5,IF(P26="Х",N5,IF(R26="Х",P5,IF(T26="Х",R5,IF(V26="Х",T5))))))))</f>
        <v>0</v>
      </c>
      <c r="AA26" s="418">
        <f>SUM(G26+I26+K26+M26+O26+Q26+S26+U26+W26+Y26)</f>
        <v>0</v>
      </c>
      <c r="AB26" s="431">
        <f t="shared" si="9"/>
        <v>20576</v>
      </c>
      <c r="AC26" s="396">
        <f>AB26</f>
        <v>20576</v>
      </c>
      <c r="AD26" s="387" t="str">
        <f>COUNTIF(AE$6:AE$119,"&gt;"&amp;AE$6:AE$119)+1&amp;REPT("-"&amp;COUNTIF(AE$6:AE$119,"&gt;="&amp;AE$6:AE$119),COUNTIF(AE$6:AE$119,AE26)&gt;1)</f>
        <v>5-56</v>
      </c>
      <c r="AE26" s="388">
        <f t="shared" si="45"/>
        <v>80</v>
      </c>
      <c r="AF26" s="390" t="str">
        <f>IF(OR(F26="Х",F26="св")," ",IF(AND(G26&gt;=0,G26&lt;3),"1"," "))</f>
        <v>1</v>
      </c>
      <c r="AG26" s="390" t="str">
        <f>IF(OR(H26="Х",H26="св")," ",IF(AND(I26&gt;=0,I26&lt;3),"1"," "))</f>
        <v>1</v>
      </c>
      <c r="AH26" s="390" t="str">
        <f>IF(OR(J26="Х",J26="св")," ",IF(AND(K26&gt;=0,K26&lt;3),"1"," "))</f>
        <v>1</v>
      </c>
      <c r="AI26" s="390" t="str">
        <f>IF(OR(L26="Х",L26="св")," ",IF(AND(M26&gt;=0,M26&lt;3),"1"," "))</f>
        <v>1</v>
      </c>
      <c r="AJ26" s="390" t="str">
        <f>IF(OR(N26="Х",N26="св")," ",IF(AND(O26&gt;=0,O26&lt;3),"1"," "))</f>
        <v>1</v>
      </c>
      <c r="AK26" s="390" t="str">
        <f>IF(OR(P26="Х",P26="св")," ",IF(AND(Q26&gt;=0,Q26&lt;3),"1"," "))</f>
        <v>1</v>
      </c>
      <c r="AL26" s="390" t="str">
        <f>IF(OR(R26="Х",R26="св")," ",IF(AND(S26&gt;=0,S26&lt;3),"1"," "))</f>
        <v>1</v>
      </c>
      <c r="AM26" s="390" t="str">
        <f>IF(OR(T26="Х",T26="св")," ",IF(AND(U26&gt;=0,U26&lt;3),"1"," "))</f>
        <v>1</v>
      </c>
      <c r="AN26" s="391">
        <f>COUNTIF(AF26:AM27,1)</f>
        <v>8</v>
      </c>
      <c r="AO26" s="393">
        <f>AE26-AA26</f>
        <v>80</v>
      </c>
      <c r="AP26" s="394">
        <f t="shared" si="10"/>
        <v>0</v>
      </c>
      <c r="AQ26" s="387" t="str">
        <f>COUNTIF(AE$6:AE$119,"&gt;"&amp;AE$6:AE$119)+1&amp;REPT("-"&amp;COUNTIF(AE$6:AE$119,"&gt;="&amp;AE$6:AE$119),COUNTIF(AE$6:AE$119,AE26)&gt;1)</f>
        <v>5-56</v>
      </c>
      <c r="AR26" s="395"/>
      <c r="AS26" s="183"/>
      <c r="AT26" s="183"/>
      <c r="AU26" s="183"/>
      <c r="AV26" s="386">
        <f t="shared" ref="AV26:AV88" si="65">IF(V26="Х","Х",IF(W26&lt;3,B26,"Х"))</f>
        <v>10</v>
      </c>
      <c r="AW26" s="85" t="str">
        <f ca="1">IF(CA31&gt;AW$3," ",CA31)</f>
        <v xml:space="preserve"> </v>
      </c>
      <c r="AX26" s="126" t="str">
        <f ca="1">IF(CA32&gt;AW$3," ",CA32)</f>
        <v xml:space="preserve"> </v>
      </c>
      <c r="AY26" s="85"/>
      <c r="AZ26" s="58"/>
      <c r="BA26" s="57"/>
      <c r="BB26" s="85" t="str">
        <f ca="1">IF(CD31&gt;AW$3," ",CD31)</f>
        <v xml:space="preserve"> </v>
      </c>
      <c r="BC26" s="58" t="str">
        <f ca="1">IF(CD32&gt;AW$3," ",CD32)</f>
        <v xml:space="preserve"> </v>
      </c>
      <c r="BD26" s="85"/>
      <c r="BE26" s="84"/>
      <c r="BF26" s="86"/>
      <c r="BG26" s="85" t="str">
        <f ca="1">IF(CJ27&gt;AW$3," ",CJ27)</f>
        <v xml:space="preserve"> </v>
      </c>
      <c r="BH26" s="58" t="str">
        <f ca="1">IF(CJ28&gt;AW$3," ",CJ28)</f>
        <v xml:space="preserve"> </v>
      </c>
      <c r="BI26" s="85"/>
      <c r="BJ26" s="84"/>
      <c r="BK26" s="86"/>
      <c r="BL26" s="85" t="str">
        <f ca="1">IF(CP27&gt;AW$3," ",CP27)</f>
        <v xml:space="preserve"> </v>
      </c>
      <c r="BM26" s="58" t="str">
        <f ca="1">IF(CP28&gt;AW$3," ",CP28)</f>
        <v xml:space="preserve"> </v>
      </c>
      <c r="BN26" s="85"/>
      <c r="BO26" s="84"/>
      <c r="BP26" s="86"/>
      <c r="BQ26" s="210" t="str">
        <f>IF(CT30&gt;BA$3," ",CT30)</f>
        <v xml:space="preserve"> </v>
      </c>
      <c r="BR26" s="58" t="str">
        <f>IF(CT31&gt;BA$3," ",CT31)</f>
        <v xml:space="preserve"> </v>
      </c>
      <c r="BS26" s="85"/>
      <c r="BT26" s="58"/>
      <c r="BU26" s="377">
        <f>IF(J26="х"," ",B26)</f>
        <v>10</v>
      </c>
      <c r="BV26" s="377">
        <f>IF(L26="х"," ",B26)</f>
        <v>10</v>
      </c>
      <c r="BW26" s="377" t="str">
        <f>IF(BV26=" "," ",L26)</f>
        <v xml:space="preserve"> </v>
      </c>
      <c r="BX26" s="377" t="str">
        <f>IF(BU26=" "," ",J26)</f>
        <v xml:space="preserve"> </v>
      </c>
      <c r="BY26" s="61">
        <f>IF(BU26&lt;BX26,BU26,0)</f>
        <v>10</v>
      </c>
      <c r="BZ26" s="61">
        <f t="shared" si="49"/>
        <v>10</v>
      </c>
      <c r="CA26" s="124">
        <f t="array" aca="1" ref="CA2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22</v>
      </c>
      <c r="CB26">
        <f>IF(BV26&lt;BW26,BV26,0)</f>
        <v>10</v>
      </c>
      <c r="CC26" s="125">
        <f t="shared" si="5"/>
        <v>10</v>
      </c>
      <c r="CD26" s="51">
        <f t="array" aca="1" ref="CD26" ca="1">IF(ROW()-ROW(Н4кр)+1&gt;ROWS(Е4кр)-COUNTBLANK(Е4кр)," ",INDIRECT(ADDRESS(SMALL((IF(Е4кр&lt;&gt;" ",ROW(Е4кр),ROW()+ROWS(Е4кр))),ROW()-ROW(Н4кр)+1),COLUMN(Е4кр),4)))</f>
        <v>22</v>
      </c>
      <c r="CF26" s="377">
        <f>IF(N26="х"," ",B26)</f>
        <v>10</v>
      </c>
      <c r="CG26" s="377" t="str">
        <f>IF(CF26=" "," ",N26)</f>
        <v xml:space="preserve"> </v>
      </c>
      <c r="CH26" s="125">
        <f>IF(CF26&lt;CG26,CF26,0)</f>
        <v>10</v>
      </c>
      <c r="CI26">
        <f t="shared" si="12"/>
        <v>10</v>
      </c>
      <c r="CJ26" s="51">
        <f t="array" aca="1" ref="CJ26" ca="1">IF(ROW()-ROW(Н5кр)+1&gt;ROWS(Е5кр)-COUNTBLANK(Е5кр)," ",INDIRECT(ADDRESS(SMALL((IF(Е5кр&lt;&gt;" ",ROW(Е5кр),ROW()+ROWS(Е5кр))),ROW()-ROW(Н5кр)+1),COLUMN(Е5кр),4)))</f>
        <v>22</v>
      </c>
      <c r="CL26" s="377">
        <f>IF(P26="х"," ",B26)</f>
        <v>10</v>
      </c>
      <c r="CM26" s="377" t="str">
        <f>IF(CL26=" "," ",P26)</f>
        <v xml:space="preserve"> </v>
      </c>
      <c r="CN26">
        <f>IF(CL26&lt;CM26,CL26,0)</f>
        <v>10</v>
      </c>
      <c r="CO26">
        <f t="shared" si="6"/>
        <v>10</v>
      </c>
      <c r="CP26">
        <f t="array" aca="1" ref="CP26" ca="1">IF(ROW()-ROW(Н6кр)+1&gt;ROWS(Е6кр)-COUNTBLANK(Е6кр)," ",INDIRECT(ADDRESS(SMALL((IF(Е6кр&lt;&gt;" ",ROW(Е6кр),ROW()+ROWS(Е6кр))),ROW()-ROW(Н6кр)+1),COLUMN(Е6кр),4)))</f>
        <v>22</v>
      </c>
      <c r="CR26" s="377">
        <f t="shared" ref="CR26" si="66">IF(R26="х"," ",B26)</f>
        <v>10</v>
      </c>
      <c r="CS26" s="377" t="str">
        <f t="shared" ref="CS26" si="67">IF(CR26=" "," ",R26)</f>
        <v xml:space="preserve"> </v>
      </c>
      <c r="CT26">
        <f>IF(CR26&lt;CS26,CR26,0)</f>
        <v>10</v>
      </c>
      <c r="CU26">
        <f t="shared" si="7"/>
        <v>10</v>
      </c>
      <c r="CV26">
        <f t="array" aca="1" ref="CV26" ca="1">IF(ROW()-ROW(Н7кр)+1&gt;ROWS(Е7кр)-COUNTBLANK(Е7кр)," ",INDIRECT(ADDRESS(SMALL((IF(Е7кр&lt;&gt;" ",ROW(Е7кр),ROW()+ROWS(Е7кр))),ROW()-ROW(Н7кр)+1),COLUMN(Е7кр),4)))</f>
        <v>22</v>
      </c>
    </row>
    <row r="27" spans="1:100" ht="12" hidden="1" customHeight="1" thickBot="1">
      <c r="A27" s="81"/>
      <c r="B27" s="434"/>
      <c r="C27" s="426"/>
      <c r="D27" s="428"/>
      <c r="E27" s="430"/>
      <c r="F27" s="442"/>
      <c r="G27" s="44"/>
      <c r="H27" s="439"/>
      <c r="I27" s="44"/>
      <c r="J27" s="439"/>
      <c r="K27" s="44"/>
      <c r="L27" s="439"/>
      <c r="M27" s="44"/>
      <c r="N27" s="439"/>
      <c r="O27" s="44"/>
      <c r="P27" s="439"/>
      <c r="Q27" s="44"/>
      <c r="R27" s="439"/>
      <c r="S27" s="44"/>
      <c r="T27" s="439"/>
      <c r="U27" s="47"/>
      <c r="V27" s="439"/>
      <c r="W27" s="44"/>
      <c r="X27" s="439"/>
      <c r="Y27" s="44"/>
      <c r="Z27" s="432"/>
      <c r="AA27" s="419"/>
      <c r="AB27" s="432"/>
      <c r="AC27" s="396"/>
      <c r="AD27" s="387"/>
      <c r="AE27" s="389"/>
      <c r="AF27" s="390"/>
      <c r="AG27" s="390"/>
      <c r="AH27" s="390"/>
      <c r="AI27" s="390"/>
      <c r="AJ27" s="390"/>
      <c r="AK27" s="390"/>
      <c r="AL27" s="390"/>
      <c r="AM27" s="390"/>
      <c r="AN27" s="392"/>
      <c r="AO27" s="387"/>
      <c r="AP27" s="394"/>
      <c r="AQ27" s="387"/>
      <c r="AR27" s="395"/>
      <c r="AS27" s="183"/>
      <c r="AT27" s="183"/>
      <c r="AU27" s="183"/>
      <c r="AV27" s="386"/>
      <c r="AW27" s="85" t="str">
        <f ca="1">IF(CA33&gt;AW$3," ",CA33)</f>
        <v xml:space="preserve"> </v>
      </c>
      <c r="AX27" s="126" t="str">
        <f ca="1">IF(CA34&gt;AW$3," ",CA34)</f>
        <v xml:space="preserve"> </v>
      </c>
      <c r="AY27" s="35"/>
      <c r="AZ27" s="35"/>
      <c r="BB27" s="85" t="str">
        <f ca="1">IF(CD33&gt;AW$3," ",CD33)</f>
        <v xml:space="preserve"> </v>
      </c>
      <c r="BC27" s="58" t="str">
        <f ca="1">IF(CD34&gt;AW$3," ",CD34)</f>
        <v xml:space="preserve"> </v>
      </c>
      <c r="BD27" s="85"/>
      <c r="BE27" s="84"/>
      <c r="BF27" s="86"/>
      <c r="BG27" s="85" t="str">
        <f ca="1">IF(CJ29&gt;AW$3," ",CJ29)</f>
        <v xml:space="preserve"> </v>
      </c>
      <c r="BH27" s="58" t="str">
        <f ca="1">IF(CJ30&gt;AW$3," ",CJ30)</f>
        <v xml:space="preserve"> </v>
      </c>
      <c r="BI27" s="85"/>
      <c r="BJ27" s="84"/>
      <c r="BK27" s="86"/>
      <c r="BL27" s="85" t="str">
        <f ca="1">IF(CP29&gt;AW$3," ",CP29)</f>
        <v xml:space="preserve"> </v>
      </c>
      <c r="BM27" s="58" t="str">
        <f ca="1">IF(CP30&gt;AW$3," ",CP30)</f>
        <v xml:space="preserve"> </v>
      </c>
      <c r="BN27" s="85"/>
      <c r="BO27" s="84"/>
      <c r="BP27" s="214"/>
      <c r="BQ27" s="210" t="str">
        <f>IF(CT32&gt;BA$3," ",CT32)</f>
        <v xml:space="preserve"> </v>
      </c>
      <c r="BR27" s="58" t="str">
        <f>IF(CT33&gt;BA$3," ",CT33)</f>
        <v xml:space="preserve"> </v>
      </c>
      <c r="BS27" s="85"/>
      <c r="BT27" s="58"/>
      <c r="BU27" s="377"/>
      <c r="BV27" s="377"/>
      <c r="BW27" s="377"/>
      <c r="BX27" s="377"/>
      <c r="BY27" s="61" t="str">
        <f>IF(BY26&gt;=1,BX26,0)</f>
        <v xml:space="preserve"> </v>
      </c>
      <c r="BZ27" s="61" t="str">
        <f t="shared" si="49"/>
        <v xml:space="preserve"> </v>
      </c>
      <c r="CA27" s="124">
        <f t="array" aca="1" ref="CA2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23</v>
      </c>
      <c r="CB27" t="str">
        <f>IF(CB26&gt;=1,BW26,0)</f>
        <v xml:space="preserve"> </v>
      </c>
      <c r="CC27" s="125" t="str">
        <f t="shared" si="5"/>
        <v xml:space="preserve"> </v>
      </c>
      <c r="CD27" s="51">
        <f t="array" aca="1" ref="CD27" ca="1">IF(ROW()-ROW(Н4кр)+1&gt;ROWS(Е4кр)-COUNTBLANK(Е4кр)," ",INDIRECT(ADDRESS(SMALL((IF(Е4кр&lt;&gt;" ",ROW(Е4кр),ROW()+ROWS(Е4кр))),ROW()-ROW(Н4кр)+1),COLUMN(Е4кр),4)))</f>
        <v>23</v>
      </c>
      <c r="CF27" s="377"/>
      <c r="CG27" s="377"/>
      <c r="CH27" s="125" t="str">
        <f>IF(CH26&gt;=1,CG26,0)</f>
        <v xml:space="preserve"> </v>
      </c>
      <c r="CI27" t="str">
        <f t="shared" si="12"/>
        <v xml:space="preserve"> </v>
      </c>
      <c r="CJ27" s="51">
        <f t="array" aca="1" ref="CJ27" ca="1">IF(ROW()-ROW(Н5кр)+1&gt;ROWS(Е5кр)-COUNTBLANK(Е5кр)," ",INDIRECT(ADDRESS(SMALL((IF(Е5кр&lt;&gt;" ",ROW(Е5кр),ROW()+ROWS(Е5кр))),ROW()-ROW(Н5кр)+1),COLUMN(Е5кр),4)))</f>
        <v>23</v>
      </c>
      <c r="CL27" s="377"/>
      <c r="CM27" s="377"/>
      <c r="CN27" t="str">
        <f>IF(CN26&gt;=1,CM26,0)</f>
        <v xml:space="preserve"> </v>
      </c>
      <c r="CO27" t="str">
        <f t="shared" si="6"/>
        <v xml:space="preserve"> </v>
      </c>
      <c r="CP27">
        <f t="array" aca="1" ref="CP27" ca="1">IF(ROW()-ROW(Н6кр)+1&gt;ROWS(Е6кр)-COUNTBLANK(Е6кр)," ",INDIRECT(ADDRESS(SMALL((IF(Е6кр&lt;&gt;" ",ROW(Е6кр),ROW()+ROWS(Е6кр))),ROW()-ROW(Н6кр)+1),COLUMN(Е6кр),4)))</f>
        <v>23</v>
      </c>
      <c r="CR27" s="377"/>
      <c r="CS27" s="377"/>
      <c r="CT27" t="str">
        <f>IF(CT26&gt;=1,CS26,0)</f>
        <v xml:space="preserve"> </v>
      </c>
      <c r="CU27" t="str">
        <f t="shared" si="7"/>
        <v xml:space="preserve"> </v>
      </c>
      <c r="CV27">
        <f t="array" aca="1" ref="CV27" ca="1">IF(ROW()-ROW(Н7кр)+1&gt;ROWS(Е7кр)-COUNTBLANK(Е7кр)," ",INDIRECT(ADDRESS(SMALL((IF(Е7кр&lt;&gt;" ",ROW(Е7кр),ROW()+ROWS(Е7кр))),ROW()-ROW(Н7кр)+1),COLUMN(Е7кр),4)))</f>
        <v>23</v>
      </c>
    </row>
    <row r="28" spans="1:100" ht="12" hidden="1" customHeight="1" thickTop="1">
      <c r="A28" s="81"/>
      <c r="B28" s="414">
        <v>11</v>
      </c>
      <c r="C28" s="425" t="e">
        <f>(VLOOKUP(B28,пр.взв!$B$7:$H$76,2,0))</f>
        <v>#N/A</v>
      </c>
      <c r="D28" s="427" t="e">
        <f>(VLOOKUP(B28,пр.взв!$B$7:$H$76,3,0))</f>
        <v>#N/A</v>
      </c>
      <c r="E28" s="429" t="e">
        <f>(VLOOKUP(B28,пр.взв!$B$7:$H$76,5,0))</f>
        <v>#N/A</v>
      </c>
      <c r="F28" s="445">
        <f t="shared" si="41"/>
        <v>0</v>
      </c>
      <c r="G28" s="41"/>
      <c r="H28" s="444"/>
      <c r="I28" s="41"/>
      <c r="J28" s="444" t="str">
        <f t="shared" si="0"/>
        <v xml:space="preserve"> </v>
      </c>
      <c r="K28" s="41"/>
      <c r="L28" s="438" t="str">
        <f t="shared" ref="L28" si="68">IF(J28="Х","Х",IF(K28&lt;2.5," ",IF(K28&gt;=2.5,IF(G28+I28+K28&gt;=6,"Х",IF(AA28&lt;6," "," ")))))</f>
        <v xml:space="preserve"> </v>
      </c>
      <c r="M28" s="41"/>
      <c r="N28" s="444" t="str">
        <f>IF(L28="Х","Х",IF(M28&lt;2.5," ",IF(M28&gt;=2.5,IF(G28+I28+K28+M28&gt;=6,"Х",IF(AA28&lt;6," "," ")))))</f>
        <v xml:space="preserve"> </v>
      </c>
      <c r="O28" s="41"/>
      <c r="P28" s="444" t="str">
        <f>IF(N28="Х","Х",IF(O28&lt;2.5," ",IF(O28&gt;=2.5,IF(G28+I28+K28+M28+O28&gt;=6,"Х",IF(AA28&lt;6," "," ")))))</f>
        <v xml:space="preserve"> </v>
      </c>
      <c r="Q28" s="41"/>
      <c r="R28" s="444" t="str">
        <f>IF(P28="Х","Х",IF(Q28&lt;2.5," ",IF(Q28&gt;=2.5,IF(G28+I28+K28+M28+O28+Q28&gt;=6,"Х",IF(AA28&lt;6," "," ")))))</f>
        <v xml:space="preserve"> </v>
      </c>
      <c r="S28" s="41"/>
      <c r="T28" s="444" t="str">
        <f>IF(R28="Х","Х",IF(S28&lt;2.5," ",IF(S28&gt;=2.5,IF(G28+I28+K28+M28+O28+Q28+S28&gt;=6,"Х",IF(AA28&lt;6," "," ")))))</f>
        <v xml:space="preserve"> </v>
      </c>
      <c r="U28" s="45"/>
      <c r="V28" s="438" t="str">
        <f>IF(T28="А1",$AX$7,IF(T28="Б2",$AX$6,IF(T28="Б1",$AY$7,IF(T28="А2",$AY$6,IF(T28="Х","Х",IF(T28&lt;6," "," "))))))</f>
        <v xml:space="preserve"> </v>
      </c>
      <c r="W28" s="41"/>
      <c r="X28" s="438" t="str">
        <f t="shared" ref="X28" si="69">IF(T28="Х","Х",IF(ISBLANK(W28),"",IF(W28&gt;2.5," ",IF(B28=AZ$6,AZ$7,AZ$6))))</f>
        <v/>
      </c>
      <c r="Y28" s="41"/>
      <c r="Z28" s="421" t="b">
        <f>IF(H28="Х","1",IF(J28="Х","2",IF(L28="Х","3",IF(N28="Х","4",IF(P28="Х","5",IF(R28="Х","6",IF(T28="Х","7",IF(V28="Х","8"))))))))</f>
        <v>0</v>
      </c>
      <c r="AA28" s="420">
        <f>SUM(G28+I28+K28+M28+O28+Q28+S28+U28+W28+Y28)</f>
        <v>0</v>
      </c>
      <c r="AB28" s="431">
        <f t="shared" ref="AB28" si="70">AD28+0</f>
        <v>20576</v>
      </c>
      <c r="AC28" s="386">
        <f>AB28</f>
        <v>20576</v>
      </c>
      <c r="AD28" s="387" t="str">
        <f>COUNTIF(AE$6:AE$119,"&gt;"&amp;AE$6:AE$119)+1&amp;REPT("-"&amp;COUNTIF(AE$6:AE$119,"&gt;="&amp;AE$6:AE$119),COUNTIF(AE$6:AE$119,AE28)&gt;1)</f>
        <v>5-56</v>
      </c>
      <c r="AE28" s="388">
        <f t="shared" si="45"/>
        <v>80</v>
      </c>
      <c r="AF28" s="390" t="str">
        <f>IF(OR(F28="Х",F28="св")," ",IF(AND(G28&gt;=0,G28&lt;3),"1"," "))</f>
        <v>1</v>
      </c>
      <c r="AG28" s="390" t="str">
        <f>IF(OR(H28="Х",H28="св")," ",IF(AND(I28&gt;=0,I28&lt;3),"1"," "))</f>
        <v>1</v>
      </c>
      <c r="AH28" s="390" t="str">
        <f>IF(OR(J28="Х",J28="св")," ",IF(AND(K28&gt;=0,K28&lt;3),"1"," "))</f>
        <v>1</v>
      </c>
      <c r="AI28" s="390" t="str">
        <f>IF(OR(L28="Х",L28="св")," ",IF(AND(M28&gt;=0,M28&lt;3),"1"," "))</f>
        <v>1</v>
      </c>
      <c r="AJ28" s="390" t="str">
        <f>IF(OR(N28="Х",N28="св")," ",IF(AND(O28&gt;=0,O28&lt;3),"1"," "))</f>
        <v>1</v>
      </c>
      <c r="AK28" s="390" t="str">
        <f>IF(OR(P28="Х",P28="св")," ",IF(AND(Q28&gt;=0,Q28&lt;3),"1"," "))</f>
        <v>1</v>
      </c>
      <c r="AL28" s="390" t="str">
        <f>IF(OR(R28="Х",R28="св")," ",IF(AND(S28&gt;=0,S28&lt;3),"1"," "))</f>
        <v>1</v>
      </c>
      <c r="AM28" s="390" t="str">
        <f>IF(OR(T28="Х",T28="св")," ",IF(AND(U28&gt;=0,U28&lt;3),"1"," "))</f>
        <v>1</v>
      </c>
      <c r="AN28" s="391">
        <f>COUNTIF(AF28:AM29,1)</f>
        <v>8</v>
      </c>
      <c r="AO28" s="393">
        <f>AE28-AA28</f>
        <v>80</v>
      </c>
      <c r="AP28" s="394">
        <f t="shared" si="10"/>
        <v>0</v>
      </c>
      <c r="AQ28" s="387" t="str">
        <f>COUNTIF(AE$6:AE$119,"&gt;"&amp;AE$6:AE$119)+1&amp;REPT("-"&amp;COUNTIF(AE$6:AE$119,"&gt;="&amp;AE$6:AE$119),COUNTIF(AE$6:AE$119,AE28)&gt;1)</f>
        <v>5-56</v>
      </c>
      <c r="AR28" s="395"/>
      <c r="AS28" s="183"/>
      <c r="AT28" s="183"/>
      <c r="AU28" s="183"/>
      <c r="AV28" s="386">
        <f t="shared" si="65"/>
        <v>11</v>
      </c>
      <c r="AW28" s="85" t="str">
        <f ca="1">IF(CA35&gt;AW$3," ",CA35)</f>
        <v xml:space="preserve"> </v>
      </c>
      <c r="AX28" s="126" t="str">
        <f ca="1">IF(CA36&gt;AW$3," ",CA36)</f>
        <v xml:space="preserve"> </v>
      </c>
      <c r="BU28" s="377">
        <f>IF(J28="х"," ",B28)</f>
        <v>11</v>
      </c>
      <c r="BV28" s="377">
        <f>IF(L28="х"," ",B28)</f>
        <v>11</v>
      </c>
      <c r="BW28" s="377" t="str">
        <f>IF(BV28=" "," ",L28)</f>
        <v xml:space="preserve"> </v>
      </c>
      <c r="BX28" s="377" t="str">
        <f>IF(BU28=" "," ",J28)</f>
        <v xml:space="preserve"> </v>
      </c>
      <c r="BY28" s="61">
        <f>IF(BU28&lt;BX28,BU28,0)</f>
        <v>11</v>
      </c>
      <c r="BZ28" s="61">
        <f t="shared" si="49"/>
        <v>11</v>
      </c>
      <c r="CA28" s="124">
        <f t="array" aca="1" ref="CA2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24</v>
      </c>
      <c r="CB28">
        <f>IF(BV28&lt;BW28,BV28,0)</f>
        <v>11</v>
      </c>
      <c r="CC28" s="125">
        <f t="shared" si="5"/>
        <v>11</v>
      </c>
      <c r="CD28" s="51">
        <f t="array" aca="1" ref="CD28" ca="1">IF(ROW()-ROW(Н4кр)+1&gt;ROWS(Е4кр)-COUNTBLANK(Е4кр)," ",INDIRECT(ADDRESS(SMALL((IF(Е4кр&lt;&gt;" ",ROW(Е4кр),ROW()+ROWS(Е4кр))),ROW()-ROW(Н4кр)+1),COLUMN(Е4кр),4)))</f>
        <v>24</v>
      </c>
      <c r="CF28" s="377">
        <f>IF(N28="х"," ",B28)</f>
        <v>11</v>
      </c>
      <c r="CG28" s="377" t="str">
        <f>IF(CF28=" "," ",N28)</f>
        <v xml:space="preserve"> </v>
      </c>
      <c r="CH28" s="125">
        <f>IF(CF28&lt;CG28,CF28,0)</f>
        <v>11</v>
      </c>
      <c r="CI28">
        <f t="shared" si="12"/>
        <v>11</v>
      </c>
      <c r="CJ28" s="51">
        <f t="array" aca="1" ref="CJ28" ca="1">IF(ROW()-ROW(Н5кр)+1&gt;ROWS(Е5кр)-COUNTBLANK(Е5кр)," ",INDIRECT(ADDRESS(SMALL((IF(Е5кр&lt;&gt;" ",ROW(Е5кр),ROW()+ROWS(Е5кр))),ROW()-ROW(Н5кр)+1),COLUMN(Е5кр),4)))</f>
        <v>24</v>
      </c>
      <c r="CL28" s="377">
        <f>IF(P28="х"," ",B28)</f>
        <v>11</v>
      </c>
      <c r="CM28" s="377" t="str">
        <f>IF(CL28=" "," ",P28)</f>
        <v xml:space="preserve"> </v>
      </c>
      <c r="CN28">
        <f>IF(CL28&lt;CM28,CL28,0)</f>
        <v>11</v>
      </c>
      <c r="CO28">
        <f t="shared" si="6"/>
        <v>11</v>
      </c>
      <c r="CP28">
        <f t="array" aca="1" ref="CP28" ca="1">IF(ROW()-ROW(Н6кр)+1&gt;ROWS(Е6кр)-COUNTBLANK(Е6кр)," ",INDIRECT(ADDRESS(SMALL((IF(Е6кр&lt;&gt;" ",ROW(Е6кр),ROW()+ROWS(Е6кр))),ROW()-ROW(Н6кр)+1),COLUMN(Е6кр),4)))</f>
        <v>24</v>
      </c>
      <c r="CR28" s="377">
        <f t="shared" ref="CR28" si="71">IF(R28="х"," ",B28)</f>
        <v>11</v>
      </c>
      <c r="CS28" s="377" t="str">
        <f t="shared" ref="CS28" si="72">IF(CR28=" "," ",R28)</f>
        <v xml:space="preserve"> </v>
      </c>
      <c r="CT28">
        <f>IF(CR28&lt;CS28,CR28,0)</f>
        <v>11</v>
      </c>
      <c r="CU28">
        <f t="shared" si="7"/>
        <v>11</v>
      </c>
      <c r="CV28">
        <f t="array" aca="1" ref="CV28" ca="1">IF(ROW()-ROW(Н7кр)+1&gt;ROWS(Е7кр)-COUNTBLANK(Е7кр)," ",INDIRECT(ADDRESS(SMALL((IF(Е7кр&lt;&gt;" ",ROW(Е7кр),ROW()+ROWS(Е7кр))),ROW()-ROW(Н7кр)+1),COLUMN(Е7кр),4)))</f>
        <v>24</v>
      </c>
    </row>
    <row r="29" spans="1:100" ht="12" hidden="1" customHeight="1" thickBot="1">
      <c r="A29" s="81"/>
      <c r="B29" s="424"/>
      <c r="C29" s="426"/>
      <c r="D29" s="428"/>
      <c r="E29" s="430"/>
      <c r="F29" s="442"/>
      <c r="G29" s="44"/>
      <c r="H29" s="439"/>
      <c r="I29" s="44"/>
      <c r="J29" s="439"/>
      <c r="K29" s="44"/>
      <c r="L29" s="439"/>
      <c r="M29" s="44"/>
      <c r="N29" s="439"/>
      <c r="O29" s="44"/>
      <c r="P29" s="439"/>
      <c r="Q29" s="44"/>
      <c r="R29" s="439"/>
      <c r="S29" s="44"/>
      <c r="T29" s="439"/>
      <c r="U29" s="47"/>
      <c r="V29" s="439"/>
      <c r="W29" s="44"/>
      <c r="X29" s="439"/>
      <c r="Y29" s="44"/>
      <c r="Z29" s="422"/>
      <c r="AA29" s="419"/>
      <c r="AB29" s="432"/>
      <c r="AC29" s="386"/>
      <c r="AD29" s="387"/>
      <c r="AE29" s="389"/>
      <c r="AF29" s="390"/>
      <c r="AG29" s="390"/>
      <c r="AH29" s="390"/>
      <c r="AI29" s="390"/>
      <c r="AJ29" s="390"/>
      <c r="AK29" s="390"/>
      <c r="AL29" s="390"/>
      <c r="AM29" s="390"/>
      <c r="AN29" s="392"/>
      <c r="AO29" s="387"/>
      <c r="AP29" s="394"/>
      <c r="AQ29" s="387"/>
      <c r="AR29" s="395"/>
      <c r="AS29" s="183"/>
      <c r="AT29" s="183"/>
      <c r="AU29" s="183"/>
      <c r="AV29" s="386"/>
      <c r="AW29" s="85" t="str">
        <f ca="1">IF(CA37&gt;AW$3," ",CA37)</f>
        <v xml:space="preserve"> </v>
      </c>
      <c r="AX29" s="126" t="str">
        <f ca="1">IF(CA38&gt;AW$3," ",CA38)</f>
        <v xml:space="preserve"> </v>
      </c>
      <c r="BU29" s="377"/>
      <c r="BV29" s="377"/>
      <c r="BW29" s="377"/>
      <c r="BX29" s="377"/>
      <c r="BY29" s="61" t="str">
        <f>IF(BY28&gt;=1,BX28,0)</f>
        <v xml:space="preserve"> </v>
      </c>
      <c r="BZ29" s="61" t="str">
        <f t="shared" si="49"/>
        <v xml:space="preserve"> </v>
      </c>
      <c r="CA29" s="124">
        <f t="array" aca="1" ref="CA2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25</v>
      </c>
      <c r="CB29" t="str">
        <f>IF(CB28&gt;=1,BW28,0)</f>
        <v xml:space="preserve"> </v>
      </c>
      <c r="CC29" s="125" t="str">
        <f t="shared" si="5"/>
        <v xml:space="preserve"> </v>
      </c>
      <c r="CD29" s="51">
        <f t="array" aca="1" ref="CD29" ca="1">IF(ROW()-ROW(Н4кр)+1&gt;ROWS(Е4кр)-COUNTBLANK(Е4кр)," ",INDIRECT(ADDRESS(SMALL((IF(Е4кр&lt;&gt;" ",ROW(Е4кр),ROW()+ROWS(Е4кр))),ROW()-ROW(Н4кр)+1),COLUMN(Е4кр),4)))</f>
        <v>25</v>
      </c>
      <c r="CF29" s="377"/>
      <c r="CG29" s="377"/>
      <c r="CH29" s="125" t="str">
        <f>IF(CH28&gt;=1,CG28,0)</f>
        <v xml:space="preserve"> </v>
      </c>
      <c r="CI29" t="str">
        <f t="shared" si="12"/>
        <v xml:space="preserve"> </v>
      </c>
      <c r="CJ29" s="51">
        <f t="array" aca="1" ref="CJ29" ca="1">IF(ROW()-ROW(Н5кр)+1&gt;ROWS(Е5кр)-COUNTBLANK(Е5кр)," ",INDIRECT(ADDRESS(SMALL((IF(Е5кр&lt;&gt;" ",ROW(Е5кр),ROW()+ROWS(Е5кр))),ROW()-ROW(Н5кр)+1),COLUMN(Е5кр),4)))</f>
        <v>25</v>
      </c>
      <c r="CL29" s="377"/>
      <c r="CM29" s="377"/>
      <c r="CN29" t="str">
        <f>IF(CN28&gt;=1,CM28,0)</f>
        <v xml:space="preserve"> </v>
      </c>
      <c r="CO29" t="str">
        <f t="shared" si="6"/>
        <v xml:space="preserve"> </v>
      </c>
      <c r="CP29">
        <f t="array" aca="1" ref="CP29" ca="1">IF(ROW()-ROW(Н6кр)+1&gt;ROWS(Е6кр)-COUNTBLANK(Е6кр)," ",INDIRECT(ADDRESS(SMALL((IF(Е6кр&lt;&gt;" ",ROW(Е6кр),ROW()+ROWS(Е6кр))),ROW()-ROW(Н6кр)+1),COLUMN(Е6кр),4)))</f>
        <v>25</v>
      </c>
      <c r="CR29" s="377"/>
      <c r="CS29" s="377"/>
      <c r="CT29" t="str">
        <f>IF(CT28&gt;=1,CS28,0)</f>
        <v xml:space="preserve"> </v>
      </c>
      <c r="CU29" t="str">
        <f t="shared" si="7"/>
        <v xml:space="preserve"> </v>
      </c>
      <c r="CV29">
        <f t="array" aca="1" ref="CV29" ca="1">IF(ROW()-ROW(Н7кр)+1&gt;ROWS(Е7кр)-COUNTBLANK(Е7кр)," ",INDIRECT(ADDRESS(SMALL((IF(Е7кр&lt;&gt;" ",ROW(Е7кр),ROW()+ROWS(Е7кр))),ROW()-ROW(Н7кр)+1),COLUMN(Е7кр),4)))</f>
        <v>25</v>
      </c>
    </row>
    <row r="30" spans="1:100" ht="12" hidden="1" customHeight="1" thickTop="1">
      <c r="A30" s="81"/>
      <c r="B30" s="423">
        <v>12</v>
      </c>
      <c r="C30" s="425" t="e">
        <f>(VLOOKUP(B30,пр.взв!$B$7:$H$76,2,0))</f>
        <v>#N/A</v>
      </c>
      <c r="D30" s="427" t="e">
        <f>(VLOOKUP(B30,пр.взв!$B$7:$H$76,3,0))</f>
        <v>#N/A</v>
      </c>
      <c r="E30" s="429" t="e">
        <f>(VLOOKUP(B30,пр.взв!$B$7:$H$76,5,0))</f>
        <v>#N/A</v>
      </c>
      <c r="F30" s="443">
        <f t="shared" si="50"/>
        <v>0</v>
      </c>
      <c r="G30" s="42"/>
      <c r="H30" s="440"/>
      <c r="I30" s="42"/>
      <c r="J30" s="444" t="str">
        <f t="shared" si="0"/>
        <v xml:space="preserve"> </v>
      </c>
      <c r="K30" s="42"/>
      <c r="L30" s="438" t="str">
        <f t="shared" ref="L30" si="73">IF(J30="Х","Х",IF(K30&lt;2.5," ",IF(K30&gt;=2.5,IF(G30+I30+K30&gt;=6,"Х",IF(AA30&lt;6," "," ")))))</f>
        <v xml:space="preserve"> </v>
      </c>
      <c r="M30" s="42"/>
      <c r="N30" s="440" t="str">
        <f>IF(L30="Х","Х",IF(M30&lt;2.5," ",IF(M30&gt;=2.5,IF(G30+I30+K30+M30&gt;=6,"Х",IF(AA30&lt;6," "," ")))))</f>
        <v xml:space="preserve"> </v>
      </c>
      <c r="O30" s="42"/>
      <c r="P30" s="440" t="str">
        <f>IF(N30="Х","Х",IF(O30&lt;2.5," ",IF(O30&gt;=2.5,IF(G30+I30+K30+M30+O30&gt;=6,"Х",IF(AA30&lt;6," "," ")))))</f>
        <v xml:space="preserve"> </v>
      </c>
      <c r="Q30" s="42"/>
      <c r="R30" s="440" t="str">
        <f>IF(P30="Х","Х",IF(Q30&lt;2.5," ",IF(Q30&gt;=2.5,IF(G30+I30+K30+M30+O30+Q30&gt;=6,"Х",IF(AA30&lt;6," "," ")))))</f>
        <v xml:space="preserve"> </v>
      </c>
      <c r="S30" s="42"/>
      <c r="T30" s="440" t="str">
        <f>IF(R30="Х","Х",IF(S30&lt;2.5," ",IF(S30&gt;=2.5,IF(G30+I30+K30+M30+O30+Q30+S30&gt;=6,"Х",IF(AA30&lt;6," "," ")))))</f>
        <v xml:space="preserve"> </v>
      </c>
      <c r="U30" s="46"/>
      <c r="V30" s="438" t="str">
        <f>IF(T30="А1",$AX$7,IF(T30="Б2",$AX$6,IF(T30="Б1",$AY$7,IF(T30="А2",$AY$6,IF(T30="Х","Х",IF(T30&lt;6," "," "))))))</f>
        <v xml:space="preserve"> </v>
      </c>
      <c r="W30" s="42"/>
      <c r="X30" s="438" t="str">
        <f t="shared" ref="X30" si="74">IF(T30="Х","Х",IF(ISBLANK(W30),"",IF(W30&gt;2.5," ",IF(B30=AZ$6,AZ$7,AZ$6))))</f>
        <v/>
      </c>
      <c r="Y30" s="42"/>
      <c r="Z30" s="467" t="b">
        <f>IF(H30="Х","1",IF(J30="Х","2",IF(L30="Х","3",IF(N30="Х","4",IF(P30="Х","5",IF(R30="Х","6",IF(T30="Х","7",IF(V30="Х","8"))))))))</f>
        <v>0</v>
      </c>
      <c r="AA30" s="418">
        <f>SUM(G30+I30+K30+M30+O30+Q30+S30+U30+W30+Y30)</f>
        <v>0</v>
      </c>
      <c r="AB30" s="431">
        <f t="shared" ref="AB30" si="75">AD30+0</f>
        <v>20576</v>
      </c>
      <c r="AC30" s="386">
        <f>AB30</f>
        <v>20576</v>
      </c>
      <c r="AD30" s="387" t="str">
        <f>COUNTIF(AE$6:AE$119,"&gt;"&amp;AE$6:AE$119)+1&amp;REPT("-"&amp;COUNTIF(AE$6:AE$119,"&gt;="&amp;AE$6:AE$119),COUNTIF(AE$6:AE$119,AE30)&gt;1)</f>
        <v>5-56</v>
      </c>
      <c r="AE30" s="388">
        <f t="shared" si="45"/>
        <v>80</v>
      </c>
      <c r="AF30" s="390" t="str">
        <f>IF(OR(F30="Х",F30="св")," ",IF(AND(G30&gt;=0,G30&lt;3),"1"," "))</f>
        <v>1</v>
      </c>
      <c r="AG30" s="390" t="str">
        <f>IF(OR(H30="Х",H30="св")," ",IF(AND(I30&gt;=0,I30&lt;3),"1"," "))</f>
        <v>1</v>
      </c>
      <c r="AH30" s="390" t="str">
        <f>IF(OR(J30="Х",J30="св")," ",IF(AND(K30&gt;=0,K30&lt;3),"1"," "))</f>
        <v>1</v>
      </c>
      <c r="AI30" s="390" t="str">
        <f>IF(OR(L30="Х",L30="св")," ",IF(AND(M30&gt;=0,M30&lt;3),"1"," "))</f>
        <v>1</v>
      </c>
      <c r="AJ30" s="390" t="str">
        <f>IF(OR(N30="Х",N30="св")," ",IF(AND(O30&gt;=0,O30&lt;3),"1"," "))</f>
        <v>1</v>
      </c>
      <c r="AK30" s="390" t="str">
        <f>IF(OR(P30="Х",P30="св")," ",IF(AND(Q30&gt;=0,Q30&lt;3),"1"," "))</f>
        <v>1</v>
      </c>
      <c r="AL30" s="390" t="str">
        <f>IF(OR(R30="Х",R30="св")," ",IF(AND(S30&gt;=0,S30&lt;3),"1"," "))</f>
        <v>1</v>
      </c>
      <c r="AM30" s="390" t="str">
        <f>IF(OR(T30="Х",T30="св")," ",IF(AND(U30&gt;=0,U30&lt;3),"1"," "))</f>
        <v>1</v>
      </c>
      <c r="AN30" s="391">
        <f>COUNTIF(AF30:AM31,1)</f>
        <v>8</v>
      </c>
      <c r="AO30" s="393">
        <f>AE30-AA30</f>
        <v>80</v>
      </c>
      <c r="AP30" s="394">
        <f t="shared" si="10"/>
        <v>0</v>
      </c>
      <c r="AQ30" s="387" t="str">
        <f>COUNTIF(AE$6:AE$119,"&gt;"&amp;AE$6:AE$119)+1&amp;REPT("-"&amp;COUNTIF(AE$6:AE$119,"&gt;="&amp;AE$6:AE$119),COUNTIF(AE$6:AE$119,AE30)&gt;1)</f>
        <v>5-56</v>
      </c>
      <c r="AR30" s="395"/>
      <c r="AS30" s="183"/>
      <c r="AT30" s="183"/>
      <c r="AU30" s="183"/>
      <c r="AV30" s="386">
        <f t="shared" si="65"/>
        <v>12</v>
      </c>
      <c r="AW30" s="85" t="str">
        <f ca="1">IF(CA39&gt;AW$3," ",CA39)</f>
        <v xml:space="preserve"> </v>
      </c>
      <c r="AX30" s="126" t="str">
        <f ca="1">IF(CA40&gt;AW$3," ",CA40)</f>
        <v xml:space="preserve"> </v>
      </c>
      <c r="BU30" s="377">
        <f>IF(J30="х"," ",B30)</f>
        <v>12</v>
      </c>
      <c r="BV30" s="377">
        <f>IF(L30="х"," ",B30)</f>
        <v>12</v>
      </c>
      <c r="BW30" s="377" t="str">
        <f>IF(BV30=" "," ",L30)</f>
        <v xml:space="preserve"> </v>
      </c>
      <c r="BX30" s="377" t="str">
        <f>IF(BU30=" "," ",J30)</f>
        <v xml:space="preserve"> </v>
      </c>
      <c r="BY30" s="61">
        <f>IF(BU30&lt;BX30,BU30,0)</f>
        <v>12</v>
      </c>
      <c r="BZ30" s="61">
        <f t="shared" si="49"/>
        <v>12</v>
      </c>
      <c r="CA30" s="124">
        <f t="array" aca="1" ref="CA3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26</v>
      </c>
      <c r="CB30">
        <f>IF(BV30&lt;BW30,BV30,0)</f>
        <v>12</v>
      </c>
      <c r="CC30" s="125">
        <f t="shared" si="5"/>
        <v>12</v>
      </c>
      <c r="CD30" s="51">
        <f t="array" aca="1" ref="CD30" ca="1">IF(ROW()-ROW(Н4кр)+1&gt;ROWS(Е4кр)-COUNTBLANK(Е4кр)," ",INDIRECT(ADDRESS(SMALL((IF(Е4кр&lt;&gt;" ",ROW(Е4кр),ROW()+ROWS(Е4кр))),ROW()-ROW(Н4кр)+1),COLUMN(Е4кр),4)))</f>
        <v>26</v>
      </c>
      <c r="CF30" s="377">
        <f>IF(N30="х"," ",B30)</f>
        <v>12</v>
      </c>
      <c r="CG30" s="377" t="str">
        <f>IF(CF30=" "," ",N30)</f>
        <v xml:space="preserve"> </v>
      </c>
      <c r="CH30" s="125">
        <f>IF(CF30&lt;CG30,CF30,0)</f>
        <v>12</v>
      </c>
      <c r="CI30">
        <f t="shared" si="12"/>
        <v>12</v>
      </c>
      <c r="CJ30" s="51">
        <f t="array" aca="1" ref="CJ30" ca="1">IF(ROW()-ROW(Н5кр)+1&gt;ROWS(Е5кр)-COUNTBLANK(Е5кр)," ",INDIRECT(ADDRESS(SMALL((IF(Е5кр&lt;&gt;" ",ROW(Е5кр),ROW()+ROWS(Е5кр))),ROW()-ROW(Н5кр)+1),COLUMN(Е5кр),4)))</f>
        <v>26</v>
      </c>
      <c r="CL30" s="377">
        <f>IF(P30="х"," ",B30)</f>
        <v>12</v>
      </c>
      <c r="CM30" s="377" t="str">
        <f>IF(CL30=" "," ",P30)</f>
        <v xml:space="preserve"> </v>
      </c>
      <c r="CN30">
        <f>IF(CL30&lt;CM30,CL30,0)</f>
        <v>12</v>
      </c>
      <c r="CO30">
        <f t="shared" si="6"/>
        <v>12</v>
      </c>
      <c r="CP30">
        <f t="array" aca="1" ref="CP30" ca="1">IF(ROW()-ROW(Н6кр)+1&gt;ROWS(Е6кр)-COUNTBLANK(Е6кр)," ",INDIRECT(ADDRESS(SMALL((IF(Е6кр&lt;&gt;" ",ROW(Е6кр),ROW()+ROWS(Е6кр))),ROW()-ROW(Н6кр)+1),COLUMN(Е6кр),4)))</f>
        <v>26</v>
      </c>
      <c r="CR30" s="377">
        <f t="shared" ref="CR30" si="76">IF(R30="х"," ",B30)</f>
        <v>12</v>
      </c>
      <c r="CS30" s="377" t="str">
        <f t="shared" ref="CS30" si="77">IF(CR30=" "," ",R30)</f>
        <v xml:space="preserve"> </v>
      </c>
      <c r="CT30">
        <f>IF(CR30&lt;CS30,CR30,0)</f>
        <v>12</v>
      </c>
      <c r="CU30">
        <f t="shared" si="7"/>
        <v>12</v>
      </c>
      <c r="CV30">
        <f t="array" aca="1" ref="CV30" ca="1">IF(ROW()-ROW(Н7кр)+1&gt;ROWS(Е7кр)-COUNTBLANK(Е7кр)," ",INDIRECT(ADDRESS(SMALL((IF(Е7кр&lt;&gt;" ",ROW(Е7кр),ROW()+ROWS(Е7кр))),ROW()-ROW(Н7кр)+1),COLUMN(Е7кр),4)))</f>
        <v>26</v>
      </c>
    </row>
    <row r="31" spans="1:100" ht="12" hidden="1" customHeight="1" thickBot="1">
      <c r="A31" s="81"/>
      <c r="B31" s="424"/>
      <c r="C31" s="426"/>
      <c r="D31" s="428"/>
      <c r="E31" s="430"/>
      <c r="F31" s="442"/>
      <c r="G31" s="44"/>
      <c r="H31" s="439"/>
      <c r="I31" s="44"/>
      <c r="J31" s="439"/>
      <c r="K31" s="44"/>
      <c r="L31" s="439"/>
      <c r="M31" s="44"/>
      <c r="N31" s="439"/>
      <c r="O31" s="44"/>
      <c r="P31" s="439"/>
      <c r="Q31" s="44"/>
      <c r="R31" s="439"/>
      <c r="S31" s="44"/>
      <c r="T31" s="439"/>
      <c r="U31" s="47"/>
      <c r="V31" s="439"/>
      <c r="W31" s="44"/>
      <c r="X31" s="439"/>
      <c r="Y31" s="44"/>
      <c r="Z31" s="422"/>
      <c r="AA31" s="419"/>
      <c r="AB31" s="432"/>
      <c r="AC31" s="386"/>
      <c r="AD31" s="387"/>
      <c r="AE31" s="389"/>
      <c r="AF31" s="390"/>
      <c r="AG31" s="390"/>
      <c r="AH31" s="390"/>
      <c r="AI31" s="390"/>
      <c r="AJ31" s="390"/>
      <c r="AK31" s="390"/>
      <c r="AL31" s="390"/>
      <c r="AM31" s="390"/>
      <c r="AN31" s="392"/>
      <c r="AO31" s="387"/>
      <c r="AP31" s="394"/>
      <c r="AQ31" s="387"/>
      <c r="AR31" s="395"/>
      <c r="AS31" s="183"/>
      <c r="AT31" s="183"/>
      <c r="AU31" s="183"/>
      <c r="AV31" s="386"/>
      <c r="AW31" s="85" t="str">
        <f ca="1">IF(CA41&gt;AW$3," ",CA41)</f>
        <v xml:space="preserve"> </v>
      </c>
      <c r="AX31" s="126" t="str">
        <f ca="1">IF(CA42&gt;AW$3," ",CA42)</f>
        <v xml:space="preserve"> </v>
      </c>
      <c r="BU31" s="377"/>
      <c r="BV31" s="377"/>
      <c r="BW31" s="377"/>
      <c r="BX31" s="377"/>
      <c r="BY31" s="61" t="str">
        <f>IF(BY30&gt;=1,BX30,0)</f>
        <v xml:space="preserve"> </v>
      </c>
      <c r="BZ31" s="61" t="str">
        <f t="shared" si="49"/>
        <v xml:space="preserve"> </v>
      </c>
      <c r="CA31" s="124">
        <f t="array" aca="1" ref="CA3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27</v>
      </c>
      <c r="CB31" t="str">
        <f>IF(CB30&gt;=1,BW30,0)</f>
        <v xml:space="preserve"> </v>
      </c>
      <c r="CC31" s="125" t="str">
        <f t="shared" si="5"/>
        <v xml:space="preserve"> </v>
      </c>
      <c r="CD31" s="51">
        <f t="array" aca="1" ref="CD31" ca="1">IF(ROW()-ROW(Н4кр)+1&gt;ROWS(Е4кр)-COUNTBLANK(Е4кр)," ",INDIRECT(ADDRESS(SMALL((IF(Е4кр&lt;&gt;" ",ROW(Е4кр),ROW()+ROWS(Е4кр))),ROW()-ROW(Н4кр)+1),COLUMN(Е4кр),4)))</f>
        <v>27</v>
      </c>
      <c r="CF31" s="377"/>
      <c r="CG31" s="377"/>
      <c r="CH31" s="125" t="str">
        <f>IF(CH30&gt;=1,CG30,0)</f>
        <v xml:space="preserve"> </v>
      </c>
      <c r="CI31" t="str">
        <f t="shared" si="12"/>
        <v xml:space="preserve"> </v>
      </c>
      <c r="CJ31" s="51">
        <f t="array" aca="1" ref="CJ31" ca="1">IF(ROW()-ROW(Н5кр)+1&gt;ROWS(Е5кр)-COUNTBLANK(Е5кр)," ",INDIRECT(ADDRESS(SMALL((IF(Е5кр&lt;&gt;" ",ROW(Е5кр),ROW()+ROWS(Е5кр))),ROW()-ROW(Н5кр)+1),COLUMN(Е5кр),4)))</f>
        <v>27</v>
      </c>
      <c r="CL31" s="377"/>
      <c r="CM31" s="377"/>
      <c r="CN31" t="str">
        <f>IF(CN30&gt;=1,CM30,0)</f>
        <v xml:space="preserve"> </v>
      </c>
      <c r="CO31" t="str">
        <f t="shared" si="6"/>
        <v xml:space="preserve"> </v>
      </c>
      <c r="CP31">
        <f t="array" aca="1" ref="CP31" ca="1">IF(ROW()-ROW(Н6кр)+1&gt;ROWS(Е6кр)-COUNTBLANK(Е6кр)," ",INDIRECT(ADDRESS(SMALL((IF(Е6кр&lt;&gt;" ",ROW(Е6кр),ROW()+ROWS(Е6кр))),ROW()-ROW(Н6кр)+1),COLUMN(Е6кр),4)))</f>
        <v>27</v>
      </c>
      <c r="CR31" s="377"/>
      <c r="CS31" s="377"/>
      <c r="CT31" t="str">
        <f>IF(CT30&gt;=1,CS30,0)</f>
        <v xml:space="preserve"> </v>
      </c>
      <c r="CU31" t="str">
        <f t="shared" si="7"/>
        <v xml:space="preserve"> </v>
      </c>
      <c r="CV31">
        <f t="array" aca="1" ref="CV31" ca="1">IF(ROW()-ROW(Н7кр)+1&gt;ROWS(Е7кр)-COUNTBLANK(Е7кр)," ",INDIRECT(ADDRESS(SMALL((IF(Е7кр&lt;&gt;" ",ROW(Е7кр),ROW()+ROWS(Е7кр))),ROW()-ROW(Н7кр)+1),COLUMN(Е7кр),4)))</f>
        <v>27</v>
      </c>
    </row>
    <row r="32" spans="1:100" ht="12" hidden="1" customHeight="1" thickTop="1">
      <c r="A32" s="200"/>
      <c r="B32" s="423">
        <v>13</v>
      </c>
      <c r="C32" s="425" t="e">
        <f>(VLOOKUP(B32,пр.взв!$B$7:$H$76,2,0))</f>
        <v>#N/A</v>
      </c>
      <c r="D32" s="427" t="e">
        <f>(VLOOKUP(B32,пр.взв!$B$7:$H$76,3,0))</f>
        <v>#N/A</v>
      </c>
      <c r="E32" s="429" t="e">
        <f>(VLOOKUP(B32,пр.взв!$B$7:$H$76,5,0))</f>
        <v>#N/A</v>
      </c>
      <c r="F32" s="445">
        <f t="shared" ref="F32" si="78">IF(ISERROR(C32),0,B34)</f>
        <v>0</v>
      </c>
      <c r="G32" s="42"/>
      <c r="H32" s="440"/>
      <c r="I32" s="42"/>
      <c r="J32" s="444" t="str">
        <f t="shared" si="0"/>
        <v xml:space="preserve"> </v>
      </c>
      <c r="K32" s="42"/>
      <c r="L32" s="438" t="str">
        <f t="shared" ref="L32" si="79">IF(J32="Х","Х",IF(K32&lt;2.5," ",IF(K32&gt;=2.5,IF(G32+I32+K32&gt;=6,"Х",IF(AA32&lt;6," "," ")))))</f>
        <v xml:space="preserve"> </v>
      </c>
      <c r="M32" s="42"/>
      <c r="N32" s="440" t="str">
        <f>IF(L32="Х","Х",IF(M32&lt;2.5," ",IF(M32&gt;=2.5,IF(G32+I32+K32+M32&gt;=6,"Х",IF(AA32&lt;6," "," ")))))</f>
        <v xml:space="preserve"> </v>
      </c>
      <c r="O32" s="42"/>
      <c r="P32" s="440" t="str">
        <f>IF(N32="Х","Х",IF(O32&lt;2.5," ",IF(O32&gt;=2.5,IF(G32+I32+K32+M32+O32&gt;=6,"Х",IF(AA32&lt;6," "," ")))))</f>
        <v xml:space="preserve"> </v>
      </c>
      <c r="Q32" s="42"/>
      <c r="R32" s="440" t="str">
        <f>IF(P32="Х","Х",IF(Q32&lt;2.5," ",IF(Q32&gt;=2.5,IF(G32+I32+K32+M32+O32+Q32&gt;=6,"Х",IF(AA32&lt;6," "," ")))))</f>
        <v xml:space="preserve"> </v>
      </c>
      <c r="S32" s="42"/>
      <c r="T32" s="440" t="str">
        <f>IF(R32="Х","Х",IF(S32&lt;2.5," ",IF(S32&gt;=2.5,IF(G32+I32+K32+M32+O32+Q32+S32&gt;=6,"Х",IF(AA32&lt;6," "," ")))))</f>
        <v xml:space="preserve"> </v>
      </c>
      <c r="U32" s="46"/>
      <c r="V32" s="438" t="str">
        <f>IF(T32="А1",$AX$7,IF(T32="Б2",$AX$6,IF(T32="Б1",$AY$7,IF(T32="А2",$AY$6,IF(T32="Х","Х",IF(T32&lt;6," "," "))))))</f>
        <v xml:space="preserve"> </v>
      </c>
      <c r="W32" s="42"/>
      <c r="X32" s="438" t="str">
        <f t="shared" ref="X32" si="80">IF(T32="Х","Х",IF(ISBLANK(W32),"",IF(W32&gt;2.5," ",IF(B32=AZ$6,AZ$7,AZ$6))))</f>
        <v/>
      </c>
      <c r="Y32" s="42"/>
      <c r="Z32" s="467" t="b">
        <f>IF(H32="Х","1",IF(J32="Х","2",IF(L32="Х","3",IF(N32="Х","4",IF(P32="Х","5",IF(R32="Х","6",IF(T32="Х","7",IF(V32="Х","8"))))))))</f>
        <v>0</v>
      </c>
      <c r="AA32" s="418">
        <f>SUM(G32+I32+K32+M32+O32+Q32+S32+U32+W32+Y32)</f>
        <v>0</v>
      </c>
      <c r="AB32" s="431">
        <f t="shared" ref="AB32" si="81">AD32+0</f>
        <v>20576</v>
      </c>
      <c r="AC32" s="386">
        <f>AB32</f>
        <v>20576</v>
      </c>
      <c r="AD32" s="387" t="str">
        <f>COUNTIF(AE$6:AE$119,"&gt;"&amp;AE$6:AE$119)+1&amp;REPT("-"&amp;COUNTIF(AE$6:AE$119,"&gt;="&amp;AE$6:AE$119),COUNTIF(AE$6:AE$119,AE32)&gt;1)</f>
        <v>5-56</v>
      </c>
      <c r="AE32" s="388">
        <f t="shared" si="45"/>
        <v>80</v>
      </c>
      <c r="AF32" s="390" t="str">
        <f>IF(OR(F32="Х",F32="св")," ",IF(AND(G32&gt;=0,G32&lt;3),"1"," "))</f>
        <v>1</v>
      </c>
      <c r="AG32" s="390" t="str">
        <f>IF(OR(H32="Х",H32="св")," ",IF(AND(I32&gt;=0,I32&lt;3),"1"," "))</f>
        <v>1</v>
      </c>
      <c r="AH32" s="390" t="str">
        <f>IF(OR(J32="Х",J32="св")," ",IF(AND(K32&gt;=0,K32&lt;3),"1"," "))</f>
        <v>1</v>
      </c>
      <c r="AI32" s="390" t="str">
        <f>IF(OR(L32="Х",L32="св")," ",IF(AND(M32&gt;=0,M32&lt;3),"1"," "))</f>
        <v>1</v>
      </c>
      <c r="AJ32" s="390" t="str">
        <f>IF(OR(N32="Х",N32="св")," ",IF(AND(O32&gt;=0,O32&lt;3),"1"," "))</f>
        <v>1</v>
      </c>
      <c r="AK32" s="390" t="str">
        <f>IF(OR(P32="Х",P32="св")," ",IF(AND(Q32&gt;=0,Q32&lt;3),"1"," "))</f>
        <v>1</v>
      </c>
      <c r="AL32" s="390" t="str">
        <f>IF(OR(R32="Х",R32="св")," ",IF(AND(S32&gt;=0,S32&lt;3),"1"," "))</f>
        <v>1</v>
      </c>
      <c r="AM32" s="390" t="str">
        <f>IF(OR(T32="Х",T32="св")," ",IF(AND(U32&gt;=0,U32&lt;3),"1"," "))</f>
        <v>1</v>
      </c>
      <c r="AN32" s="391">
        <f>COUNTIF(AF32:AM33,1)</f>
        <v>8</v>
      </c>
      <c r="AO32" s="393">
        <f>AE32-AA32</f>
        <v>80</v>
      </c>
      <c r="AP32" s="394">
        <f t="shared" si="10"/>
        <v>0</v>
      </c>
      <c r="AQ32" s="387" t="str">
        <f>COUNTIF(AE$6:AE$119,"&gt;"&amp;AE$6:AE$119)+1&amp;REPT("-"&amp;COUNTIF(AE$6:AE$119,"&gt;="&amp;AE$6:AE$119),COUNTIF(AE$6:AE$119,AE32)&gt;1)</f>
        <v>5-56</v>
      </c>
      <c r="AR32" s="395"/>
      <c r="AS32" s="183"/>
      <c r="AT32" s="183"/>
      <c r="AU32" s="183"/>
      <c r="AV32" s="386">
        <f t="shared" si="65"/>
        <v>13</v>
      </c>
      <c r="AW32" s="85" t="str">
        <f ca="1">IF(CA43&gt;AW$3," ",CA43)</f>
        <v xml:space="preserve"> </v>
      </c>
      <c r="AX32" s="126" t="str">
        <f ca="1">IF(CA44&gt;AW$3," ",CA44)</f>
        <v xml:space="preserve"> </v>
      </c>
      <c r="BU32" s="377">
        <f>IF(J32="х"," ",B32)</f>
        <v>13</v>
      </c>
      <c r="BV32" s="377">
        <f>IF(L32="х"," ",B32)</f>
        <v>13</v>
      </c>
      <c r="BW32" s="377" t="str">
        <f>IF(BV32=" "," ",L32)</f>
        <v xml:space="preserve"> </v>
      </c>
      <c r="BX32" s="377" t="str">
        <f>IF(BU32=" "," ",J32)</f>
        <v xml:space="preserve"> </v>
      </c>
      <c r="BY32" s="61">
        <f>IF(BU32&lt;BX32,BU32,0)</f>
        <v>13</v>
      </c>
      <c r="BZ32" s="61">
        <f>IF(BY32=0," ",BY32)</f>
        <v>13</v>
      </c>
      <c r="CA32" s="124">
        <f t="array" aca="1" ref="CA3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28</v>
      </c>
      <c r="CB32">
        <f>IF(BV32&lt;BW32,BV32,0)</f>
        <v>13</v>
      </c>
      <c r="CC32" s="125">
        <f t="shared" si="5"/>
        <v>13</v>
      </c>
      <c r="CD32" s="51">
        <f t="array" aca="1" ref="CD32" ca="1">IF(ROW()-ROW(Н4кр)+1&gt;ROWS(Е4кр)-COUNTBLANK(Е4кр)," ",INDIRECT(ADDRESS(SMALL((IF(Е4кр&lt;&gt;" ",ROW(Е4кр),ROW()+ROWS(Е4кр))),ROW()-ROW(Н4кр)+1),COLUMN(Е4кр),4)))</f>
        <v>28</v>
      </c>
      <c r="CF32" s="377">
        <f>IF(N32="х"," ",B32)</f>
        <v>13</v>
      </c>
      <c r="CG32" s="377" t="str">
        <f>IF(CF32=" "," ",N32)</f>
        <v xml:space="preserve"> </v>
      </c>
      <c r="CH32" s="125">
        <f>IF(CF32&lt;CG32,CF32,0)</f>
        <v>13</v>
      </c>
      <c r="CI32">
        <f t="shared" si="12"/>
        <v>13</v>
      </c>
      <c r="CJ32" s="51">
        <f t="array" aca="1" ref="CJ32" ca="1">IF(ROW()-ROW(Н5кр)+1&gt;ROWS(Е5кр)-COUNTBLANK(Е5кр)," ",INDIRECT(ADDRESS(SMALL((IF(Е5кр&lt;&gt;" ",ROW(Е5кр),ROW()+ROWS(Е5кр))),ROW()-ROW(Н5кр)+1),COLUMN(Е5кр),4)))</f>
        <v>28</v>
      </c>
      <c r="CL32" s="377">
        <f>IF(P32="х"," ",B32)</f>
        <v>13</v>
      </c>
      <c r="CM32" s="377" t="str">
        <f>IF(CL32=" "," ",P32)</f>
        <v xml:space="preserve"> </v>
      </c>
      <c r="CN32">
        <f>IF(CL32&lt;CM32,CL32,0)</f>
        <v>13</v>
      </c>
      <c r="CO32">
        <f t="shared" si="6"/>
        <v>13</v>
      </c>
      <c r="CP32">
        <f t="array" aca="1" ref="CP32" ca="1">IF(ROW()-ROW(Н6кр)+1&gt;ROWS(Е6кр)-COUNTBLANK(Е6кр)," ",INDIRECT(ADDRESS(SMALL((IF(Е6кр&lt;&gt;" ",ROW(Е6кр),ROW()+ROWS(Е6кр))),ROW()-ROW(Н6кр)+1),COLUMN(Е6кр),4)))</f>
        <v>28</v>
      </c>
      <c r="CR32" s="377">
        <f t="shared" ref="CR32" si="82">IF(R32="х"," ",B32)</f>
        <v>13</v>
      </c>
      <c r="CS32" s="377" t="str">
        <f t="shared" ref="CS32" si="83">IF(CR32=" "," ",R32)</f>
        <v xml:space="preserve"> </v>
      </c>
      <c r="CT32">
        <f>IF(CR32&lt;CS32,CR32,0)</f>
        <v>13</v>
      </c>
      <c r="CU32">
        <f t="shared" si="7"/>
        <v>13</v>
      </c>
      <c r="CV32">
        <f t="array" aca="1" ref="CV32" ca="1">IF(ROW()-ROW(Н7кр)+1&gt;ROWS(Е7кр)-COUNTBLANK(Е7кр)," ",INDIRECT(ADDRESS(SMALL((IF(Е7кр&lt;&gt;" ",ROW(Е7кр),ROW()+ROWS(Е7кр))),ROW()-ROW(Н7кр)+1),COLUMN(Е7кр),4)))</f>
        <v>28</v>
      </c>
    </row>
    <row r="33" spans="1:100" ht="12" hidden="1" customHeight="1" thickBot="1">
      <c r="A33" s="200"/>
      <c r="B33" s="424"/>
      <c r="C33" s="426"/>
      <c r="D33" s="428"/>
      <c r="E33" s="430"/>
      <c r="F33" s="442"/>
      <c r="G33" s="44"/>
      <c r="H33" s="439"/>
      <c r="I33" s="44"/>
      <c r="J33" s="439"/>
      <c r="K33" s="44"/>
      <c r="L33" s="439"/>
      <c r="M33" s="44"/>
      <c r="N33" s="439"/>
      <c r="O33" s="44"/>
      <c r="P33" s="439"/>
      <c r="Q33" s="44"/>
      <c r="R33" s="439"/>
      <c r="S33" s="44"/>
      <c r="T33" s="439"/>
      <c r="U33" s="47"/>
      <c r="V33" s="439"/>
      <c r="W33" s="44"/>
      <c r="X33" s="439"/>
      <c r="Y33" s="44"/>
      <c r="Z33" s="422"/>
      <c r="AA33" s="419"/>
      <c r="AB33" s="432"/>
      <c r="AC33" s="386"/>
      <c r="AD33" s="387"/>
      <c r="AE33" s="389"/>
      <c r="AF33" s="390"/>
      <c r="AG33" s="390"/>
      <c r="AH33" s="390"/>
      <c r="AI33" s="390"/>
      <c r="AJ33" s="390"/>
      <c r="AK33" s="390"/>
      <c r="AL33" s="390"/>
      <c r="AM33" s="390"/>
      <c r="AN33" s="392"/>
      <c r="AO33" s="387"/>
      <c r="AP33" s="394"/>
      <c r="AQ33" s="387"/>
      <c r="AR33" s="395"/>
      <c r="AS33" s="183"/>
      <c r="AT33" s="183"/>
      <c r="AU33" s="183"/>
      <c r="AV33" s="386"/>
      <c r="AW33" s="85" t="str">
        <f ca="1">IF(CA45&gt;AW$3," ",CA45)</f>
        <v xml:space="preserve"> </v>
      </c>
      <c r="AX33" s="126" t="str">
        <f ca="1">IF(CA46&gt;AW$3," ",CA46)</f>
        <v xml:space="preserve"> </v>
      </c>
      <c r="BU33" s="377"/>
      <c r="BV33" s="377"/>
      <c r="BW33" s="377"/>
      <c r="BX33" s="377"/>
      <c r="BY33" s="61" t="str">
        <f>IF(BY32&gt;=1,BX32,0)</f>
        <v xml:space="preserve"> </v>
      </c>
      <c r="BZ33" s="61" t="str">
        <f t="shared" ref="BZ33:BZ96" si="84">IF(BY33=0," ",BY33)</f>
        <v xml:space="preserve"> </v>
      </c>
      <c r="CA33" s="124">
        <f t="array" aca="1" ref="CA3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29</v>
      </c>
      <c r="CB33" t="str">
        <f>IF(CB32&gt;=1,BW32,0)</f>
        <v xml:space="preserve"> </v>
      </c>
      <c r="CC33" s="125" t="str">
        <f t="shared" si="5"/>
        <v xml:space="preserve"> </v>
      </c>
      <c r="CD33" s="51">
        <f t="array" aca="1" ref="CD33" ca="1">IF(ROW()-ROW(Н4кр)+1&gt;ROWS(Е4кр)-COUNTBLANK(Е4кр)," ",INDIRECT(ADDRESS(SMALL((IF(Е4кр&lt;&gt;" ",ROW(Е4кр),ROW()+ROWS(Е4кр))),ROW()-ROW(Н4кр)+1),COLUMN(Е4кр),4)))</f>
        <v>29</v>
      </c>
      <c r="CF33" s="377"/>
      <c r="CG33" s="377"/>
      <c r="CH33" s="125" t="str">
        <f>IF(CH32&gt;=1,CG32,0)</f>
        <v xml:space="preserve"> </v>
      </c>
      <c r="CI33" t="str">
        <f t="shared" si="12"/>
        <v xml:space="preserve"> </v>
      </c>
      <c r="CJ33" s="51">
        <f t="array" aca="1" ref="CJ33" ca="1">IF(ROW()-ROW(Н5кр)+1&gt;ROWS(Е5кр)-COUNTBLANK(Е5кр)," ",INDIRECT(ADDRESS(SMALL((IF(Е5кр&lt;&gt;" ",ROW(Е5кр),ROW()+ROWS(Е5кр))),ROW()-ROW(Н5кр)+1),COLUMN(Е5кр),4)))</f>
        <v>29</v>
      </c>
      <c r="CL33" s="377"/>
      <c r="CM33" s="377"/>
      <c r="CN33" t="str">
        <f>IF(CN32&gt;=1,CM32,0)</f>
        <v xml:space="preserve"> </v>
      </c>
      <c r="CO33" t="str">
        <f t="shared" si="6"/>
        <v xml:space="preserve"> </v>
      </c>
      <c r="CP33">
        <f t="array" aca="1" ref="CP33" ca="1">IF(ROW()-ROW(Н6кр)+1&gt;ROWS(Е6кр)-COUNTBLANK(Е6кр)," ",INDIRECT(ADDRESS(SMALL((IF(Е6кр&lt;&gt;" ",ROW(Е6кр),ROW()+ROWS(Е6кр))),ROW()-ROW(Н6кр)+1),COLUMN(Е6кр),4)))</f>
        <v>29</v>
      </c>
      <c r="CR33" s="377"/>
      <c r="CS33" s="377"/>
      <c r="CT33" t="str">
        <f>IF(CT32&gt;=1,CS32,0)</f>
        <v xml:space="preserve"> </v>
      </c>
      <c r="CU33" t="str">
        <f t="shared" si="7"/>
        <v xml:space="preserve"> </v>
      </c>
      <c r="CV33">
        <f t="array" aca="1" ref="CV33" ca="1">IF(ROW()-ROW(Н7кр)+1&gt;ROWS(Е7кр)-COUNTBLANK(Е7кр)," ",INDIRECT(ADDRESS(SMALL((IF(Е7кр&lt;&gt;" ",ROW(Е7кр),ROW()+ROWS(Е7кр))),ROW()-ROW(Н7кр)+1),COLUMN(Е7кр),4)))</f>
        <v>29</v>
      </c>
    </row>
    <row r="34" spans="1:100" ht="12" hidden="1" customHeight="1" thickTop="1">
      <c r="A34" s="201"/>
      <c r="B34" s="423">
        <v>14</v>
      </c>
      <c r="C34" s="425" t="e">
        <f>(VLOOKUP(B34,пр.взв!$B$7:$H$76,2,0))</f>
        <v>#N/A</v>
      </c>
      <c r="D34" s="427" t="e">
        <f>(VLOOKUP(B34,пр.взв!$B$7:$H$76,3,0))</f>
        <v>#N/A</v>
      </c>
      <c r="E34" s="429" t="e">
        <f>(VLOOKUP(B34,пр.взв!$B$7:$H$76,5,0))</f>
        <v>#N/A</v>
      </c>
      <c r="F34" s="443">
        <f t="shared" ref="F34" si="85">IF(ISERROR(C34),0,B32)</f>
        <v>0</v>
      </c>
      <c r="G34" s="42"/>
      <c r="H34" s="440"/>
      <c r="I34" s="42"/>
      <c r="J34" s="444" t="str">
        <f t="shared" si="0"/>
        <v xml:space="preserve"> </v>
      </c>
      <c r="K34" s="42"/>
      <c r="L34" s="438" t="str">
        <f t="shared" ref="L34" si="86">IF(J34="Х","Х",IF(K34&lt;2.5," ",IF(K34&gt;=2.5,IF(G34+I34+K34&gt;=6,"Х",IF(AA34&lt;6," "," ")))))</f>
        <v xml:space="preserve"> </v>
      </c>
      <c r="M34" s="42"/>
      <c r="N34" s="440" t="str">
        <f>IF(L34="Х","Х",IF(M34&lt;2.5," ",IF(M34&gt;=2.5,IF(G34+I34+K34+M34&gt;=6,"Х",IF(AA34&lt;6," "," ")))))</f>
        <v xml:space="preserve"> </v>
      </c>
      <c r="O34" s="42"/>
      <c r="P34" s="440" t="str">
        <f>IF(N34="Х","Х",IF(O34&lt;2.5," ",IF(O34&gt;=2.5,IF(G34+I34+K34+M34+O34&gt;=6,"Х",IF(AA34&lt;6," "," ")))))</f>
        <v xml:space="preserve"> </v>
      </c>
      <c r="Q34" s="42"/>
      <c r="R34" s="440" t="str">
        <f>IF(P34="Х","Х",IF(Q34&lt;2.5," ",IF(Q34&gt;=2.5,IF(G34+I34+K34+M34+O34+Q34&gt;=6,"Х",IF(AA34&lt;6," "," ")))))</f>
        <v xml:space="preserve"> </v>
      </c>
      <c r="S34" s="42"/>
      <c r="T34" s="440" t="str">
        <f>IF(R34="Х","Х",IF(S34&lt;2.5," ",IF(S34&gt;=2.5,IF(G34+I34+K34+M34+O34+Q34+S34&gt;=6,"Х",IF(AA34&lt;6," "," ")))))</f>
        <v xml:space="preserve"> </v>
      </c>
      <c r="U34" s="46"/>
      <c r="V34" s="438" t="str">
        <f>IF(T34="А1",$AX$7,IF(T34="Б2",$AX$6,IF(T34="Б1",$AY$7,IF(T34="А2",$AY$6,IF(T34="Х","Х",IF(T34&lt;6," "," "))))))</f>
        <v xml:space="preserve"> </v>
      </c>
      <c r="W34" s="42"/>
      <c r="X34" s="438" t="str">
        <f t="shared" ref="X34" si="87">IF(T34="Х","Х",IF(ISBLANK(W34),"",IF(W34&gt;2.5," ",IF(B34=AZ$6,AZ$7,AZ$6))))</f>
        <v/>
      </c>
      <c r="Y34" s="42"/>
      <c r="Z34" s="467" t="b">
        <f>IF(H34="Х","1",IF(J34="Х","2",IF(L34="Х","3",IF(N34="Х","4",IF(P34="Х","5",IF(R34="Х","6",IF(T34="Х","7",IF(V34="Х","8"))))))))</f>
        <v>0</v>
      </c>
      <c r="AA34" s="418">
        <f>SUM(G34+I34+K34+M34+O34+Q34+S34+U34+W34+Y34)</f>
        <v>0</v>
      </c>
      <c r="AB34" s="431">
        <f t="shared" ref="AB34" si="88">AD34+0</f>
        <v>20576</v>
      </c>
      <c r="AC34" s="386">
        <f>AB34</f>
        <v>20576</v>
      </c>
      <c r="AD34" s="387" t="str">
        <f>COUNTIF(AE$6:AE$119,"&gt;"&amp;AE$6:AE$119)+1&amp;REPT("-"&amp;COUNTIF(AE$6:AE$119,"&gt;="&amp;AE$6:AE$119),COUNTIF(AE$6:AE$119,AE34)&gt;1)</f>
        <v>5-56</v>
      </c>
      <c r="AE34" s="388">
        <f t="shared" si="45"/>
        <v>80</v>
      </c>
      <c r="AF34" s="390" t="str">
        <f>IF(OR(F34="Х",F34="св")," ",IF(AND(G34&gt;=0,G34&lt;3),"1"," "))</f>
        <v>1</v>
      </c>
      <c r="AG34" s="390" t="str">
        <f>IF(OR(H34="Х",H34="св")," ",IF(AND(I34&gt;=0,I34&lt;3),"1"," "))</f>
        <v>1</v>
      </c>
      <c r="AH34" s="390" t="str">
        <f>IF(OR(J34="Х",J34="св")," ",IF(AND(K34&gt;=0,K34&lt;3),"1"," "))</f>
        <v>1</v>
      </c>
      <c r="AI34" s="390" t="str">
        <f>IF(OR(L34="Х",L34="св")," ",IF(AND(M34&gt;=0,M34&lt;3),"1"," "))</f>
        <v>1</v>
      </c>
      <c r="AJ34" s="390" t="str">
        <f>IF(OR(N34="Х",N34="св")," ",IF(AND(O34&gt;=0,O34&lt;3),"1"," "))</f>
        <v>1</v>
      </c>
      <c r="AK34" s="390" t="str">
        <f>IF(OR(P34="Х",P34="св")," ",IF(AND(Q34&gt;=0,Q34&lt;3),"1"," "))</f>
        <v>1</v>
      </c>
      <c r="AL34" s="390" t="str">
        <f>IF(OR(R34="Х",R34="св")," ",IF(AND(S34&gt;=0,S34&lt;3),"1"," "))</f>
        <v>1</v>
      </c>
      <c r="AM34" s="390" t="str">
        <f>IF(OR(T34="Х",T34="св")," ",IF(AND(U34&gt;=0,U34&lt;3),"1"," "))</f>
        <v>1</v>
      </c>
      <c r="AN34" s="391">
        <f>COUNTIF(AF34:AM35,1)</f>
        <v>8</v>
      </c>
      <c r="AO34" s="393">
        <f>AE34-AA34</f>
        <v>80</v>
      </c>
      <c r="AP34" s="394">
        <f t="shared" si="10"/>
        <v>0</v>
      </c>
      <c r="AQ34" s="387" t="str">
        <f>COUNTIF(AE$6:AE$119,"&gt;"&amp;AE$6:AE$119)+1&amp;REPT("-"&amp;COUNTIF(AE$6:AE$119,"&gt;="&amp;AE$6:AE$119),COUNTIF(AE$6:AE$119,AE34)&gt;1)</f>
        <v>5-56</v>
      </c>
      <c r="AR34" s="395"/>
      <c r="AS34" s="183"/>
      <c r="AT34" s="183"/>
      <c r="AU34" s="183"/>
      <c r="AV34" s="386">
        <f t="shared" si="65"/>
        <v>14</v>
      </c>
      <c r="AW34" s="90"/>
      <c r="AX34" s="83"/>
      <c r="BU34" s="377">
        <f>IF(J34="х"," ",B34)</f>
        <v>14</v>
      </c>
      <c r="BV34" s="377">
        <f>IF(L34="х"," ",B34)</f>
        <v>14</v>
      </c>
      <c r="BW34" s="377" t="str">
        <f>IF(BV34=" "," ",L34)</f>
        <v xml:space="preserve"> </v>
      </c>
      <c r="BX34" s="377" t="str">
        <f>IF(BU34=" "," ",J34)</f>
        <v xml:space="preserve"> </v>
      </c>
      <c r="BY34" s="61">
        <f>IF(BU34&lt;BX34,BU34,0)</f>
        <v>14</v>
      </c>
      <c r="BZ34" s="61">
        <f t="shared" si="84"/>
        <v>14</v>
      </c>
      <c r="CA34" s="124">
        <f t="array" aca="1" ref="CA3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30</v>
      </c>
      <c r="CB34">
        <f>IF(BV34&lt;BW34,BV34,0)</f>
        <v>14</v>
      </c>
      <c r="CC34" s="125">
        <f t="shared" si="5"/>
        <v>14</v>
      </c>
      <c r="CD34" s="51">
        <f t="array" aca="1" ref="CD34" ca="1">IF(ROW()-ROW(Н4кр)+1&gt;ROWS(Е4кр)-COUNTBLANK(Е4кр)," ",INDIRECT(ADDRESS(SMALL((IF(Е4кр&lt;&gt;" ",ROW(Е4кр),ROW()+ROWS(Е4кр))),ROW()-ROW(Н4кр)+1),COLUMN(Е4кр),4)))</f>
        <v>30</v>
      </c>
      <c r="CF34" s="377">
        <f>IF(N34="х"," ",B34)</f>
        <v>14</v>
      </c>
      <c r="CG34" s="377" t="str">
        <f>IF(CF34=" "," ",N34)</f>
        <v xml:space="preserve"> </v>
      </c>
      <c r="CH34" s="125">
        <f>IF(CF34&lt;CG34,CF34,0)</f>
        <v>14</v>
      </c>
      <c r="CI34">
        <f t="shared" si="12"/>
        <v>14</v>
      </c>
      <c r="CJ34" s="51">
        <f t="array" aca="1" ref="CJ34" ca="1">IF(ROW()-ROW(Н5кр)+1&gt;ROWS(Е5кр)-COUNTBLANK(Е5кр)," ",INDIRECT(ADDRESS(SMALL((IF(Е5кр&lt;&gt;" ",ROW(Е5кр),ROW()+ROWS(Е5кр))),ROW()-ROW(Н5кр)+1),COLUMN(Е5кр),4)))</f>
        <v>30</v>
      </c>
      <c r="CL34" s="377">
        <f>IF(P34="х"," ",B34)</f>
        <v>14</v>
      </c>
      <c r="CM34" s="377" t="str">
        <f>IF(CL34=" "," ",P34)</f>
        <v xml:space="preserve"> </v>
      </c>
      <c r="CN34">
        <f>IF(CL34&lt;CM34,CL34,0)</f>
        <v>14</v>
      </c>
      <c r="CO34">
        <f t="shared" si="6"/>
        <v>14</v>
      </c>
      <c r="CP34">
        <f t="array" aca="1" ref="CP34" ca="1">IF(ROW()-ROW(Н6кр)+1&gt;ROWS(Е6кр)-COUNTBLANK(Е6кр)," ",INDIRECT(ADDRESS(SMALL((IF(Е6кр&lt;&gt;" ",ROW(Е6кр),ROW()+ROWS(Е6кр))),ROW()-ROW(Н6кр)+1),COLUMN(Е6кр),4)))</f>
        <v>30</v>
      </c>
      <c r="CR34" s="377">
        <f t="shared" ref="CR34" si="89">IF(R34="х"," ",B34)</f>
        <v>14</v>
      </c>
      <c r="CS34" s="377" t="str">
        <f t="shared" ref="CS34" si="90">IF(CR34=" "," ",R34)</f>
        <v xml:space="preserve"> </v>
      </c>
      <c r="CT34">
        <f>IF(CR34&lt;CS34,CR34,0)</f>
        <v>14</v>
      </c>
      <c r="CU34">
        <f t="shared" si="7"/>
        <v>14</v>
      </c>
      <c r="CV34">
        <f t="array" aca="1" ref="CV34" ca="1">IF(ROW()-ROW(Н7кр)+1&gt;ROWS(Е7кр)-COUNTBLANK(Е7кр)," ",INDIRECT(ADDRESS(SMALL((IF(Е7кр&lt;&gt;" ",ROW(Е7кр),ROW()+ROWS(Е7кр))),ROW()-ROW(Н7кр)+1),COLUMN(Е7кр),4)))</f>
        <v>30</v>
      </c>
    </row>
    <row r="35" spans="1:100" ht="12" hidden="1" customHeight="1" thickBot="1">
      <c r="A35" s="201"/>
      <c r="B35" s="424"/>
      <c r="C35" s="426"/>
      <c r="D35" s="428"/>
      <c r="E35" s="430"/>
      <c r="F35" s="442"/>
      <c r="G35" s="44"/>
      <c r="H35" s="439"/>
      <c r="I35" s="44"/>
      <c r="J35" s="439"/>
      <c r="K35" s="44"/>
      <c r="L35" s="439"/>
      <c r="M35" s="44"/>
      <c r="N35" s="439"/>
      <c r="O35" s="44"/>
      <c r="P35" s="439"/>
      <c r="Q35" s="44"/>
      <c r="R35" s="439"/>
      <c r="S35" s="44"/>
      <c r="T35" s="439"/>
      <c r="U35" s="47"/>
      <c r="V35" s="439"/>
      <c r="W35" s="44"/>
      <c r="X35" s="439"/>
      <c r="Y35" s="44"/>
      <c r="Z35" s="422"/>
      <c r="AA35" s="419"/>
      <c r="AB35" s="432"/>
      <c r="AC35" s="386"/>
      <c r="AD35" s="387"/>
      <c r="AE35" s="389"/>
      <c r="AF35" s="390"/>
      <c r="AG35" s="390"/>
      <c r="AH35" s="390"/>
      <c r="AI35" s="390"/>
      <c r="AJ35" s="390"/>
      <c r="AK35" s="390"/>
      <c r="AL35" s="390"/>
      <c r="AM35" s="390"/>
      <c r="AN35" s="392"/>
      <c r="AO35" s="387"/>
      <c r="AP35" s="394"/>
      <c r="AQ35" s="387"/>
      <c r="AR35" s="395"/>
      <c r="AS35" s="183"/>
      <c r="AT35" s="183"/>
      <c r="AU35" s="183"/>
      <c r="AV35" s="386"/>
      <c r="BI35" s="2"/>
      <c r="BU35" s="377"/>
      <c r="BV35" s="377"/>
      <c r="BW35" s="377"/>
      <c r="BX35" s="377"/>
      <c r="BY35" s="61" t="str">
        <f>IF(BY34&gt;=1,BX34,0)</f>
        <v xml:space="preserve"> </v>
      </c>
      <c r="BZ35" s="61" t="str">
        <f t="shared" si="84"/>
        <v xml:space="preserve"> </v>
      </c>
      <c r="CA35" s="124">
        <f t="array" aca="1" ref="CA3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31</v>
      </c>
      <c r="CB35" t="str">
        <f>IF(CB34&gt;=1,BW34,0)</f>
        <v xml:space="preserve"> </v>
      </c>
      <c r="CC35" s="125" t="str">
        <f t="shared" si="5"/>
        <v xml:space="preserve"> </v>
      </c>
      <c r="CD35" s="51">
        <f t="array" aca="1" ref="CD35" ca="1">IF(ROW()-ROW(Н4кр)+1&gt;ROWS(Е4кр)-COUNTBLANK(Е4кр)," ",INDIRECT(ADDRESS(SMALL((IF(Е4кр&lt;&gt;" ",ROW(Е4кр),ROW()+ROWS(Е4кр))),ROW()-ROW(Н4кр)+1),COLUMN(Е4кр),4)))</f>
        <v>31</v>
      </c>
      <c r="CF35" s="377"/>
      <c r="CG35" s="377"/>
      <c r="CH35" s="125" t="str">
        <f>IF(CH34&gt;=1,CG34,0)</f>
        <v xml:space="preserve"> </v>
      </c>
      <c r="CI35" t="str">
        <f t="shared" si="12"/>
        <v xml:space="preserve"> </v>
      </c>
      <c r="CJ35" s="51">
        <f t="array" aca="1" ref="CJ35" ca="1">IF(ROW()-ROW(Н5кр)+1&gt;ROWS(Е5кр)-COUNTBLANK(Е5кр)," ",INDIRECT(ADDRESS(SMALL((IF(Е5кр&lt;&gt;" ",ROW(Е5кр),ROW()+ROWS(Е5кр))),ROW()-ROW(Н5кр)+1),COLUMN(Е5кр),4)))</f>
        <v>31</v>
      </c>
      <c r="CL35" s="377"/>
      <c r="CM35" s="377"/>
      <c r="CN35" t="str">
        <f>IF(CN34&gt;=1,CM34,0)</f>
        <v xml:space="preserve"> </v>
      </c>
      <c r="CO35" t="str">
        <f t="shared" si="6"/>
        <v xml:space="preserve"> </v>
      </c>
      <c r="CP35">
        <f t="array" aca="1" ref="CP35" ca="1">IF(ROW()-ROW(Н6кр)+1&gt;ROWS(Е6кр)-COUNTBLANK(Е6кр)," ",INDIRECT(ADDRESS(SMALL((IF(Е6кр&lt;&gt;" ",ROW(Е6кр),ROW()+ROWS(Е6кр))),ROW()-ROW(Н6кр)+1),COLUMN(Е6кр),4)))</f>
        <v>31</v>
      </c>
      <c r="CR35" s="377"/>
      <c r="CS35" s="377"/>
      <c r="CT35" t="str">
        <f>IF(CT34&gt;=1,CS34,0)</f>
        <v xml:space="preserve"> </v>
      </c>
      <c r="CU35" t="str">
        <f t="shared" si="7"/>
        <v xml:space="preserve"> </v>
      </c>
      <c r="CV35">
        <f t="array" aca="1" ref="CV35" ca="1">IF(ROW()-ROW(Н7кр)+1&gt;ROWS(Е7кр)-COUNTBLANK(Е7кр)," ",INDIRECT(ADDRESS(SMALL((IF(Е7кр&lt;&gt;" ",ROW(Е7кр),ROW()+ROWS(Е7кр))),ROW()-ROW(Н7кр)+1),COLUMN(Е7кр),4)))</f>
        <v>31</v>
      </c>
    </row>
    <row r="36" spans="1:100" ht="12" hidden="1" customHeight="1" thickTop="1">
      <c r="A36" s="201"/>
      <c r="B36" s="423">
        <v>15</v>
      </c>
      <c r="C36" s="425" t="e">
        <f>(VLOOKUP(B36,пр.взв!$B$7:$H$76,2,0))</f>
        <v>#N/A</v>
      </c>
      <c r="D36" s="427" t="e">
        <f>(VLOOKUP(B36,пр.взв!$B$7:$H$76,3,0))</f>
        <v>#N/A</v>
      </c>
      <c r="E36" s="429" t="e">
        <f>(VLOOKUP(B36,пр.взв!$B$7:$H$76,5,0))</f>
        <v>#N/A</v>
      </c>
      <c r="F36" s="445">
        <f t="shared" si="41"/>
        <v>0</v>
      </c>
      <c r="G36" s="42"/>
      <c r="H36" s="440"/>
      <c r="I36" s="42"/>
      <c r="J36" s="444" t="str">
        <f t="shared" si="0"/>
        <v xml:space="preserve"> </v>
      </c>
      <c r="K36" s="42"/>
      <c r="L36" s="438" t="str">
        <f t="shared" ref="L36" si="91">IF(J36="Х","Х",IF(K36&lt;2.5," ",IF(K36&gt;=2.5,IF(G36+I36+K36&gt;=6,"Х",IF(AA36&lt;6," "," ")))))</f>
        <v xml:space="preserve"> </v>
      </c>
      <c r="M36" s="42"/>
      <c r="N36" s="440" t="str">
        <f>IF(L36="Х","Х",IF(M36&lt;2.5," ",IF(M36&gt;=2.5,IF(G36+I36+K36+M36&gt;=6,"Х",IF(AA36&lt;6," "," ")))))</f>
        <v xml:space="preserve"> </v>
      </c>
      <c r="O36" s="42"/>
      <c r="P36" s="440" t="str">
        <f>IF(N36="Х","Х",IF(O36&lt;2.5," ",IF(O36&gt;=2.5,IF(G36+I36+K36+M36+O36&gt;=6,"Х",IF(AA36&lt;6," "," ")))))</f>
        <v xml:space="preserve"> </v>
      </c>
      <c r="Q36" s="42"/>
      <c r="R36" s="440" t="str">
        <f>IF(P36="Х","Х",IF(Q36&lt;2.5," ",IF(Q36&gt;=2.5,IF(G36+I36+K36+M36+O36+Q36&gt;=6,"Х",IF(AA36&lt;6," "," ")))))</f>
        <v xml:space="preserve"> </v>
      </c>
      <c r="S36" s="42"/>
      <c r="T36" s="440" t="str">
        <f>IF(R36="Х","Х",IF(S36&lt;2.5," ",IF(S36&gt;=2.5,IF(G36+I36+K36+M36+O36+Q36+S36&gt;=6,"Х",IF(AA36&lt;6," "," ")))))</f>
        <v xml:space="preserve"> </v>
      </c>
      <c r="U36" s="46"/>
      <c r="V36" s="438" t="str">
        <f>IF(T36="А1",$AX$7,IF(T36="Б2",$AX$6,IF(T36="Б1",$AY$7,IF(T36="А2",$AY$6,IF(T36="Х","Х",IF(T36&lt;6," "," "))))))</f>
        <v xml:space="preserve"> </v>
      </c>
      <c r="W36" s="42"/>
      <c r="X36" s="438" t="str">
        <f t="shared" ref="X36" si="92">IF(T36="Х","Х",IF(ISBLANK(W36),"",IF(W36&gt;2.5," ",IF(B36=AZ$6,AZ$7,AZ$6))))</f>
        <v/>
      </c>
      <c r="Y36" s="42"/>
      <c r="Z36" s="467" t="b">
        <f>IF(H36="Х","1",IF(J36="Х","2",IF(L36="Х","3",IF(N36="Х","4",IF(P36="Х","5",IF(R36="Х","6",IF(T36="Х","7",IF(V36="Х","8"))))))))</f>
        <v>0</v>
      </c>
      <c r="AA36" s="418">
        <f>SUM(G36+I36+K36+M36+O36+Q36+S36+U36+W36+Y36)</f>
        <v>0</v>
      </c>
      <c r="AB36" s="431">
        <f t="shared" ref="AB36" si="93">AD36+0</f>
        <v>20576</v>
      </c>
      <c r="AC36" s="386">
        <f>AB36</f>
        <v>20576</v>
      </c>
      <c r="AD36" s="387" t="str">
        <f>COUNTIF(AE$6:AE$119,"&gt;"&amp;AE$6:AE$119)+1&amp;REPT("-"&amp;COUNTIF(AE$6:AE$119,"&gt;="&amp;AE$6:AE$119),COUNTIF(AE$6:AE$119,AE36)&gt;1)</f>
        <v>5-56</v>
      </c>
      <c r="AE36" s="388">
        <f t="shared" si="45"/>
        <v>80</v>
      </c>
      <c r="AF36" s="390" t="str">
        <f>IF(OR(F36="Х",F36="св")," ",IF(AND(G36&gt;=0,G36&lt;3),"1"," "))</f>
        <v>1</v>
      </c>
      <c r="AG36" s="390" t="str">
        <f>IF(OR(H36="Х",H36="св")," ",IF(AND(I36&gt;=0,I36&lt;3),"1"," "))</f>
        <v>1</v>
      </c>
      <c r="AH36" s="390" t="str">
        <f>IF(OR(J36="Х",J36="св")," ",IF(AND(K36&gt;=0,K36&lt;3),"1"," "))</f>
        <v>1</v>
      </c>
      <c r="AI36" s="390" t="str">
        <f>IF(OR(L36="Х",L36="св")," ",IF(AND(M36&gt;=0,M36&lt;3),"1"," "))</f>
        <v>1</v>
      </c>
      <c r="AJ36" s="390" t="str">
        <f>IF(OR(N36="Х",N36="св")," ",IF(AND(O36&gt;=0,O36&lt;3),"1"," "))</f>
        <v>1</v>
      </c>
      <c r="AK36" s="390" t="str">
        <f>IF(OR(P36="Х",P36="св")," ",IF(AND(Q36&gt;=0,Q36&lt;3),"1"," "))</f>
        <v>1</v>
      </c>
      <c r="AL36" s="390" t="str">
        <f>IF(OR(R36="Х",R36="св")," ",IF(AND(S36&gt;=0,S36&lt;3),"1"," "))</f>
        <v>1</v>
      </c>
      <c r="AM36" s="390" t="str">
        <f>IF(OR(T36="Х",T36="св")," ",IF(AND(U36&gt;=0,U36&lt;3),"1"," "))</f>
        <v>1</v>
      </c>
      <c r="AN36" s="391">
        <f>COUNTIF(AF36:AM37,1)</f>
        <v>8</v>
      </c>
      <c r="AO36" s="393">
        <f>AE36-AA36</f>
        <v>80</v>
      </c>
      <c r="AP36" s="394">
        <f t="shared" si="10"/>
        <v>0</v>
      </c>
      <c r="AQ36" s="387" t="str">
        <f>COUNTIF(AE$6:AE$119,"&gt;"&amp;AE$6:AE$119)+1&amp;REPT("-"&amp;COUNTIF(AE$6:AE$119,"&gt;="&amp;AE$6:AE$119),COUNTIF(AE$6:AE$119,AE36)&gt;1)</f>
        <v>5-56</v>
      </c>
      <c r="AR36" s="395"/>
      <c r="AS36" s="183"/>
      <c r="AT36" s="183"/>
      <c r="AU36" s="183"/>
      <c r="AV36" s="386">
        <f t="shared" si="65"/>
        <v>15</v>
      </c>
      <c r="BU36" s="377">
        <f>IF(J36="х"," ",B36)</f>
        <v>15</v>
      </c>
      <c r="BV36" s="377">
        <f>IF(L36="х"," ",B36)</f>
        <v>15</v>
      </c>
      <c r="BW36" s="377" t="str">
        <f>IF(BV36=" "," ",L36)</f>
        <v xml:space="preserve"> </v>
      </c>
      <c r="BX36" s="377" t="str">
        <f>IF(BU36=" "," ",J36)</f>
        <v xml:space="preserve"> </v>
      </c>
      <c r="BY36" s="61">
        <f>IF(BU36&lt;BX36,BU36,0)</f>
        <v>15</v>
      </c>
      <c r="BZ36" s="61">
        <f t="shared" si="84"/>
        <v>15</v>
      </c>
      <c r="CA36" s="124">
        <f t="array" aca="1" ref="CA3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32</v>
      </c>
      <c r="CB36">
        <f>IF(BV36&lt;BW36,BV36,0)</f>
        <v>15</v>
      </c>
      <c r="CC36" s="125">
        <f t="shared" si="5"/>
        <v>15</v>
      </c>
      <c r="CD36" s="51">
        <f t="array" aca="1" ref="CD36" ca="1">IF(ROW()-ROW(Н4кр)+1&gt;ROWS(Е4кр)-COUNTBLANK(Е4кр)," ",INDIRECT(ADDRESS(SMALL((IF(Е4кр&lt;&gt;" ",ROW(Е4кр),ROW()+ROWS(Е4кр))),ROW()-ROW(Н4кр)+1),COLUMN(Е4кр),4)))</f>
        <v>32</v>
      </c>
      <c r="CF36" s="377">
        <f>IF(N36="х"," ",B36)</f>
        <v>15</v>
      </c>
      <c r="CG36" s="377" t="str">
        <f>IF(CF36=" "," ",N36)</f>
        <v xml:space="preserve"> </v>
      </c>
      <c r="CH36" s="125">
        <f>IF(CF36&lt;CG36,CF36,0)</f>
        <v>15</v>
      </c>
      <c r="CI36">
        <f t="shared" si="12"/>
        <v>15</v>
      </c>
      <c r="CJ36" s="51">
        <f t="array" aca="1" ref="CJ36" ca="1">IF(ROW()-ROW(Н5кр)+1&gt;ROWS(Е5кр)-COUNTBLANK(Е5кр)," ",INDIRECT(ADDRESS(SMALL((IF(Е5кр&lt;&gt;" ",ROW(Е5кр),ROW()+ROWS(Е5кр))),ROW()-ROW(Н5кр)+1),COLUMN(Е5кр),4)))</f>
        <v>32</v>
      </c>
      <c r="CL36" s="377">
        <f>IF(P36="х"," ",B36)</f>
        <v>15</v>
      </c>
      <c r="CM36" s="377" t="str">
        <f>IF(CL36=" "," ",P36)</f>
        <v xml:space="preserve"> </v>
      </c>
      <c r="CN36">
        <f>IF(CL36&lt;CM36,CL36,0)</f>
        <v>15</v>
      </c>
      <c r="CO36">
        <f t="shared" si="6"/>
        <v>15</v>
      </c>
      <c r="CP36">
        <f t="array" aca="1" ref="CP36" ca="1">IF(ROW()-ROW(Н6кр)+1&gt;ROWS(Е6кр)-COUNTBLANK(Е6кр)," ",INDIRECT(ADDRESS(SMALL((IF(Е6кр&lt;&gt;" ",ROW(Е6кр),ROW()+ROWS(Е6кр))),ROW()-ROW(Н6кр)+1),COLUMN(Е6кр),4)))</f>
        <v>32</v>
      </c>
      <c r="CR36" s="377">
        <f t="shared" ref="CR36" si="94">IF(R36="х"," ",B36)</f>
        <v>15</v>
      </c>
      <c r="CS36" s="377" t="str">
        <f t="shared" ref="CS36" si="95">IF(CR36=" "," ",R36)</f>
        <v xml:space="preserve"> </v>
      </c>
      <c r="CT36">
        <f>IF(CR36&lt;CS36,CR36,0)</f>
        <v>15</v>
      </c>
      <c r="CU36">
        <f t="shared" si="7"/>
        <v>15</v>
      </c>
      <c r="CV36">
        <f t="array" aca="1" ref="CV36" ca="1">IF(ROW()-ROW(Н7кр)+1&gt;ROWS(Е7кр)-COUNTBLANK(Е7кр)," ",INDIRECT(ADDRESS(SMALL((IF(Е7кр&lt;&gt;" ",ROW(Е7кр),ROW()+ROWS(Е7кр))),ROW()-ROW(Н7кр)+1),COLUMN(Е7кр),4)))</f>
        <v>32</v>
      </c>
    </row>
    <row r="37" spans="1:100" ht="12" hidden="1" customHeight="1" thickBot="1">
      <c r="A37" s="201"/>
      <c r="B37" s="424"/>
      <c r="C37" s="426"/>
      <c r="D37" s="428"/>
      <c r="E37" s="430"/>
      <c r="F37" s="442"/>
      <c r="G37" s="44"/>
      <c r="H37" s="439"/>
      <c r="I37" s="44"/>
      <c r="J37" s="439"/>
      <c r="K37" s="44"/>
      <c r="L37" s="439"/>
      <c r="M37" s="44"/>
      <c r="N37" s="439"/>
      <c r="O37" s="44"/>
      <c r="P37" s="439"/>
      <c r="Q37" s="44"/>
      <c r="R37" s="439"/>
      <c r="S37" s="44"/>
      <c r="T37" s="439"/>
      <c r="U37" s="47"/>
      <c r="V37" s="439"/>
      <c r="W37" s="44"/>
      <c r="X37" s="439"/>
      <c r="Y37" s="44"/>
      <c r="Z37" s="422"/>
      <c r="AA37" s="419"/>
      <c r="AB37" s="432"/>
      <c r="AC37" s="386"/>
      <c r="AD37" s="387"/>
      <c r="AE37" s="389"/>
      <c r="AF37" s="390"/>
      <c r="AG37" s="390"/>
      <c r="AH37" s="390"/>
      <c r="AI37" s="390"/>
      <c r="AJ37" s="390"/>
      <c r="AK37" s="390"/>
      <c r="AL37" s="390"/>
      <c r="AM37" s="390"/>
      <c r="AN37" s="392"/>
      <c r="AO37" s="387"/>
      <c r="AP37" s="394"/>
      <c r="AQ37" s="387"/>
      <c r="AR37" s="395"/>
      <c r="AS37" s="183"/>
      <c r="AT37" s="183"/>
      <c r="AU37" s="183"/>
      <c r="AV37" s="386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U37" s="377"/>
      <c r="BV37" s="377"/>
      <c r="BW37" s="377"/>
      <c r="BX37" s="377"/>
      <c r="BY37" s="61" t="str">
        <f>IF(BY36&gt;=1,BX36,0)</f>
        <v xml:space="preserve"> </v>
      </c>
      <c r="BZ37" s="61" t="str">
        <f t="shared" si="84"/>
        <v xml:space="preserve"> </v>
      </c>
      <c r="CA37" s="124">
        <f t="array" aca="1" ref="CA3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33</v>
      </c>
      <c r="CB37" t="str">
        <f>IF(CB36&gt;=1,BW36,0)</f>
        <v xml:space="preserve"> </v>
      </c>
      <c r="CC37" s="125" t="str">
        <f t="shared" si="5"/>
        <v xml:space="preserve"> </v>
      </c>
      <c r="CD37" s="51">
        <f t="array" aca="1" ref="CD37" ca="1">IF(ROW()-ROW(Н4кр)+1&gt;ROWS(Е4кр)-COUNTBLANK(Е4кр)," ",INDIRECT(ADDRESS(SMALL((IF(Е4кр&lt;&gt;" ",ROW(Е4кр),ROW()+ROWS(Е4кр))),ROW()-ROW(Н4кр)+1),COLUMN(Е4кр),4)))</f>
        <v>33</v>
      </c>
      <c r="CF37" s="377"/>
      <c r="CG37" s="377"/>
      <c r="CH37" s="125" t="str">
        <f>IF(CH36&gt;=1,CG36,0)</f>
        <v xml:space="preserve"> </v>
      </c>
      <c r="CI37" t="str">
        <f t="shared" si="12"/>
        <v xml:space="preserve"> </v>
      </c>
      <c r="CJ37" s="51">
        <f t="array" aca="1" ref="CJ37" ca="1">IF(ROW()-ROW(Н5кр)+1&gt;ROWS(Е5кр)-COUNTBLANK(Е5кр)," ",INDIRECT(ADDRESS(SMALL((IF(Е5кр&lt;&gt;" ",ROW(Е5кр),ROW()+ROWS(Е5кр))),ROW()-ROW(Н5кр)+1),COLUMN(Е5кр),4)))</f>
        <v>33</v>
      </c>
      <c r="CL37" s="377"/>
      <c r="CM37" s="377"/>
      <c r="CN37" t="str">
        <f>IF(CN36&gt;=1,CM36,0)</f>
        <v xml:space="preserve"> </v>
      </c>
      <c r="CO37" t="str">
        <f t="shared" si="6"/>
        <v xml:space="preserve"> </v>
      </c>
      <c r="CP37">
        <f t="array" aca="1" ref="CP37" ca="1">IF(ROW()-ROW(Н6кр)+1&gt;ROWS(Е6кр)-COUNTBLANK(Е6кр)," ",INDIRECT(ADDRESS(SMALL((IF(Е6кр&lt;&gt;" ",ROW(Е6кр),ROW()+ROWS(Е6кр))),ROW()-ROW(Н6кр)+1),COLUMN(Е6кр),4)))</f>
        <v>33</v>
      </c>
      <c r="CR37" s="377"/>
      <c r="CS37" s="377"/>
      <c r="CT37" t="str">
        <f>IF(CT36&gt;=1,CS36,0)</f>
        <v xml:space="preserve"> </v>
      </c>
      <c r="CU37" t="str">
        <f t="shared" si="7"/>
        <v xml:space="preserve"> </v>
      </c>
      <c r="CV37">
        <f t="array" aca="1" ref="CV37" ca="1">IF(ROW()-ROW(Н7кр)+1&gt;ROWS(Е7кр)-COUNTBLANK(Е7кр)," ",INDIRECT(ADDRESS(SMALL((IF(Е7кр&lt;&gt;" ",ROW(Е7кр),ROW()+ROWS(Е7кр))),ROW()-ROW(Н7кр)+1),COLUMN(Е7кр),4)))</f>
        <v>33</v>
      </c>
    </row>
    <row r="38" spans="1:100" ht="12" hidden="1" customHeight="1" thickTop="1">
      <c r="A38" s="201"/>
      <c r="B38" s="423">
        <v>16</v>
      </c>
      <c r="C38" s="425" t="e">
        <f>(VLOOKUP(B38,пр.взв!$B$7:$H$76,2,0))</f>
        <v>#N/A</v>
      </c>
      <c r="D38" s="427" t="e">
        <f>(VLOOKUP(B38,пр.взв!$B$7:$H$76,3,0))</f>
        <v>#N/A</v>
      </c>
      <c r="E38" s="429" t="e">
        <f>(VLOOKUP(B38,пр.взв!$B$7:$H$76,5,0))</f>
        <v>#N/A</v>
      </c>
      <c r="F38" s="443">
        <f t="shared" si="50"/>
        <v>0</v>
      </c>
      <c r="G38" s="42"/>
      <c r="H38" s="440"/>
      <c r="I38" s="42"/>
      <c r="J38" s="444" t="str">
        <f t="shared" si="0"/>
        <v xml:space="preserve"> </v>
      </c>
      <c r="K38" s="42"/>
      <c r="L38" s="438" t="str">
        <f t="shared" ref="L38" si="96">IF(J38="Х","Х",IF(K38&lt;2.5," ",IF(K38&gt;=2.5,IF(G38+I38+K38&gt;=6,"Х",IF(AA38&lt;6," "," ")))))</f>
        <v xml:space="preserve"> </v>
      </c>
      <c r="M38" s="42"/>
      <c r="N38" s="440" t="str">
        <f>IF(L38="Х","Х",IF(M38&lt;2.5," ",IF(M38&gt;=2.5,IF(G38+I38+K38+M38&gt;=6,"Х",IF(AA38&lt;6," "," ")))))</f>
        <v xml:space="preserve"> </v>
      </c>
      <c r="O38" s="42"/>
      <c r="P38" s="440" t="str">
        <f>IF(N38="Х","Х",IF(O38&lt;2.5," ",IF(O38&gt;=2.5,IF(G38+I38+K38+M38+O38&gt;=6,"Х",IF(AA38&lt;6," "," ")))))</f>
        <v xml:space="preserve"> </v>
      </c>
      <c r="Q38" s="42"/>
      <c r="R38" s="440" t="str">
        <f>IF(P38="Х","Х",IF(Q38&lt;2.5," ",IF(Q38&gt;=2.5,IF(G38+I38+K38+M38+O38+Q38&gt;=6,"Х",IF(AA38&lt;6," "," ")))))</f>
        <v xml:space="preserve"> </v>
      </c>
      <c r="S38" s="42"/>
      <c r="T38" s="440" t="str">
        <f>IF(R38="Х","Х",IF(S38&lt;2.5," ",IF(S38&gt;=2.5,IF(G38+I38+K38+M38+O38+Q38+S38&gt;=6,"Х",IF(AA38&lt;6," "," ")))))</f>
        <v xml:space="preserve"> </v>
      </c>
      <c r="U38" s="46"/>
      <c r="V38" s="438" t="str">
        <f>IF(T38="А1",$AX$7,IF(T38="Б2",$AX$6,IF(T38="Б1",$AY$7,IF(T38="А2",$AY$6,IF(T38="Х","Х",IF(T38&lt;6," "," "))))))</f>
        <v xml:space="preserve"> </v>
      </c>
      <c r="W38" s="42"/>
      <c r="X38" s="438" t="str">
        <f t="shared" ref="X38" si="97">IF(T38="Х","Х",IF(ISBLANK(W38),"",IF(W38&gt;2.5," ",IF(B38=AZ$6,AZ$7,AZ$6))))</f>
        <v/>
      </c>
      <c r="Y38" s="42"/>
      <c r="Z38" s="467" t="b">
        <f>IF(H38="Х","1",IF(J38="Х","2",IF(L38="Х","3",IF(N38="Х","4",IF(P38="Х","5",IF(R38="Х","6",IF(T38="Х","7",IF(V38="Х","8"))))))))</f>
        <v>0</v>
      </c>
      <c r="AA38" s="418">
        <f>SUM(G38+I38+K38+M38+O38+Q38+S38+U38+W38+Y38)</f>
        <v>0</v>
      </c>
      <c r="AB38" s="431">
        <f t="shared" ref="AB38" si="98">AD38+0</f>
        <v>20576</v>
      </c>
      <c r="AC38" s="386">
        <f>AB38</f>
        <v>20576</v>
      </c>
      <c r="AD38" s="387" t="str">
        <f>COUNTIF(AE$6:AE$119,"&gt;"&amp;AE$6:AE$119)+1&amp;REPT("-"&amp;COUNTIF(AE$6:AE$119,"&gt;="&amp;AE$6:AE$119),COUNTIF(AE$6:AE$119,AE38)&gt;1)</f>
        <v>5-56</v>
      </c>
      <c r="AE38" s="388">
        <f t="shared" si="45"/>
        <v>80</v>
      </c>
      <c r="AF38" s="390" t="str">
        <f>IF(OR(F38="Х",F38="св")," ",IF(AND(G38&gt;=0,G38&lt;3),"1"," "))</f>
        <v>1</v>
      </c>
      <c r="AG38" s="390" t="str">
        <f>IF(OR(H38="Х",H38="св")," ",IF(AND(I38&gt;=0,I38&lt;3),"1"," "))</f>
        <v>1</v>
      </c>
      <c r="AH38" s="390" t="str">
        <f>IF(OR(J38="Х",J38="св")," ",IF(AND(K38&gt;=0,K38&lt;3),"1"," "))</f>
        <v>1</v>
      </c>
      <c r="AI38" s="390" t="str">
        <f>IF(OR(L38="Х",L38="св")," ",IF(AND(M38&gt;=0,M38&lt;3),"1"," "))</f>
        <v>1</v>
      </c>
      <c r="AJ38" s="390" t="str">
        <f>IF(OR(N38="Х",N38="св")," ",IF(AND(O38&gt;=0,O38&lt;3),"1"," "))</f>
        <v>1</v>
      </c>
      <c r="AK38" s="390" t="str">
        <f>IF(OR(P38="Х",P38="св")," ",IF(AND(Q38&gt;=0,Q38&lt;3),"1"," "))</f>
        <v>1</v>
      </c>
      <c r="AL38" s="390" t="str">
        <f>IF(OR(R38="Х",R38="св")," ",IF(AND(S38&gt;=0,S38&lt;3),"1"," "))</f>
        <v>1</v>
      </c>
      <c r="AM38" s="390" t="str">
        <f>IF(OR(T38="Х",T38="св")," ",IF(AND(U38&gt;=0,U38&lt;3),"1"," "))</f>
        <v>1</v>
      </c>
      <c r="AN38" s="391">
        <f>COUNTIF(AF38:AM39,1)</f>
        <v>8</v>
      </c>
      <c r="AO38" s="393">
        <f>AE38-AA38</f>
        <v>80</v>
      </c>
      <c r="AP38" s="394">
        <f t="shared" si="10"/>
        <v>0</v>
      </c>
      <c r="AQ38" s="387" t="str">
        <f>COUNTIF(AE$6:AE$119,"&gt;"&amp;AE$6:AE$119)+1&amp;REPT("-"&amp;COUNTIF(AE$6:AE$119,"&gt;="&amp;AE$6:AE$119),COUNTIF(AE$6:AE$119,AE38)&gt;1)</f>
        <v>5-56</v>
      </c>
      <c r="AR38" s="395"/>
      <c r="AS38" s="183"/>
      <c r="AT38" s="183"/>
      <c r="AU38" s="183"/>
      <c r="AV38" s="386">
        <f t="shared" si="65"/>
        <v>16</v>
      </c>
      <c r="AW38" s="416"/>
      <c r="AX38" s="417"/>
      <c r="AY38" s="123"/>
      <c r="AZ38" s="19"/>
      <c r="BA38" s="2"/>
      <c r="BB38" s="2"/>
      <c r="BC38" s="2"/>
      <c r="BD38" s="2"/>
      <c r="BE38" s="2"/>
      <c r="BF38" s="2"/>
      <c r="BG38" s="2"/>
      <c r="BU38" s="377">
        <f>IF(J38="х"," ",B38)</f>
        <v>16</v>
      </c>
      <c r="BV38" s="377">
        <f>IF(L38="х"," ",B38)</f>
        <v>16</v>
      </c>
      <c r="BW38" s="377" t="str">
        <f>IF(BV38=" "," ",L38)</f>
        <v xml:space="preserve"> </v>
      </c>
      <c r="BX38" s="377" t="str">
        <f>IF(BU38=" "," ",J38)</f>
        <v xml:space="preserve"> </v>
      </c>
      <c r="BY38" s="61">
        <f>IF(BU38&lt;BX38,BU38,0)</f>
        <v>16</v>
      </c>
      <c r="BZ38" s="61">
        <f t="shared" si="84"/>
        <v>16</v>
      </c>
      <c r="CA38" s="124">
        <f t="array" aca="1" ref="CA3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34</v>
      </c>
      <c r="CB38">
        <f>IF(BV38&lt;BW38,BV38,0)</f>
        <v>16</v>
      </c>
      <c r="CC38" s="125">
        <f t="shared" si="5"/>
        <v>16</v>
      </c>
      <c r="CD38" s="51">
        <f t="array" aca="1" ref="CD38" ca="1">IF(ROW()-ROW(Н4кр)+1&gt;ROWS(Е4кр)-COUNTBLANK(Е4кр)," ",INDIRECT(ADDRESS(SMALL((IF(Е4кр&lt;&gt;" ",ROW(Е4кр),ROW()+ROWS(Е4кр))),ROW()-ROW(Н4кр)+1),COLUMN(Е4кр),4)))</f>
        <v>34</v>
      </c>
      <c r="CF38" s="377">
        <f>IF(N38="х"," ",B38)</f>
        <v>16</v>
      </c>
      <c r="CG38" s="377" t="str">
        <f>IF(CF38=" "," ",N38)</f>
        <v xml:space="preserve"> </v>
      </c>
      <c r="CH38" s="125">
        <f>IF(CF38&lt;CG38,CF38,0)</f>
        <v>16</v>
      </c>
      <c r="CI38">
        <f t="shared" si="12"/>
        <v>16</v>
      </c>
      <c r="CJ38" s="51">
        <f t="array" aca="1" ref="CJ38" ca="1">IF(ROW()-ROW(Н5кр)+1&gt;ROWS(Е5кр)-COUNTBLANK(Е5кр)," ",INDIRECT(ADDRESS(SMALL((IF(Е5кр&lt;&gt;" ",ROW(Е5кр),ROW()+ROWS(Е5кр))),ROW()-ROW(Н5кр)+1),COLUMN(Е5кр),4)))</f>
        <v>34</v>
      </c>
      <c r="CL38" s="377">
        <f>IF(P38="х"," ",B38)</f>
        <v>16</v>
      </c>
      <c r="CM38" s="377" t="str">
        <f>IF(CL38=" "," ",P38)</f>
        <v xml:space="preserve"> </v>
      </c>
      <c r="CN38">
        <f>IF(CL38&lt;CM38,CL38,0)</f>
        <v>16</v>
      </c>
      <c r="CO38">
        <f t="shared" si="6"/>
        <v>16</v>
      </c>
      <c r="CP38">
        <f t="array" aca="1" ref="CP38" ca="1">IF(ROW()-ROW(Н6кр)+1&gt;ROWS(Е6кр)-COUNTBLANK(Е6кр)," ",INDIRECT(ADDRESS(SMALL((IF(Е6кр&lt;&gt;" ",ROW(Е6кр),ROW()+ROWS(Е6кр))),ROW()-ROW(Н6кр)+1),COLUMN(Е6кр),4)))</f>
        <v>34</v>
      </c>
      <c r="CR38" s="377">
        <f t="shared" ref="CR38" si="99">IF(R38="х"," ",B38)</f>
        <v>16</v>
      </c>
      <c r="CS38" s="377" t="str">
        <f t="shared" ref="CS38" si="100">IF(CR38=" "," ",R38)</f>
        <v xml:space="preserve"> </v>
      </c>
      <c r="CT38">
        <f>IF(CR38&lt;CS38,CR38,0)</f>
        <v>16</v>
      </c>
      <c r="CU38">
        <f t="shared" si="7"/>
        <v>16</v>
      </c>
      <c r="CV38">
        <f t="array" aca="1" ref="CV38" ca="1">IF(ROW()-ROW(Н7кр)+1&gt;ROWS(Е7кр)-COUNTBLANK(Е7кр)," ",INDIRECT(ADDRESS(SMALL((IF(Е7кр&lt;&gt;" ",ROW(Е7кр),ROW()+ROWS(Е7кр))),ROW()-ROW(Н7кр)+1),COLUMN(Е7кр),4)))</f>
        <v>34</v>
      </c>
    </row>
    <row r="39" spans="1:100" ht="12" hidden="1" customHeight="1" thickBot="1">
      <c r="A39" s="201"/>
      <c r="B39" s="424"/>
      <c r="C39" s="426"/>
      <c r="D39" s="428"/>
      <c r="E39" s="430"/>
      <c r="F39" s="442"/>
      <c r="G39" s="44"/>
      <c r="H39" s="439"/>
      <c r="I39" s="44"/>
      <c r="J39" s="439"/>
      <c r="K39" s="44"/>
      <c r="L39" s="439"/>
      <c r="M39" s="44"/>
      <c r="N39" s="439"/>
      <c r="O39" s="44"/>
      <c r="P39" s="439"/>
      <c r="Q39" s="44"/>
      <c r="R39" s="439"/>
      <c r="S39" s="44"/>
      <c r="T39" s="439"/>
      <c r="U39" s="47"/>
      <c r="V39" s="439"/>
      <c r="W39" s="44"/>
      <c r="X39" s="439"/>
      <c r="Y39" s="44"/>
      <c r="Z39" s="422"/>
      <c r="AA39" s="419"/>
      <c r="AB39" s="432"/>
      <c r="AC39" s="386"/>
      <c r="AD39" s="387"/>
      <c r="AE39" s="389"/>
      <c r="AF39" s="390"/>
      <c r="AG39" s="390"/>
      <c r="AH39" s="390"/>
      <c r="AI39" s="390"/>
      <c r="AJ39" s="390"/>
      <c r="AK39" s="390"/>
      <c r="AL39" s="390"/>
      <c r="AM39" s="390"/>
      <c r="AN39" s="392"/>
      <c r="AO39" s="387"/>
      <c r="AP39" s="394"/>
      <c r="AQ39" s="387"/>
      <c r="AR39" s="395"/>
      <c r="AS39" s="183"/>
      <c r="AT39" s="183"/>
      <c r="AU39" s="183"/>
      <c r="AV39" s="386"/>
      <c r="AW39" s="19"/>
      <c r="AX39" s="19"/>
      <c r="AY39" s="19"/>
      <c r="AZ39" s="19"/>
      <c r="BA39" s="2"/>
      <c r="BB39" s="2"/>
      <c r="BC39" s="2"/>
      <c r="BD39" s="2"/>
      <c r="BE39" s="2"/>
      <c r="BF39" s="2"/>
      <c r="BG39" s="2"/>
      <c r="BU39" s="377"/>
      <c r="BV39" s="377"/>
      <c r="BW39" s="377"/>
      <c r="BX39" s="377"/>
      <c r="BY39" s="61" t="str">
        <f>IF(BY38&gt;=1,BX38,0)</f>
        <v xml:space="preserve"> </v>
      </c>
      <c r="BZ39" s="61" t="str">
        <f t="shared" si="84"/>
        <v xml:space="preserve"> </v>
      </c>
      <c r="CA39" s="124">
        <f t="array" aca="1" ref="CA3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35</v>
      </c>
      <c r="CB39" t="str">
        <f>IF(CB38&gt;=1,BW38,0)</f>
        <v xml:space="preserve"> </v>
      </c>
      <c r="CC39" s="125" t="str">
        <f t="shared" si="5"/>
        <v xml:space="preserve"> </v>
      </c>
      <c r="CD39" s="51">
        <f t="array" aca="1" ref="CD39" ca="1">IF(ROW()-ROW(Н4кр)+1&gt;ROWS(Е4кр)-COUNTBLANK(Е4кр)," ",INDIRECT(ADDRESS(SMALL((IF(Е4кр&lt;&gt;" ",ROW(Е4кр),ROW()+ROWS(Е4кр))),ROW()-ROW(Н4кр)+1),COLUMN(Е4кр),4)))</f>
        <v>35</v>
      </c>
      <c r="CF39" s="377"/>
      <c r="CG39" s="377"/>
      <c r="CH39" s="125" t="str">
        <f>IF(CH38&gt;=1,CG38,0)</f>
        <v xml:space="preserve"> </v>
      </c>
      <c r="CI39" t="str">
        <f t="shared" si="12"/>
        <v xml:space="preserve"> </v>
      </c>
      <c r="CJ39" s="51">
        <f t="array" aca="1" ref="CJ39" ca="1">IF(ROW()-ROW(Н5кр)+1&gt;ROWS(Е5кр)-COUNTBLANK(Е5кр)," ",INDIRECT(ADDRESS(SMALL((IF(Е5кр&lt;&gt;" ",ROW(Е5кр),ROW()+ROWS(Е5кр))),ROW()-ROW(Н5кр)+1),COLUMN(Е5кр),4)))</f>
        <v>35</v>
      </c>
      <c r="CL39" s="377"/>
      <c r="CM39" s="377"/>
      <c r="CN39" t="str">
        <f>IF(CN38&gt;=1,CM38,0)</f>
        <v xml:space="preserve"> </v>
      </c>
      <c r="CO39" t="str">
        <f t="shared" si="6"/>
        <v xml:space="preserve"> </v>
      </c>
      <c r="CP39">
        <f t="array" aca="1" ref="CP39" ca="1">IF(ROW()-ROW(Н6кр)+1&gt;ROWS(Е6кр)-COUNTBLANK(Е6кр)," ",INDIRECT(ADDRESS(SMALL((IF(Е6кр&lt;&gt;" ",ROW(Е6кр),ROW()+ROWS(Е6кр))),ROW()-ROW(Н6кр)+1),COLUMN(Е6кр),4)))</f>
        <v>35</v>
      </c>
      <c r="CR39" s="377"/>
      <c r="CS39" s="377"/>
      <c r="CT39" t="str">
        <f>IF(CT38&gt;=1,CS38,0)</f>
        <v xml:space="preserve"> </v>
      </c>
      <c r="CU39" t="str">
        <f t="shared" si="7"/>
        <v xml:space="preserve"> </v>
      </c>
      <c r="CV39">
        <f t="array" aca="1" ref="CV39" ca="1">IF(ROW()-ROW(Н7кр)+1&gt;ROWS(Е7кр)-COUNTBLANK(Е7кр)," ",INDIRECT(ADDRESS(SMALL((IF(Е7кр&lt;&gt;" ",ROW(Е7кр),ROW()+ROWS(Е7кр))),ROW()-ROW(Н7кр)+1),COLUMN(Е7кр),4)))</f>
        <v>35</v>
      </c>
    </row>
    <row r="40" spans="1:100" ht="12" hidden="1" customHeight="1" thickTop="1">
      <c r="A40" s="201"/>
      <c r="B40" s="423">
        <v>17</v>
      </c>
      <c r="C40" s="425" t="e">
        <f>(VLOOKUP(B40,пр.взв!$B$7:$H$76,2,0))</f>
        <v>#N/A</v>
      </c>
      <c r="D40" s="427" t="e">
        <f>(VLOOKUP(B40,пр.взв!$B$7:$H$76,3,0))</f>
        <v>#N/A</v>
      </c>
      <c r="E40" s="429" t="e">
        <f>(VLOOKUP(B40,пр.взв!$B$7:$H$76,5,0))</f>
        <v>#N/A</v>
      </c>
      <c r="F40" s="445">
        <f t="shared" ref="F40" si="101">IF(ISERROR(C40),0,B42)</f>
        <v>0</v>
      </c>
      <c r="G40" s="42"/>
      <c r="H40" s="440"/>
      <c r="I40" s="42"/>
      <c r="J40" s="444" t="str">
        <f t="shared" si="0"/>
        <v xml:space="preserve"> </v>
      </c>
      <c r="K40" s="42"/>
      <c r="L40" s="438" t="str">
        <f t="shared" ref="L40" si="102">IF(J40="Х","Х",IF(K40&lt;2.5," ",IF(K40&gt;=2.5,IF(G40+I40+K40&gt;=6,"Х",IF(AA40&lt;6," "," ")))))</f>
        <v xml:space="preserve"> </v>
      </c>
      <c r="M40" s="42"/>
      <c r="N40" s="440" t="str">
        <f>IF(L40="Х","Х",IF(M40&lt;2.5," ",IF(M40&gt;=2.5,IF(G40+I40+K40+M40&gt;=6,"Х",IF(AA40&lt;6," "," ")))))</f>
        <v xml:space="preserve"> </v>
      </c>
      <c r="O40" s="42"/>
      <c r="P40" s="440" t="str">
        <f>IF(N40="Х","Х",IF(O40&lt;2.5," ",IF(O40&gt;=2.5,IF(G40+I40+K40+M40+O40&gt;=6,"Х",IF(AA40&lt;6," "," ")))))</f>
        <v xml:space="preserve"> </v>
      </c>
      <c r="Q40" s="42"/>
      <c r="R40" s="440" t="str">
        <f>IF(P40="Х","Х",IF(Q40&lt;2.5," ",IF(Q40&gt;=2.5,IF(G40+I40+K40+M40+O40+Q40&gt;=6,"Х",IF(AA40&lt;6," "," ")))))</f>
        <v xml:space="preserve"> </v>
      </c>
      <c r="S40" s="42"/>
      <c r="T40" s="440" t="str">
        <f>IF(R40="Х","Х",IF(S40&lt;2.5," ",IF(S40&gt;=2.5,IF(G40+I40+K40+M40+O40+Q40+S40&gt;=6,"Х",IF(AA40&lt;6," "," ")))))</f>
        <v xml:space="preserve"> </v>
      </c>
      <c r="U40" s="46"/>
      <c r="V40" s="438" t="str">
        <f>IF(T40="А1",$AX$7,IF(T40="Б2",$AX$6,IF(T40="Б1",$AY$7,IF(T40="А2",$AY$6,IF(T40="Х","Х",IF(T40&lt;6," "," "))))))</f>
        <v xml:space="preserve"> </v>
      </c>
      <c r="W40" s="42"/>
      <c r="X40" s="438" t="str">
        <f t="shared" ref="X40" si="103">IF(T40="Х","Х",IF(ISBLANK(W40),"",IF(W40&gt;2.5," ",IF(B40=AZ$6,AZ$7,AZ$6))))</f>
        <v/>
      </c>
      <c r="Y40" s="42"/>
      <c r="Z40" s="467" t="b">
        <f>IF(H40="Х","1",IF(J40="Х","2",IF(L40="Х","3",IF(N40="Х","4",IF(P40="Х","5",IF(R40="Х","6",IF(T40="Х","7",IF(V40="Х","8"))))))))</f>
        <v>0</v>
      </c>
      <c r="AA40" s="418">
        <f>SUM(G40+I40+K40+M40+O40+Q40+S40+U40+W40+Y40)</f>
        <v>0</v>
      </c>
      <c r="AB40" s="431">
        <f t="shared" ref="AB40" si="104">AD40+0</f>
        <v>20576</v>
      </c>
      <c r="AC40" s="386">
        <f>AB40</f>
        <v>20576</v>
      </c>
      <c r="AD40" s="387" t="str">
        <f>COUNTIF(AE$6:AE$119,"&gt;"&amp;AE$6:AE$119)+1&amp;REPT("-"&amp;COUNTIF(AE$6:AE$119,"&gt;="&amp;AE$6:AE$119),COUNTIF(AE$6:AE$119,AE40)&gt;1)</f>
        <v>5-56</v>
      </c>
      <c r="AE40" s="388">
        <f t="shared" si="45"/>
        <v>80</v>
      </c>
      <c r="AF40" s="390" t="str">
        <f>IF(OR(F40="Х",F40="св")," ",IF(AND(G40&gt;=0,G40&lt;3),"1"," "))</f>
        <v>1</v>
      </c>
      <c r="AG40" s="390" t="str">
        <f>IF(OR(H40="Х",H40="св")," ",IF(AND(I40&gt;=0,I40&lt;3),"1"," "))</f>
        <v>1</v>
      </c>
      <c r="AH40" s="390" t="str">
        <f>IF(OR(J40="Х",J40="св")," ",IF(AND(K40&gt;=0,K40&lt;3),"1"," "))</f>
        <v>1</v>
      </c>
      <c r="AI40" s="390" t="str">
        <f>IF(OR(L40="Х",L40="св")," ",IF(AND(M40&gt;=0,M40&lt;3),"1"," "))</f>
        <v>1</v>
      </c>
      <c r="AJ40" s="390" t="str">
        <f>IF(OR(N40="Х",N40="св")," ",IF(AND(O40&gt;=0,O40&lt;3),"1"," "))</f>
        <v>1</v>
      </c>
      <c r="AK40" s="390" t="str">
        <f>IF(OR(P40="Х",P40="св")," ",IF(AND(Q40&gt;=0,Q40&lt;3),"1"," "))</f>
        <v>1</v>
      </c>
      <c r="AL40" s="390" t="str">
        <f>IF(OR(R40="Х",R40="св")," ",IF(AND(S40&gt;=0,S40&lt;3),"1"," "))</f>
        <v>1</v>
      </c>
      <c r="AM40" s="390" t="str">
        <f>IF(OR(T40="Х",T40="св")," ",IF(AND(U40&gt;=0,U40&lt;3),"1"," "))</f>
        <v>1</v>
      </c>
      <c r="AN40" s="391">
        <f>COUNTIF(AF40:AM41,1)</f>
        <v>8</v>
      </c>
      <c r="AO40" s="393">
        <f>AE40-AA40</f>
        <v>80</v>
      </c>
      <c r="AP40" s="394">
        <f t="shared" si="10"/>
        <v>0</v>
      </c>
      <c r="AQ40" s="387" t="str">
        <f>COUNTIF(AE$6:AE$119,"&gt;"&amp;AE$6:AE$119)+1&amp;REPT("-"&amp;COUNTIF(AE$6:AE$119,"&gt;="&amp;AE$6:AE$119),COUNTIF(AE$6:AE$119,AE40)&gt;1)</f>
        <v>5-56</v>
      </c>
      <c r="AR40" s="395"/>
      <c r="AS40" s="183"/>
      <c r="AT40" s="183"/>
      <c r="AU40" s="183"/>
      <c r="AV40" s="386">
        <f t="shared" si="65"/>
        <v>17</v>
      </c>
      <c r="AW40" s="19"/>
      <c r="AX40" s="19"/>
      <c r="AY40" s="19"/>
      <c r="AZ40" s="19"/>
      <c r="BA40" s="2"/>
      <c r="BB40" s="2"/>
      <c r="BC40" s="2"/>
      <c r="BD40" s="2"/>
      <c r="BE40" s="2"/>
      <c r="BF40" s="2"/>
      <c r="BG40" s="2"/>
      <c r="BU40" s="377">
        <f>IF(J40="х"," ",B40)</f>
        <v>17</v>
      </c>
      <c r="BV40" s="377">
        <f>IF(L40="х"," ",B40)</f>
        <v>17</v>
      </c>
      <c r="BW40" s="377" t="str">
        <f>IF(BV40=" "," ",L40)</f>
        <v xml:space="preserve"> </v>
      </c>
      <c r="BX40" s="377" t="str">
        <f>IF(BU40=" "," ",J40)</f>
        <v xml:space="preserve"> </v>
      </c>
      <c r="BY40" s="61">
        <f>IF(BU40&lt;BX40,BU40,0)</f>
        <v>17</v>
      </c>
      <c r="BZ40" s="61">
        <f t="shared" si="84"/>
        <v>17</v>
      </c>
      <c r="CA40" s="124">
        <f t="array" aca="1" ref="CA4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36</v>
      </c>
      <c r="CB40">
        <f>IF(BV40&lt;BW40,BV40,0)</f>
        <v>17</v>
      </c>
      <c r="CC40" s="125">
        <f t="shared" si="5"/>
        <v>17</v>
      </c>
      <c r="CD40" s="51">
        <f t="array" aca="1" ref="CD40" ca="1">IF(ROW()-ROW(Н4кр)+1&gt;ROWS(Е4кр)-COUNTBLANK(Е4кр)," ",INDIRECT(ADDRESS(SMALL((IF(Е4кр&lt;&gt;" ",ROW(Е4кр),ROW()+ROWS(Е4кр))),ROW()-ROW(Н4кр)+1),COLUMN(Е4кр),4)))</f>
        <v>36</v>
      </c>
      <c r="CF40" s="377">
        <f>IF(N40="х"," ",B40)</f>
        <v>17</v>
      </c>
      <c r="CG40" s="377" t="str">
        <f>IF(CF40=" "," ",N40)</f>
        <v xml:space="preserve"> </v>
      </c>
      <c r="CH40" s="125">
        <f>IF(CF40&lt;CG40,CF40,0)</f>
        <v>17</v>
      </c>
      <c r="CI40">
        <f t="shared" si="12"/>
        <v>17</v>
      </c>
      <c r="CJ40" s="51">
        <f t="array" aca="1" ref="CJ40" ca="1">IF(ROW()-ROW(Н5кр)+1&gt;ROWS(Е5кр)-COUNTBLANK(Е5кр)," ",INDIRECT(ADDRESS(SMALL((IF(Е5кр&lt;&gt;" ",ROW(Е5кр),ROW()+ROWS(Е5кр))),ROW()-ROW(Н5кр)+1),COLUMN(Е5кр),4)))</f>
        <v>36</v>
      </c>
      <c r="CL40" s="377">
        <f>IF(P40="х"," ",B40)</f>
        <v>17</v>
      </c>
      <c r="CM40" s="377" t="str">
        <f>IF(CL40=" "," ",P40)</f>
        <v xml:space="preserve"> </v>
      </c>
      <c r="CN40">
        <f>IF(CL40&lt;CM40,CL40,0)</f>
        <v>17</v>
      </c>
      <c r="CO40">
        <f t="shared" si="6"/>
        <v>17</v>
      </c>
      <c r="CP40">
        <f t="array" aca="1" ref="CP40" ca="1">IF(ROW()-ROW(Н6кр)+1&gt;ROWS(Е6кр)-COUNTBLANK(Е6кр)," ",INDIRECT(ADDRESS(SMALL((IF(Е6кр&lt;&gt;" ",ROW(Е6кр),ROW()+ROWS(Е6кр))),ROW()-ROW(Н6кр)+1),COLUMN(Е6кр),4)))</f>
        <v>36</v>
      </c>
      <c r="CR40" s="377">
        <f t="shared" ref="CR40" si="105">IF(R40="х"," ",B40)</f>
        <v>17</v>
      </c>
      <c r="CS40" s="377" t="str">
        <f t="shared" ref="CS40" si="106">IF(CR40=" "," ",R40)</f>
        <v xml:space="preserve"> </v>
      </c>
      <c r="CT40">
        <f>IF(CR40&lt;CS40,CR40,0)</f>
        <v>17</v>
      </c>
      <c r="CU40">
        <f t="shared" si="7"/>
        <v>17</v>
      </c>
      <c r="CV40">
        <f t="array" aca="1" ref="CV40" ca="1">IF(ROW()-ROW(Н7кр)+1&gt;ROWS(Е7кр)-COUNTBLANK(Е7кр)," ",INDIRECT(ADDRESS(SMALL((IF(Е7кр&lt;&gt;" ",ROW(Е7кр),ROW()+ROWS(Е7кр))),ROW()-ROW(Н7кр)+1),COLUMN(Е7кр),4)))</f>
        <v>36</v>
      </c>
    </row>
    <row r="41" spans="1:100" ht="12" hidden="1" customHeight="1" thickBot="1">
      <c r="A41" s="201"/>
      <c r="B41" s="424"/>
      <c r="C41" s="426"/>
      <c r="D41" s="428"/>
      <c r="E41" s="430"/>
      <c r="F41" s="442"/>
      <c r="G41" s="44"/>
      <c r="H41" s="439"/>
      <c r="I41" s="44"/>
      <c r="J41" s="439"/>
      <c r="K41" s="44"/>
      <c r="L41" s="439"/>
      <c r="M41" s="44"/>
      <c r="N41" s="439"/>
      <c r="O41" s="44"/>
      <c r="P41" s="439"/>
      <c r="Q41" s="44"/>
      <c r="R41" s="439"/>
      <c r="S41" s="44"/>
      <c r="T41" s="439"/>
      <c r="U41" s="47"/>
      <c r="V41" s="439"/>
      <c r="W41" s="44"/>
      <c r="X41" s="439"/>
      <c r="Y41" s="44"/>
      <c r="Z41" s="422"/>
      <c r="AA41" s="419"/>
      <c r="AB41" s="432"/>
      <c r="AC41" s="386"/>
      <c r="AD41" s="387"/>
      <c r="AE41" s="389"/>
      <c r="AF41" s="390"/>
      <c r="AG41" s="390"/>
      <c r="AH41" s="390"/>
      <c r="AI41" s="390"/>
      <c r="AJ41" s="390"/>
      <c r="AK41" s="390"/>
      <c r="AL41" s="390"/>
      <c r="AM41" s="390"/>
      <c r="AN41" s="392"/>
      <c r="AO41" s="387"/>
      <c r="AP41" s="394"/>
      <c r="AQ41" s="387"/>
      <c r="AR41" s="395"/>
      <c r="AS41" s="183"/>
      <c r="AT41" s="183"/>
      <c r="AU41" s="183"/>
      <c r="AV41" s="386"/>
      <c r="AW41" s="416"/>
      <c r="AX41" s="417"/>
      <c r="AY41" s="123"/>
      <c r="AZ41" s="19"/>
      <c r="BA41" s="2"/>
      <c r="BB41" s="2"/>
      <c r="BC41" s="2"/>
      <c r="BD41" s="2"/>
      <c r="BE41" s="2"/>
      <c r="BF41" s="2"/>
      <c r="BG41" s="2"/>
      <c r="BU41" s="377"/>
      <c r="BV41" s="377"/>
      <c r="BW41" s="377"/>
      <c r="BX41" s="377"/>
      <c r="BY41" s="61" t="str">
        <f>IF(BY40&gt;=1,BX40,0)</f>
        <v xml:space="preserve"> </v>
      </c>
      <c r="BZ41" s="61" t="str">
        <f t="shared" si="84"/>
        <v xml:space="preserve"> </v>
      </c>
      <c r="CA41" s="124">
        <f t="array" aca="1" ref="CA4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37</v>
      </c>
      <c r="CB41" t="str">
        <f>IF(CB40&gt;=1,BW40,0)</f>
        <v xml:space="preserve"> </v>
      </c>
      <c r="CC41" s="125" t="str">
        <f t="shared" si="5"/>
        <v xml:space="preserve"> </v>
      </c>
      <c r="CD41" s="51">
        <f t="array" aca="1" ref="CD41" ca="1">IF(ROW()-ROW(Н4кр)+1&gt;ROWS(Е4кр)-COUNTBLANK(Е4кр)," ",INDIRECT(ADDRESS(SMALL((IF(Е4кр&lt;&gt;" ",ROW(Е4кр),ROW()+ROWS(Е4кр))),ROW()-ROW(Н4кр)+1),COLUMN(Е4кр),4)))</f>
        <v>37</v>
      </c>
      <c r="CF41" s="377"/>
      <c r="CG41" s="377"/>
      <c r="CH41" s="125" t="str">
        <f>IF(CH40&gt;=1,CG40,0)</f>
        <v xml:space="preserve"> </v>
      </c>
      <c r="CI41" t="str">
        <f t="shared" si="12"/>
        <v xml:space="preserve"> </v>
      </c>
      <c r="CJ41" s="51">
        <f t="array" aca="1" ref="CJ41" ca="1">IF(ROW()-ROW(Н5кр)+1&gt;ROWS(Е5кр)-COUNTBLANK(Е5кр)," ",INDIRECT(ADDRESS(SMALL((IF(Е5кр&lt;&gt;" ",ROW(Е5кр),ROW()+ROWS(Е5кр))),ROW()-ROW(Н5кр)+1),COLUMN(Е5кр),4)))</f>
        <v>37</v>
      </c>
      <c r="CL41" s="377"/>
      <c r="CM41" s="377"/>
      <c r="CN41" t="str">
        <f>IF(CN40&gt;=1,CM40,0)</f>
        <v xml:space="preserve"> </v>
      </c>
      <c r="CO41" t="str">
        <f t="shared" si="6"/>
        <v xml:space="preserve"> </v>
      </c>
      <c r="CP41">
        <f t="array" aca="1" ref="CP41" ca="1">IF(ROW()-ROW(Н6кр)+1&gt;ROWS(Е6кр)-COUNTBLANK(Е6кр)," ",INDIRECT(ADDRESS(SMALL((IF(Е6кр&lt;&gt;" ",ROW(Е6кр),ROW()+ROWS(Е6кр))),ROW()-ROW(Н6кр)+1),COLUMN(Е6кр),4)))</f>
        <v>37</v>
      </c>
      <c r="CR41" s="377"/>
      <c r="CS41" s="377"/>
      <c r="CT41" t="str">
        <f>IF(CT40&gt;=1,CS40,0)</f>
        <v xml:space="preserve"> </v>
      </c>
      <c r="CU41" t="str">
        <f t="shared" si="7"/>
        <v xml:space="preserve"> </v>
      </c>
      <c r="CV41">
        <f t="array" aca="1" ref="CV41" ca="1">IF(ROW()-ROW(Н7кр)+1&gt;ROWS(Е7кр)-COUNTBLANK(Е7кр)," ",INDIRECT(ADDRESS(SMALL((IF(Е7кр&lt;&gt;" ",ROW(Е7кр),ROW()+ROWS(Е7кр))),ROW()-ROW(Н7кр)+1),COLUMN(Е7кр),4)))</f>
        <v>37</v>
      </c>
    </row>
    <row r="42" spans="1:100" ht="12" hidden="1" customHeight="1" thickTop="1">
      <c r="A42" s="201"/>
      <c r="B42" s="435">
        <v>18</v>
      </c>
      <c r="C42" s="425" t="e">
        <f>(VLOOKUP(B42,пр.взв!$B$7:$H$76,2,0))</f>
        <v>#N/A</v>
      </c>
      <c r="D42" s="427" t="e">
        <f>(VLOOKUP(B42,пр.взв!$B$7:$H$76,3,0))</f>
        <v>#N/A</v>
      </c>
      <c r="E42" s="429" t="e">
        <f>(VLOOKUP(B42,пр.взв!$B$7:$H$76,5,0))</f>
        <v>#N/A</v>
      </c>
      <c r="F42" s="443">
        <f t="shared" ref="F42" si="107">IF(ISERROR(C42),0,B40)</f>
        <v>0</v>
      </c>
      <c r="G42" s="42"/>
      <c r="H42" s="440"/>
      <c r="I42" s="42"/>
      <c r="J42" s="444" t="str">
        <f t="shared" si="0"/>
        <v xml:space="preserve"> </v>
      </c>
      <c r="K42" s="42"/>
      <c r="L42" s="438" t="str">
        <f t="shared" ref="L42" si="108">IF(J42="Х","Х",IF(K42&lt;2.5," ",IF(K42&gt;=2.5,IF(G42+I42+K42&gt;=6,"Х",IF(AA42&lt;6," "," ")))))</f>
        <v xml:space="preserve"> </v>
      </c>
      <c r="M42" s="42"/>
      <c r="N42" s="440" t="str">
        <f>IF(L42="Х","Х",IF(M42&lt;2.5," ",IF(M42&gt;=2.5,IF(G42+I42+K42+M42&gt;=6,"Х",IF(AA42&lt;6," "," ")))))</f>
        <v xml:space="preserve"> </v>
      </c>
      <c r="O42" s="42"/>
      <c r="P42" s="440" t="str">
        <f>IF(N42="Х","Х",IF(O42&lt;2.5," ",IF(O42&gt;=2.5,IF(G42+I42+K42+M42+O42&gt;=6,"Х",IF(AA42&lt;6," "," ")))))</f>
        <v xml:space="preserve"> </v>
      </c>
      <c r="Q42" s="42"/>
      <c r="R42" s="440" t="str">
        <f>IF(P42="Х","Х",IF(Q42&lt;2.5," ",IF(Q42&gt;=2.5,IF(G42+I42+K42+M42+O42+Q42&gt;=6,"Х",IF(AA42&lt;6," "," ")))))</f>
        <v xml:space="preserve"> </v>
      </c>
      <c r="S42" s="42"/>
      <c r="T42" s="440" t="str">
        <f>IF(R42="Х","Х",IF(S42&lt;2.5," ",IF(S42&gt;=2.5,IF(G42+I42+K42+M42+O42+Q42+S42&gt;=6,"Х",IF(AA42&lt;6," "," ")))))</f>
        <v xml:space="preserve"> </v>
      </c>
      <c r="U42" s="46"/>
      <c r="V42" s="438" t="str">
        <f>IF(T42="А1",$AX$7,IF(T42="Б2",$AX$6,IF(T42="Б1",$AY$7,IF(T42="А2",$AY$6,IF(T42="Х","Х",IF(T42&lt;6," "," "))))))</f>
        <v xml:space="preserve"> </v>
      </c>
      <c r="W42" s="42"/>
      <c r="X42" s="438" t="str">
        <f t="shared" ref="X42" si="109">IF(T42="Х","Х",IF(ISBLANK(W42),"",IF(W42&gt;2.5," ",IF(B42=AZ$6,AZ$7,AZ$6))))</f>
        <v/>
      </c>
      <c r="Y42" s="42"/>
      <c r="Z42" s="467" t="b">
        <f>IF(H42="Х","1",IF(J42="Х","2",IF(L42="Х","3",IF(N42="Х","4",IF(P42="Х","5",IF(R42="Х","6",IF(T42="Х","7",IF(V42="Х","8"))))))))</f>
        <v>0</v>
      </c>
      <c r="AA42" s="418">
        <f>SUM(G42+I42+K42+M42+O42+Q42+S42+U42+W42+Y42)</f>
        <v>0</v>
      </c>
      <c r="AB42" s="431">
        <f t="shared" ref="AB42" si="110">AD42+0</f>
        <v>20576</v>
      </c>
      <c r="AC42" s="386">
        <f>AB42</f>
        <v>20576</v>
      </c>
      <c r="AD42" s="387" t="str">
        <f>COUNTIF(AE$6:AE$119,"&gt;"&amp;AE$6:AE$119)+1&amp;REPT("-"&amp;COUNTIF(AE$6:AE$119,"&gt;="&amp;AE$6:AE$119),COUNTIF(AE$6:AE$119,AE42)&gt;1)</f>
        <v>5-56</v>
      </c>
      <c r="AE42" s="388">
        <f t="shared" si="45"/>
        <v>80</v>
      </c>
      <c r="AF42" s="390" t="str">
        <f>IF(OR(F42="Х",F42="св")," ",IF(AND(G42&gt;=0,G42&lt;3),"1"," "))</f>
        <v>1</v>
      </c>
      <c r="AG42" s="390" t="str">
        <f>IF(OR(H42="Х",H42="св")," ",IF(AND(I42&gt;=0,I42&lt;3),"1"," "))</f>
        <v>1</v>
      </c>
      <c r="AH42" s="390" t="str">
        <f>IF(OR(J42="Х",J42="св")," ",IF(AND(K42&gt;=0,K42&lt;3),"1"," "))</f>
        <v>1</v>
      </c>
      <c r="AI42" s="390" t="str">
        <f>IF(OR(L42="Х",L42="св")," ",IF(AND(M42&gt;=0,M42&lt;3),"1"," "))</f>
        <v>1</v>
      </c>
      <c r="AJ42" s="390" t="str">
        <f>IF(OR(N42="Х",N42="св")," ",IF(AND(O42&gt;=0,O42&lt;3),"1"," "))</f>
        <v>1</v>
      </c>
      <c r="AK42" s="390" t="str">
        <f>IF(OR(P42="Х",P42="св")," ",IF(AND(Q42&gt;=0,Q42&lt;3),"1"," "))</f>
        <v>1</v>
      </c>
      <c r="AL42" s="390" t="str">
        <f>IF(OR(R42="Х",R42="св")," ",IF(AND(S42&gt;=0,S42&lt;3),"1"," "))</f>
        <v>1</v>
      </c>
      <c r="AM42" s="390" t="str">
        <f>IF(OR(T42="Х",T42="св")," ",IF(AND(U42&gt;=0,U42&lt;3),"1"," "))</f>
        <v>1</v>
      </c>
      <c r="AN42" s="391">
        <f>COUNTIF(AF42:AM43,1)</f>
        <v>8</v>
      </c>
      <c r="AO42" s="393">
        <f>AE42-AA42</f>
        <v>80</v>
      </c>
      <c r="AP42" s="394">
        <f t="shared" si="10"/>
        <v>0</v>
      </c>
      <c r="AQ42" s="387" t="str">
        <f>COUNTIF(AE$6:AE$119,"&gt;"&amp;AE$6:AE$119)+1&amp;REPT("-"&amp;COUNTIF(AE$6:AE$119,"&gt;="&amp;AE$6:AE$119),COUNTIF(AE$6:AE$119,AE42)&gt;1)</f>
        <v>5-56</v>
      </c>
      <c r="AR42" s="395"/>
      <c r="AS42" s="183"/>
      <c r="AT42" s="183"/>
      <c r="AU42" s="183"/>
      <c r="AV42" s="386">
        <f t="shared" si="65"/>
        <v>18</v>
      </c>
      <c r="AW42" s="19"/>
      <c r="AX42" s="19"/>
      <c r="AY42" s="19"/>
      <c r="AZ42" s="19"/>
      <c r="BA42" s="2"/>
      <c r="BB42" s="2"/>
      <c r="BC42" s="2"/>
      <c r="BD42" s="2"/>
      <c r="BE42" s="2"/>
      <c r="BF42" s="2"/>
      <c r="BG42" s="2"/>
      <c r="BU42" s="377">
        <f>IF(J42="х"," ",B42)</f>
        <v>18</v>
      </c>
      <c r="BV42" s="377">
        <f>IF(L42="х"," ",B42)</f>
        <v>18</v>
      </c>
      <c r="BW42" s="377" t="str">
        <f>IF(BV42=" "," ",L42)</f>
        <v xml:space="preserve"> </v>
      </c>
      <c r="BX42" s="377" t="str">
        <f>IF(BU42=" "," ",J42)</f>
        <v xml:space="preserve"> </v>
      </c>
      <c r="BY42" s="61">
        <f>IF(BU42&lt;BX42,BU42,0)</f>
        <v>18</v>
      </c>
      <c r="BZ42" s="61">
        <f t="shared" si="84"/>
        <v>18</v>
      </c>
      <c r="CA42" s="124">
        <f t="array" aca="1" ref="CA4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38</v>
      </c>
      <c r="CB42">
        <f>IF(BV42&lt;BW42,BV42,0)</f>
        <v>18</v>
      </c>
      <c r="CC42" s="125">
        <f t="shared" si="5"/>
        <v>18</v>
      </c>
      <c r="CD42" s="51">
        <f t="array" aca="1" ref="CD42" ca="1">IF(ROW()-ROW(Н4кр)+1&gt;ROWS(Е4кр)-COUNTBLANK(Е4кр)," ",INDIRECT(ADDRESS(SMALL((IF(Е4кр&lt;&gt;" ",ROW(Е4кр),ROW()+ROWS(Е4кр))),ROW()-ROW(Н4кр)+1),COLUMN(Е4кр),4)))</f>
        <v>38</v>
      </c>
      <c r="CF42" s="377">
        <f>IF(N42="х"," ",B42)</f>
        <v>18</v>
      </c>
      <c r="CG42" s="377" t="str">
        <f>IF(CF42=" "," ",N42)</f>
        <v xml:space="preserve"> </v>
      </c>
      <c r="CH42" s="125">
        <f>IF(CF42&lt;CG42,CF42,0)</f>
        <v>18</v>
      </c>
      <c r="CI42">
        <f t="shared" si="12"/>
        <v>18</v>
      </c>
      <c r="CJ42" s="51">
        <f t="array" aca="1" ref="CJ42" ca="1">IF(ROW()-ROW(Н5кр)+1&gt;ROWS(Е5кр)-COUNTBLANK(Е5кр)," ",INDIRECT(ADDRESS(SMALL((IF(Е5кр&lt;&gt;" ",ROW(Е5кр),ROW()+ROWS(Е5кр))),ROW()-ROW(Н5кр)+1),COLUMN(Е5кр),4)))</f>
        <v>38</v>
      </c>
      <c r="CL42" s="377">
        <f>IF(P42="х"," ",B42)</f>
        <v>18</v>
      </c>
      <c r="CM42" s="377" t="str">
        <f>IF(CL42=" "," ",P42)</f>
        <v xml:space="preserve"> </v>
      </c>
      <c r="CN42">
        <f>IF(CL42&lt;CM42,CL42,0)</f>
        <v>18</v>
      </c>
      <c r="CO42">
        <f t="shared" si="6"/>
        <v>18</v>
      </c>
      <c r="CP42">
        <f t="array" aca="1" ref="CP42" ca="1">IF(ROW()-ROW(Н6кр)+1&gt;ROWS(Е6кр)-COUNTBLANK(Е6кр)," ",INDIRECT(ADDRESS(SMALL((IF(Е6кр&lt;&gt;" ",ROW(Е6кр),ROW()+ROWS(Е6кр))),ROW()-ROW(Н6кр)+1),COLUMN(Е6кр),4)))</f>
        <v>38</v>
      </c>
      <c r="CR42" s="377">
        <f t="shared" ref="CR42" si="111">IF(R42="х"," ",B42)</f>
        <v>18</v>
      </c>
      <c r="CS42" s="377" t="str">
        <f t="shared" ref="CS42" si="112">IF(CR42=" "," ",R42)</f>
        <v xml:space="preserve"> </v>
      </c>
      <c r="CT42">
        <f>IF(CR42&lt;CS42,CR42,0)</f>
        <v>18</v>
      </c>
      <c r="CU42">
        <f t="shared" si="7"/>
        <v>18</v>
      </c>
      <c r="CV42">
        <f t="array" aca="1" ref="CV42" ca="1">IF(ROW()-ROW(Н7кр)+1&gt;ROWS(Е7кр)-COUNTBLANK(Е7кр)," ",INDIRECT(ADDRESS(SMALL((IF(Е7кр&lt;&gt;" ",ROW(Е7кр),ROW()+ROWS(Е7кр))),ROW()-ROW(Н7кр)+1),COLUMN(Е7кр),4)))</f>
        <v>38</v>
      </c>
    </row>
    <row r="43" spans="1:100" ht="12" hidden="1" customHeight="1" thickBot="1">
      <c r="A43" s="201"/>
      <c r="B43" s="434"/>
      <c r="C43" s="426"/>
      <c r="D43" s="428"/>
      <c r="E43" s="430"/>
      <c r="F43" s="442"/>
      <c r="G43" s="44"/>
      <c r="H43" s="439"/>
      <c r="I43" s="44"/>
      <c r="J43" s="439"/>
      <c r="K43" s="44"/>
      <c r="L43" s="439"/>
      <c r="M43" s="44"/>
      <c r="N43" s="439"/>
      <c r="O43" s="44"/>
      <c r="P43" s="439"/>
      <c r="Q43" s="44"/>
      <c r="R43" s="439"/>
      <c r="S43" s="44"/>
      <c r="T43" s="439"/>
      <c r="U43" s="47"/>
      <c r="V43" s="439"/>
      <c r="W43" s="44"/>
      <c r="X43" s="439"/>
      <c r="Y43" s="44"/>
      <c r="Z43" s="422"/>
      <c r="AA43" s="419"/>
      <c r="AB43" s="432"/>
      <c r="AC43" s="386"/>
      <c r="AD43" s="387"/>
      <c r="AE43" s="389"/>
      <c r="AF43" s="390"/>
      <c r="AG43" s="390"/>
      <c r="AH43" s="390"/>
      <c r="AI43" s="390"/>
      <c r="AJ43" s="390"/>
      <c r="AK43" s="390"/>
      <c r="AL43" s="390"/>
      <c r="AM43" s="390"/>
      <c r="AN43" s="392"/>
      <c r="AO43" s="387"/>
      <c r="AP43" s="394"/>
      <c r="AQ43" s="387"/>
      <c r="AR43" s="395"/>
      <c r="AS43" s="183"/>
      <c r="AT43" s="183"/>
      <c r="AU43" s="183"/>
      <c r="AV43" s="386"/>
      <c r="AW43" s="19"/>
      <c r="AX43" s="19"/>
      <c r="AY43" s="19"/>
      <c r="AZ43" s="19"/>
      <c r="BA43" s="2"/>
      <c r="BB43" s="2"/>
      <c r="BC43" s="2"/>
      <c r="BD43" s="2"/>
      <c r="BE43" s="2"/>
      <c r="BF43" s="2"/>
      <c r="BG43" s="2"/>
      <c r="BU43" s="377"/>
      <c r="BV43" s="377"/>
      <c r="BW43" s="377"/>
      <c r="BX43" s="377"/>
      <c r="BY43" s="61" t="str">
        <f>IF(BY42&gt;=1,BX42,0)</f>
        <v xml:space="preserve"> </v>
      </c>
      <c r="BZ43" s="61" t="str">
        <f t="shared" si="84"/>
        <v xml:space="preserve"> </v>
      </c>
      <c r="CA43" s="124">
        <f t="array" aca="1" ref="CA4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39</v>
      </c>
      <c r="CB43" t="str">
        <f>IF(CB42&gt;=1,BW42,0)</f>
        <v xml:space="preserve"> </v>
      </c>
      <c r="CC43" s="125" t="str">
        <f t="shared" si="5"/>
        <v xml:space="preserve"> </v>
      </c>
      <c r="CD43" s="51">
        <f t="array" aca="1" ref="CD43" ca="1">IF(ROW()-ROW(Н4кр)+1&gt;ROWS(Е4кр)-COUNTBLANK(Е4кр)," ",INDIRECT(ADDRESS(SMALL((IF(Е4кр&lt;&gt;" ",ROW(Е4кр),ROW()+ROWS(Е4кр))),ROW()-ROW(Н4кр)+1),COLUMN(Е4кр),4)))</f>
        <v>39</v>
      </c>
      <c r="CF43" s="377"/>
      <c r="CG43" s="377"/>
      <c r="CH43" s="125" t="str">
        <f>IF(CH42&gt;=1,CG42,0)</f>
        <v xml:space="preserve"> </v>
      </c>
      <c r="CI43" t="str">
        <f t="shared" si="12"/>
        <v xml:space="preserve"> </v>
      </c>
      <c r="CJ43" s="51">
        <f t="array" aca="1" ref="CJ43" ca="1">IF(ROW()-ROW(Н5кр)+1&gt;ROWS(Е5кр)-COUNTBLANK(Е5кр)," ",INDIRECT(ADDRESS(SMALL((IF(Е5кр&lt;&gt;" ",ROW(Е5кр),ROW()+ROWS(Е5кр))),ROW()-ROW(Н5кр)+1),COLUMN(Е5кр),4)))</f>
        <v>39</v>
      </c>
      <c r="CL43" s="377"/>
      <c r="CM43" s="377"/>
      <c r="CN43" t="str">
        <f>IF(CN42&gt;=1,CM42,0)</f>
        <v xml:space="preserve"> </v>
      </c>
      <c r="CO43" t="str">
        <f t="shared" si="6"/>
        <v xml:space="preserve"> </v>
      </c>
      <c r="CP43">
        <f t="array" aca="1" ref="CP43" ca="1">IF(ROW()-ROW(Н6кр)+1&gt;ROWS(Е6кр)-COUNTBLANK(Е6кр)," ",INDIRECT(ADDRESS(SMALL((IF(Е6кр&lt;&gt;" ",ROW(Е6кр),ROW()+ROWS(Е6кр))),ROW()-ROW(Н6кр)+1),COLUMN(Е6кр),4)))</f>
        <v>39</v>
      </c>
      <c r="CR43" s="377"/>
      <c r="CS43" s="377"/>
      <c r="CT43" t="str">
        <f>IF(CT42&gt;=1,CS42,0)</f>
        <v xml:space="preserve"> </v>
      </c>
      <c r="CU43" t="str">
        <f t="shared" si="7"/>
        <v xml:space="preserve"> </v>
      </c>
      <c r="CV43">
        <f t="array" aca="1" ref="CV43" ca="1">IF(ROW()-ROW(Н7кр)+1&gt;ROWS(Е7кр)-COUNTBLANK(Е7кр)," ",INDIRECT(ADDRESS(SMALL((IF(Е7кр&lt;&gt;" ",ROW(Е7кр),ROW()+ROWS(Е7кр))),ROW()-ROW(Н7кр)+1),COLUMN(Е7кр),4)))</f>
        <v>39</v>
      </c>
    </row>
    <row r="44" spans="1:100" ht="12" hidden="1" customHeight="1" thickTop="1">
      <c r="A44" s="201"/>
      <c r="B44" s="423">
        <v>19</v>
      </c>
      <c r="C44" s="425" t="e">
        <f>(VLOOKUP(B44,пр.взв!$B$7:$H$76,2,0))</f>
        <v>#N/A</v>
      </c>
      <c r="D44" s="427" t="e">
        <f>(VLOOKUP(B44,пр.взв!$B$7:$H$76,3,0))</f>
        <v>#N/A</v>
      </c>
      <c r="E44" s="429" t="e">
        <f>(VLOOKUP(B44,пр.взв!$B$7:$H$76,5,0))</f>
        <v>#N/A</v>
      </c>
      <c r="F44" s="445">
        <f t="shared" si="41"/>
        <v>0</v>
      </c>
      <c r="G44" s="42"/>
      <c r="H44" s="440"/>
      <c r="I44" s="42"/>
      <c r="J44" s="444" t="str">
        <f t="shared" si="0"/>
        <v xml:space="preserve"> </v>
      </c>
      <c r="K44" s="42"/>
      <c r="L44" s="438" t="str">
        <f t="shared" ref="L44" si="113">IF(J44="Х","Х",IF(K44&lt;2.5," ",IF(K44&gt;=2.5,IF(G44+I44+K44&gt;=6,"Х",IF(AA44&lt;6," "," ")))))</f>
        <v xml:space="preserve"> </v>
      </c>
      <c r="M44" s="42"/>
      <c r="N44" s="440" t="str">
        <f>IF(L44="Х","Х",IF(M44&lt;2.5," ",IF(M44&gt;=2.5,IF(G44+I44+K44+M44&gt;=6,"Х",IF(AA44&lt;6," "," ")))))</f>
        <v xml:space="preserve"> </v>
      </c>
      <c r="O44" s="42"/>
      <c r="P44" s="440" t="str">
        <f>IF(N44="Х","Х",IF(O44&lt;2.5," ",IF(O44&gt;=2.5,IF(G44+I44+K44+M44+O44&gt;=6,"Х",IF(AA44&lt;6," "," ")))))</f>
        <v xml:space="preserve"> </v>
      </c>
      <c r="Q44" s="42"/>
      <c r="R44" s="440" t="str">
        <f>IF(P44="Х","Х",IF(Q44&lt;2.5," ",IF(Q44&gt;=2.5,IF(G44+I44+K44+M44+O44+Q44&gt;=6,"Х",IF(AA44&lt;6," "," ")))))</f>
        <v xml:space="preserve"> </v>
      </c>
      <c r="S44" s="42"/>
      <c r="T44" s="440" t="str">
        <f>IF(R44="Х","Х",IF(S44&lt;2.5," ",IF(S44&gt;=2.5,IF(G44+I44+K44+M44+O44+Q44+S44&gt;=6,"Х",IF(AA44&lt;6," "," ")))))</f>
        <v xml:space="preserve"> </v>
      </c>
      <c r="U44" s="46"/>
      <c r="V44" s="438" t="str">
        <f>IF(T44="А1",$AX$7,IF(T44="Б2",$AX$6,IF(T44="Б1",$AY$7,IF(T44="А2",$AY$6,IF(T44="Х","Х",IF(T44&lt;6," "," "))))))</f>
        <v xml:space="preserve"> </v>
      </c>
      <c r="W44" s="42"/>
      <c r="X44" s="438" t="str">
        <f t="shared" ref="X44" si="114">IF(T44="Х","Х",IF(ISBLANK(W44),"",IF(W44&gt;2.5," ",IF(B44=AZ$6,AZ$7,AZ$6))))</f>
        <v/>
      </c>
      <c r="Y44" s="42"/>
      <c r="Z44" s="467" t="b">
        <f>IF(H44="Х","1",IF(J44="Х","2",IF(L44="Х","3",IF(N44="Х","4",IF(P44="Х","5",IF(R44="Х","6",IF(T44="Х","7",IF(V44="Х","8"))))))))</f>
        <v>0</v>
      </c>
      <c r="AA44" s="418">
        <f>SUM(G44+I44+K44+M44+O44+Q44+S44+U44+W44+Y44)</f>
        <v>0</v>
      </c>
      <c r="AB44" s="431">
        <f t="shared" ref="AB44" si="115">AD44+0</f>
        <v>20576</v>
      </c>
      <c r="AC44" s="396">
        <f>AB44</f>
        <v>20576</v>
      </c>
      <c r="AD44" s="387" t="str">
        <f>COUNTIF(AE$6:AE$119,"&gt;"&amp;AE$6:AE$119)+1&amp;REPT("-"&amp;COUNTIF(AE$6:AE$119,"&gt;="&amp;AE$6:AE$119),COUNTIF(AE$6:AE$119,AE44)&gt;1)</f>
        <v>5-56</v>
      </c>
      <c r="AE44" s="388">
        <f t="shared" si="45"/>
        <v>80</v>
      </c>
      <c r="AF44" s="390" t="str">
        <f>IF(OR(F44="Х",F44="св")," ",IF(AND(G44&gt;=0,G44&lt;3),"1"," "))</f>
        <v>1</v>
      </c>
      <c r="AG44" s="390" t="str">
        <f>IF(OR(H44="Х",H44="св")," ",IF(AND(I44&gt;=0,I44&lt;3),"1"," "))</f>
        <v>1</v>
      </c>
      <c r="AH44" s="390" t="str">
        <f>IF(OR(J44="Х",J44="св")," ",IF(AND(K44&gt;=0,K44&lt;3),"1"," "))</f>
        <v>1</v>
      </c>
      <c r="AI44" s="390" t="str">
        <f>IF(OR(L44="Х",L44="св")," ",IF(AND(M44&gt;=0,M44&lt;3),"1"," "))</f>
        <v>1</v>
      </c>
      <c r="AJ44" s="390" t="str">
        <f>IF(OR(N44="Х",N44="св")," ",IF(AND(O44&gt;=0,O44&lt;3),"1"," "))</f>
        <v>1</v>
      </c>
      <c r="AK44" s="390" t="str">
        <f>IF(OR(P44="Х",P44="св")," ",IF(AND(Q44&gt;=0,Q44&lt;3),"1"," "))</f>
        <v>1</v>
      </c>
      <c r="AL44" s="390" t="str">
        <f>IF(OR(R44="Х",R44="св")," ",IF(AND(S44&gt;=0,S44&lt;3),"1"," "))</f>
        <v>1</v>
      </c>
      <c r="AM44" s="390" t="str">
        <f>IF(OR(T44="Х",T44="св")," ",IF(AND(U44&gt;=0,U44&lt;3),"1"," "))</f>
        <v>1</v>
      </c>
      <c r="AN44" s="391">
        <f>COUNTIF(AF44:AM45,1)</f>
        <v>8</v>
      </c>
      <c r="AO44" s="393">
        <f>AE44-AA44</f>
        <v>80</v>
      </c>
      <c r="AP44" s="394">
        <f t="shared" si="10"/>
        <v>0</v>
      </c>
      <c r="AQ44" s="387" t="str">
        <f>COUNTIF(AE$6:AE$119,"&gt;"&amp;AE$6:AE$119)+1&amp;REPT("-"&amp;COUNTIF(AE$6:AE$119,"&gt;="&amp;AE$6:AE$119),COUNTIF(AE$6:AE$119,AE44)&gt;1)</f>
        <v>5-56</v>
      </c>
      <c r="AR44" s="395"/>
      <c r="AS44" s="183"/>
      <c r="AT44" s="183"/>
      <c r="AU44" s="183"/>
      <c r="AV44" s="386">
        <f t="shared" si="65"/>
        <v>19</v>
      </c>
      <c r="AW44" s="416"/>
      <c r="AX44" s="417"/>
      <c r="AY44" s="123"/>
      <c r="AZ44" s="19"/>
      <c r="BA44" s="2"/>
      <c r="BB44" s="2"/>
      <c r="BC44" s="417"/>
      <c r="BD44" s="417"/>
      <c r="BE44" s="123"/>
      <c r="BF44" s="2"/>
      <c r="BG44" s="2"/>
      <c r="BU44" s="377">
        <f>IF(J44="х"," ",B44)</f>
        <v>19</v>
      </c>
      <c r="BV44" s="377">
        <f>IF(L44="х"," ",B44)</f>
        <v>19</v>
      </c>
      <c r="BW44" s="377" t="str">
        <f>IF(BV44=" "," ",L44)</f>
        <v xml:space="preserve"> </v>
      </c>
      <c r="BX44" s="377" t="str">
        <f>IF(BU44=" "," ",J44)</f>
        <v xml:space="preserve"> </v>
      </c>
      <c r="BY44" s="61">
        <f>IF(BU44&lt;BX44,BU44,0)</f>
        <v>19</v>
      </c>
      <c r="BZ44" s="61">
        <f t="shared" si="84"/>
        <v>19</v>
      </c>
      <c r="CA44" s="124">
        <f t="array" aca="1" ref="CA4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40</v>
      </c>
      <c r="CB44">
        <f>IF(BV44&lt;BW44,BV44,0)</f>
        <v>19</v>
      </c>
      <c r="CC44" s="125">
        <f t="shared" si="5"/>
        <v>19</v>
      </c>
      <c r="CD44" s="51">
        <f t="array" aca="1" ref="CD44" ca="1">IF(ROW()-ROW(Н4кр)+1&gt;ROWS(Е4кр)-COUNTBLANK(Е4кр)," ",INDIRECT(ADDRESS(SMALL((IF(Е4кр&lt;&gt;" ",ROW(Е4кр),ROW()+ROWS(Е4кр))),ROW()-ROW(Н4кр)+1),COLUMN(Е4кр),4)))</f>
        <v>40</v>
      </c>
      <c r="CF44" s="377">
        <f>IF(N44="х"," ",B44)</f>
        <v>19</v>
      </c>
      <c r="CG44" s="377" t="str">
        <f>IF(CF44=" "," ",N44)</f>
        <v xml:space="preserve"> </v>
      </c>
      <c r="CH44" s="125">
        <f>IF(CF44&lt;CG44,CF44,0)</f>
        <v>19</v>
      </c>
      <c r="CI44">
        <f t="shared" si="12"/>
        <v>19</v>
      </c>
      <c r="CJ44" s="51">
        <f t="array" aca="1" ref="CJ44" ca="1">IF(ROW()-ROW(Н5кр)+1&gt;ROWS(Е5кр)-COUNTBLANK(Е5кр)," ",INDIRECT(ADDRESS(SMALL((IF(Е5кр&lt;&gt;" ",ROW(Е5кр),ROW()+ROWS(Е5кр))),ROW()-ROW(Н5кр)+1),COLUMN(Е5кр),4)))</f>
        <v>40</v>
      </c>
      <c r="CL44" s="377">
        <f>IF(P44="х"," ",B44)</f>
        <v>19</v>
      </c>
      <c r="CM44" s="377" t="str">
        <f>IF(CL44=" "," ",P44)</f>
        <v xml:space="preserve"> </v>
      </c>
      <c r="CN44">
        <f>IF(CL44&lt;CM44,CL44,0)</f>
        <v>19</v>
      </c>
      <c r="CO44">
        <f t="shared" si="6"/>
        <v>19</v>
      </c>
      <c r="CP44">
        <f t="array" aca="1" ref="CP44" ca="1">IF(ROW()-ROW(Н6кр)+1&gt;ROWS(Е6кр)-COUNTBLANK(Е6кр)," ",INDIRECT(ADDRESS(SMALL((IF(Е6кр&lt;&gt;" ",ROW(Е6кр),ROW()+ROWS(Е6кр))),ROW()-ROW(Н6кр)+1),COLUMN(Е6кр),4)))</f>
        <v>40</v>
      </c>
      <c r="CR44" s="377">
        <f t="shared" ref="CR44" si="116">IF(R44="х"," ",B44)</f>
        <v>19</v>
      </c>
      <c r="CS44" s="377" t="str">
        <f t="shared" ref="CS44" si="117">IF(CR44=" "," ",R44)</f>
        <v xml:space="preserve"> </v>
      </c>
      <c r="CT44">
        <f>IF(CR44&lt;CS44,CR44,0)</f>
        <v>19</v>
      </c>
      <c r="CU44">
        <f t="shared" si="7"/>
        <v>19</v>
      </c>
      <c r="CV44">
        <f t="array" aca="1" ref="CV44" ca="1">IF(ROW()-ROW(Н7кр)+1&gt;ROWS(Е7кр)-COUNTBLANK(Е7кр)," ",INDIRECT(ADDRESS(SMALL((IF(Е7кр&lt;&gt;" ",ROW(Е7кр),ROW()+ROWS(Е7кр))),ROW()-ROW(Н7кр)+1),COLUMN(Е7кр),4)))</f>
        <v>40</v>
      </c>
    </row>
    <row r="45" spans="1:100" ht="12" hidden="1" customHeight="1" thickBot="1">
      <c r="A45" s="201"/>
      <c r="B45" s="424"/>
      <c r="C45" s="426"/>
      <c r="D45" s="428"/>
      <c r="E45" s="430"/>
      <c r="F45" s="442"/>
      <c r="G45" s="44"/>
      <c r="H45" s="439"/>
      <c r="I45" s="44"/>
      <c r="J45" s="439"/>
      <c r="K45" s="44"/>
      <c r="L45" s="439"/>
      <c r="M45" s="44"/>
      <c r="N45" s="439"/>
      <c r="O45" s="44"/>
      <c r="P45" s="439"/>
      <c r="Q45" s="44"/>
      <c r="R45" s="439"/>
      <c r="S45" s="44"/>
      <c r="T45" s="439"/>
      <c r="U45" s="47"/>
      <c r="V45" s="439"/>
      <c r="W45" s="44"/>
      <c r="X45" s="439"/>
      <c r="Y45" s="44"/>
      <c r="Z45" s="422"/>
      <c r="AA45" s="419"/>
      <c r="AB45" s="432"/>
      <c r="AC45" s="396"/>
      <c r="AD45" s="387"/>
      <c r="AE45" s="389"/>
      <c r="AF45" s="390"/>
      <c r="AG45" s="390"/>
      <c r="AH45" s="390"/>
      <c r="AI45" s="390"/>
      <c r="AJ45" s="390"/>
      <c r="AK45" s="390"/>
      <c r="AL45" s="390"/>
      <c r="AM45" s="390"/>
      <c r="AN45" s="392"/>
      <c r="AO45" s="387"/>
      <c r="AP45" s="394"/>
      <c r="AQ45" s="387"/>
      <c r="AR45" s="395"/>
      <c r="AS45" s="183"/>
      <c r="AT45" s="183"/>
      <c r="AU45" s="183"/>
      <c r="AV45" s="386"/>
      <c r="AW45" s="19"/>
      <c r="AX45" s="19"/>
      <c r="AY45" s="19"/>
      <c r="AZ45" s="19"/>
      <c r="BA45" s="2"/>
      <c r="BB45" s="2"/>
      <c r="BC45" s="2"/>
      <c r="BD45" s="2"/>
      <c r="BE45" s="2"/>
      <c r="BF45" s="2"/>
      <c r="BG45" s="2"/>
      <c r="BU45" s="377"/>
      <c r="BV45" s="377"/>
      <c r="BW45" s="377"/>
      <c r="BX45" s="377"/>
      <c r="BY45" s="61" t="str">
        <f>IF(BY44&gt;=1,BX44,0)</f>
        <v xml:space="preserve"> </v>
      </c>
      <c r="BZ45" s="61" t="str">
        <f t="shared" si="84"/>
        <v xml:space="preserve"> </v>
      </c>
      <c r="CA45" s="124">
        <f t="array" aca="1" ref="CA4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41</v>
      </c>
      <c r="CB45" t="str">
        <f>IF(CB44&gt;=1,BW44,0)</f>
        <v xml:space="preserve"> </v>
      </c>
      <c r="CC45" s="125" t="str">
        <f t="shared" si="5"/>
        <v xml:space="preserve"> </v>
      </c>
      <c r="CD45" s="51">
        <f t="array" aca="1" ref="CD45" ca="1">IF(ROW()-ROW(Н4кр)+1&gt;ROWS(Е4кр)-COUNTBLANK(Е4кр)," ",INDIRECT(ADDRESS(SMALL((IF(Е4кр&lt;&gt;" ",ROW(Е4кр),ROW()+ROWS(Е4кр))),ROW()-ROW(Н4кр)+1),COLUMN(Е4кр),4)))</f>
        <v>41</v>
      </c>
      <c r="CF45" s="377"/>
      <c r="CG45" s="377"/>
      <c r="CH45" s="125" t="str">
        <f>IF(CH44&gt;=1,CG44,0)</f>
        <v xml:space="preserve"> </v>
      </c>
      <c r="CI45" t="str">
        <f t="shared" si="12"/>
        <v xml:space="preserve"> </v>
      </c>
      <c r="CJ45" s="51">
        <f t="array" aca="1" ref="CJ45" ca="1">IF(ROW()-ROW(Н5кр)+1&gt;ROWS(Е5кр)-COUNTBLANK(Е5кр)," ",INDIRECT(ADDRESS(SMALL((IF(Е5кр&lt;&gt;" ",ROW(Е5кр),ROW()+ROWS(Е5кр))),ROW()-ROW(Н5кр)+1),COLUMN(Е5кр),4)))</f>
        <v>41</v>
      </c>
      <c r="CL45" s="377"/>
      <c r="CM45" s="377"/>
      <c r="CN45" t="str">
        <f>IF(CN44&gt;=1,CM44,0)</f>
        <v xml:space="preserve"> </v>
      </c>
      <c r="CO45" t="str">
        <f t="shared" si="6"/>
        <v xml:space="preserve"> </v>
      </c>
      <c r="CP45">
        <f t="array" aca="1" ref="CP45" ca="1">IF(ROW()-ROW(Н6кр)+1&gt;ROWS(Е6кр)-COUNTBLANK(Е6кр)," ",INDIRECT(ADDRESS(SMALL((IF(Е6кр&lt;&gt;" ",ROW(Е6кр),ROW()+ROWS(Е6кр))),ROW()-ROW(Н6кр)+1),COLUMN(Е6кр),4)))</f>
        <v>41</v>
      </c>
      <c r="CR45" s="377"/>
      <c r="CS45" s="377"/>
      <c r="CT45" t="str">
        <f>IF(CT44&gt;=1,CS44,0)</f>
        <v xml:space="preserve"> </v>
      </c>
      <c r="CU45" t="str">
        <f t="shared" si="7"/>
        <v xml:space="preserve"> </v>
      </c>
      <c r="CV45">
        <f t="array" aca="1" ref="CV45" ca="1">IF(ROW()-ROW(Н7кр)+1&gt;ROWS(Е7кр)-COUNTBLANK(Е7кр)," ",INDIRECT(ADDRESS(SMALL((IF(Е7кр&lt;&gt;" ",ROW(Е7кр),ROW()+ROWS(Е7кр))),ROW()-ROW(Н7кр)+1),COLUMN(Е7кр),4)))</f>
        <v>41</v>
      </c>
    </row>
    <row r="46" spans="1:100" ht="12" hidden="1" customHeight="1" thickTop="1">
      <c r="A46" s="201"/>
      <c r="B46" s="423">
        <v>20</v>
      </c>
      <c r="C46" s="425" t="e">
        <f>(VLOOKUP(B46,пр.взв!$B$7:$H$76,2,0))</f>
        <v>#N/A</v>
      </c>
      <c r="D46" s="427" t="e">
        <f>(VLOOKUP(B46,пр.взв!$B$7:$H$76,3,0))</f>
        <v>#N/A</v>
      </c>
      <c r="E46" s="429" t="e">
        <f>(VLOOKUP(B46,пр.взв!$B$7:$H$76,5,0))</f>
        <v>#N/A</v>
      </c>
      <c r="F46" s="443">
        <f t="shared" si="50"/>
        <v>0</v>
      </c>
      <c r="G46" s="42"/>
      <c r="H46" s="440"/>
      <c r="I46" s="42"/>
      <c r="J46" s="444" t="str">
        <f t="shared" si="0"/>
        <v xml:space="preserve"> </v>
      </c>
      <c r="K46" s="42"/>
      <c r="L46" s="438" t="str">
        <f t="shared" ref="L46" si="118">IF(J46="Х","Х",IF(K46&lt;2.5," ",IF(K46&gt;=2.5,IF(G46+I46+K46&gt;=6,"Х",IF(AA46&lt;6," "," ")))))</f>
        <v xml:space="preserve"> </v>
      </c>
      <c r="M46" s="42"/>
      <c r="N46" s="440" t="str">
        <f>IF(L46="Х","Х",IF(M46&lt;2.5," ",IF(M46&gt;=2.5,IF(G46+I46+K46+M46&gt;=6,"Х",IF(AA46&lt;6," "," ")))))</f>
        <v xml:space="preserve"> </v>
      </c>
      <c r="O46" s="42"/>
      <c r="P46" s="440" t="str">
        <f>IF(N46="Х","Х",IF(O46&lt;2.5," ",IF(O46&gt;=2.5,IF(G46+I46+K46+M46+O46&gt;=6,"Х",IF(AA46&lt;6," "," ")))))</f>
        <v xml:space="preserve"> </v>
      </c>
      <c r="Q46" s="42"/>
      <c r="R46" s="440" t="str">
        <f>IF(P46="Х","Х",IF(Q46&lt;2.5," ",IF(Q46&gt;=2.5,IF(G46+I46+K46+M46+O46+Q46&gt;=6,"Х",IF(AA46&lt;6," "," ")))))</f>
        <v xml:space="preserve"> </v>
      </c>
      <c r="S46" s="42"/>
      <c r="T46" s="440" t="str">
        <f>IF(R46="Х","Х",IF(S46&lt;2.5," ",IF(S46&gt;=2.5,IF(G46+I46+K46+M46+O46+Q46+S46&gt;=6,"Х",IF(AA46&lt;6," "," ")))))</f>
        <v xml:space="preserve"> </v>
      </c>
      <c r="U46" s="46"/>
      <c r="V46" s="438" t="str">
        <f>IF(T46="А1",$AX$7,IF(T46="Б2",$AX$6,IF(T46="Б1",$AY$7,IF(T46="А2",$AY$6,IF(T46="Х","Х",IF(T46&lt;6," "," "))))))</f>
        <v xml:space="preserve"> </v>
      </c>
      <c r="W46" s="42"/>
      <c r="X46" s="438" t="str">
        <f t="shared" ref="X46" si="119">IF(T46="Х","Х",IF(ISBLANK(W46),"",IF(W46&gt;2.5," ",IF(B46=AZ$6,AZ$7,AZ$6))))</f>
        <v/>
      </c>
      <c r="Y46" s="42"/>
      <c r="Z46" s="467" t="b">
        <f>IF(H46="Х","1",IF(J46="Х","2",IF(L46="Х","3",IF(N46="Х","4",IF(P46="Х","5",IF(R46="Х","6",IF(T46="Х","7",IF(V46="Х","8"))))))))</f>
        <v>0</v>
      </c>
      <c r="AA46" s="418">
        <f>SUM(G46+I46+K46+M46+O46+Q46+S46+U46+W46+Y46)</f>
        <v>0</v>
      </c>
      <c r="AB46" s="431">
        <f t="shared" ref="AB46" si="120">AD46+0</f>
        <v>20576</v>
      </c>
      <c r="AC46" s="386">
        <f>AB46</f>
        <v>20576</v>
      </c>
      <c r="AD46" s="387" t="str">
        <f>COUNTIF(AE$6:AE$119,"&gt;"&amp;AE$6:AE$119)+1&amp;REPT("-"&amp;COUNTIF(AE$6:AE$119,"&gt;="&amp;AE$6:AE$119),COUNTIF(AE$6:AE$119,AE46)&gt;1)</f>
        <v>5-56</v>
      </c>
      <c r="AE46" s="388">
        <f t="shared" si="45"/>
        <v>80</v>
      </c>
      <c r="AF46" s="390" t="str">
        <f>IF(OR(F46="Х",F46="св")," ",IF(AND(G46&gt;=0,G46&lt;3),"1"," "))</f>
        <v>1</v>
      </c>
      <c r="AG46" s="390" t="str">
        <f>IF(OR(H46="Х",H46="св")," ",IF(AND(I46&gt;=0,I46&lt;3),"1"," "))</f>
        <v>1</v>
      </c>
      <c r="AH46" s="390" t="str">
        <f>IF(OR(J46="Х",J46="св")," ",IF(AND(K46&gt;=0,K46&lt;3),"1"," "))</f>
        <v>1</v>
      </c>
      <c r="AI46" s="390" t="str">
        <f>IF(OR(L46="Х",L46="св")," ",IF(AND(M46&gt;=0,M46&lt;3),"1"," "))</f>
        <v>1</v>
      </c>
      <c r="AJ46" s="390" t="str">
        <f>IF(OR(N46="Х",N46="св")," ",IF(AND(O46&gt;=0,O46&lt;3),"1"," "))</f>
        <v>1</v>
      </c>
      <c r="AK46" s="390" t="str">
        <f>IF(OR(P46="Х",P46="св")," ",IF(AND(Q46&gt;=0,Q46&lt;3),"1"," "))</f>
        <v>1</v>
      </c>
      <c r="AL46" s="390" t="str">
        <f>IF(OR(R46="Х",R46="св")," ",IF(AND(S46&gt;=0,S46&lt;3),"1"," "))</f>
        <v>1</v>
      </c>
      <c r="AM46" s="390" t="str">
        <f>IF(OR(T46="Х",T46="св")," ",IF(AND(U46&gt;=0,U46&lt;3),"1"," "))</f>
        <v>1</v>
      </c>
      <c r="AN46" s="391">
        <f>COUNTIF(AF46:AM47,1)</f>
        <v>8</v>
      </c>
      <c r="AO46" s="393">
        <f>AE46-AA46</f>
        <v>80</v>
      </c>
      <c r="AP46" s="394">
        <f t="shared" si="10"/>
        <v>0</v>
      </c>
      <c r="AQ46" s="387" t="str">
        <f>COUNTIF(AE$6:AE$119,"&gt;"&amp;AE$6:AE$119)+1&amp;REPT("-"&amp;COUNTIF(AE$6:AE$119,"&gt;="&amp;AE$6:AE$119),COUNTIF(AE$6:AE$119,AE46)&gt;1)</f>
        <v>5-56</v>
      </c>
      <c r="AR46" s="395"/>
      <c r="AS46" s="183"/>
      <c r="AT46" s="183"/>
      <c r="AU46" s="183"/>
      <c r="AV46" s="386">
        <f t="shared" si="65"/>
        <v>20</v>
      </c>
      <c r="AW46" s="19"/>
      <c r="AX46" s="19"/>
      <c r="AY46" s="19"/>
      <c r="AZ46" s="19"/>
      <c r="BA46" s="2"/>
      <c r="BB46" s="2"/>
      <c r="BC46" s="2"/>
      <c r="BD46" s="2"/>
      <c r="BE46" s="2"/>
      <c r="BF46" s="2"/>
      <c r="BG46" s="2"/>
      <c r="BU46" s="377">
        <f>IF(J46="х"," ",B46)</f>
        <v>20</v>
      </c>
      <c r="BV46" s="377">
        <f>IF(L46="х"," ",B46)</f>
        <v>20</v>
      </c>
      <c r="BW46" s="377" t="str">
        <f>IF(BV46=" "," ",L46)</f>
        <v xml:space="preserve"> </v>
      </c>
      <c r="BX46" s="377" t="str">
        <f>IF(BU46=" "," ",J46)</f>
        <v xml:space="preserve"> </v>
      </c>
      <c r="BY46" s="61">
        <f>IF(BU46&lt;BX46,BU46,0)</f>
        <v>20</v>
      </c>
      <c r="BZ46" s="61">
        <f t="shared" si="84"/>
        <v>20</v>
      </c>
      <c r="CA46" s="124">
        <f t="array" aca="1" ref="CA4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42</v>
      </c>
      <c r="CB46">
        <f>IF(BV46&lt;BW46,BV46,0)</f>
        <v>20</v>
      </c>
      <c r="CC46" s="125">
        <f t="shared" si="5"/>
        <v>20</v>
      </c>
      <c r="CD46" s="51">
        <f t="array" aca="1" ref="CD46" ca="1">IF(ROW()-ROW(Н4кр)+1&gt;ROWS(Е4кр)-COUNTBLANK(Е4кр)," ",INDIRECT(ADDRESS(SMALL((IF(Е4кр&lt;&gt;" ",ROW(Е4кр),ROW()+ROWS(Е4кр))),ROW()-ROW(Н4кр)+1),COLUMN(Е4кр),4)))</f>
        <v>42</v>
      </c>
      <c r="CF46" s="377">
        <f>IF(N46="х"," ",B46)</f>
        <v>20</v>
      </c>
      <c r="CG46" s="377" t="str">
        <f>IF(CF46=" "," ",N46)</f>
        <v xml:space="preserve"> </v>
      </c>
      <c r="CH46" s="125">
        <f>IF(CF46&lt;CG46,CF46,0)</f>
        <v>20</v>
      </c>
      <c r="CI46">
        <f t="shared" si="12"/>
        <v>20</v>
      </c>
      <c r="CJ46" s="51">
        <f t="array" aca="1" ref="CJ46" ca="1">IF(ROW()-ROW(Н5кр)+1&gt;ROWS(Е5кр)-COUNTBLANK(Е5кр)," ",INDIRECT(ADDRESS(SMALL((IF(Е5кр&lt;&gt;" ",ROW(Е5кр),ROW()+ROWS(Е5кр))),ROW()-ROW(Н5кр)+1),COLUMN(Е5кр),4)))</f>
        <v>42</v>
      </c>
      <c r="CL46" s="377">
        <f>IF(P46="х"," ",B46)</f>
        <v>20</v>
      </c>
      <c r="CM46" s="377" t="str">
        <f>IF(CL46=" "," ",P46)</f>
        <v xml:space="preserve"> </v>
      </c>
      <c r="CN46">
        <f>IF(CL46&lt;CM46,CL46,0)</f>
        <v>20</v>
      </c>
      <c r="CO46">
        <f t="shared" si="6"/>
        <v>20</v>
      </c>
      <c r="CP46">
        <f t="array" aca="1" ref="CP46" ca="1">IF(ROW()-ROW(Н6кр)+1&gt;ROWS(Е6кр)-COUNTBLANK(Е6кр)," ",INDIRECT(ADDRESS(SMALL((IF(Е6кр&lt;&gt;" ",ROW(Е6кр),ROW()+ROWS(Е6кр))),ROW()-ROW(Н6кр)+1),COLUMN(Е6кр),4)))</f>
        <v>42</v>
      </c>
      <c r="CR46" s="377">
        <f t="shared" ref="CR46" si="121">IF(R46="х"," ",B46)</f>
        <v>20</v>
      </c>
      <c r="CS46" s="377" t="str">
        <f t="shared" ref="CS46" si="122">IF(CR46=" "," ",R46)</f>
        <v xml:space="preserve"> </v>
      </c>
      <c r="CT46">
        <f>IF(CR46&lt;CS46,CR46,0)</f>
        <v>20</v>
      </c>
      <c r="CU46">
        <f t="shared" si="7"/>
        <v>20</v>
      </c>
      <c r="CV46">
        <f t="array" aca="1" ref="CV46" ca="1">IF(ROW()-ROW(Н7кр)+1&gt;ROWS(Е7кр)-COUNTBLANK(Е7кр)," ",INDIRECT(ADDRESS(SMALL((IF(Е7кр&lt;&gt;" ",ROW(Е7кр),ROW()+ROWS(Е7кр))),ROW()-ROW(Н7кр)+1),COLUMN(Е7кр),4)))</f>
        <v>42</v>
      </c>
    </row>
    <row r="47" spans="1:100" ht="12" hidden="1" customHeight="1" thickBot="1">
      <c r="A47" s="201"/>
      <c r="B47" s="424"/>
      <c r="C47" s="426"/>
      <c r="D47" s="428"/>
      <c r="E47" s="430"/>
      <c r="F47" s="442"/>
      <c r="G47" s="44"/>
      <c r="H47" s="439"/>
      <c r="I47" s="44"/>
      <c r="J47" s="439"/>
      <c r="K47" s="44"/>
      <c r="L47" s="439"/>
      <c r="M47" s="44"/>
      <c r="N47" s="439"/>
      <c r="O47" s="44"/>
      <c r="P47" s="439"/>
      <c r="Q47" s="44"/>
      <c r="R47" s="439"/>
      <c r="S47" s="44"/>
      <c r="T47" s="439"/>
      <c r="U47" s="47"/>
      <c r="V47" s="439"/>
      <c r="W47" s="44"/>
      <c r="X47" s="439"/>
      <c r="Y47" s="44"/>
      <c r="Z47" s="422"/>
      <c r="AA47" s="419"/>
      <c r="AB47" s="432"/>
      <c r="AC47" s="386"/>
      <c r="AD47" s="387"/>
      <c r="AE47" s="389"/>
      <c r="AF47" s="390"/>
      <c r="AG47" s="390"/>
      <c r="AH47" s="390"/>
      <c r="AI47" s="390"/>
      <c r="AJ47" s="390"/>
      <c r="AK47" s="390"/>
      <c r="AL47" s="390"/>
      <c r="AM47" s="390"/>
      <c r="AN47" s="392"/>
      <c r="AO47" s="387"/>
      <c r="AP47" s="394"/>
      <c r="AQ47" s="387"/>
      <c r="AR47" s="395"/>
      <c r="AS47" s="183"/>
      <c r="AT47" s="183"/>
      <c r="AU47" s="183"/>
      <c r="AV47" s="386"/>
      <c r="AW47" s="416"/>
      <c r="AX47" s="417"/>
      <c r="AY47" s="123"/>
      <c r="AZ47" s="19"/>
      <c r="BA47" s="2"/>
      <c r="BB47" s="2"/>
      <c r="BC47" s="417"/>
      <c r="BD47" s="417"/>
      <c r="BE47" s="123"/>
      <c r="BF47" s="2"/>
      <c r="BG47" s="2"/>
      <c r="BU47" s="377"/>
      <c r="BV47" s="377"/>
      <c r="BW47" s="377"/>
      <c r="BX47" s="377"/>
      <c r="BY47" s="61" t="str">
        <f>IF(BY46&gt;=1,BX46,0)</f>
        <v xml:space="preserve"> </v>
      </c>
      <c r="BZ47" s="61" t="str">
        <f t="shared" si="84"/>
        <v xml:space="preserve"> </v>
      </c>
      <c r="CA47" s="124">
        <f t="array" aca="1" ref="CA4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43</v>
      </c>
      <c r="CB47" t="str">
        <f>IF(CB46&gt;=1,BW46,0)</f>
        <v xml:space="preserve"> </v>
      </c>
      <c r="CC47" s="125" t="str">
        <f t="shared" si="5"/>
        <v xml:space="preserve"> </v>
      </c>
      <c r="CD47" s="51">
        <f t="array" aca="1" ref="CD47" ca="1">IF(ROW()-ROW(Н4кр)+1&gt;ROWS(Е4кр)-COUNTBLANK(Е4кр)," ",INDIRECT(ADDRESS(SMALL((IF(Е4кр&lt;&gt;" ",ROW(Е4кр),ROW()+ROWS(Е4кр))),ROW()-ROW(Н4кр)+1),COLUMN(Е4кр),4)))</f>
        <v>43</v>
      </c>
      <c r="CF47" s="377"/>
      <c r="CG47" s="377"/>
      <c r="CH47" s="125" t="str">
        <f>IF(CH46&gt;=1,CG46,0)</f>
        <v xml:space="preserve"> </v>
      </c>
      <c r="CI47" t="str">
        <f t="shared" si="12"/>
        <v xml:space="preserve"> </v>
      </c>
      <c r="CJ47" s="51">
        <f t="array" aca="1" ref="CJ47" ca="1">IF(ROW()-ROW(Н5кр)+1&gt;ROWS(Е5кр)-COUNTBLANK(Е5кр)," ",INDIRECT(ADDRESS(SMALL((IF(Е5кр&lt;&gt;" ",ROW(Е5кр),ROW()+ROWS(Е5кр))),ROW()-ROW(Н5кр)+1),COLUMN(Е5кр),4)))</f>
        <v>43</v>
      </c>
      <c r="CL47" s="377"/>
      <c r="CM47" s="377"/>
      <c r="CN47" t="str">
        <f>IF(CN46&gt;=1,CM46,0)</f>
        <v xml:space="preserve"> </v>
      </c>
      <c r="CO47" t="str">
        <f t="shared" si="6"/>
        <v xml:space="preserve"> </v>
      </c>
      <c r="CP47">
        <f t="array" aca="1" ref="CP47" ca="1">IF(ROW()-ROW(Н6кр)+1&gt;ROWS(Е6кр)-COUNTBLANK(Е6кр)," ",INDIRECT(ADDRESS(SMALL((IF(Е6кр&lt;&gt;" ",ROW(Е6кр),ROW()+ROWS(Е6кр))),ROW()-ROW(Н6кр)+1),COLUMN(Е6кр),4)))</f>
        <v>43</v>
      </c>
      <c r="CR47" s="377"/>
      <c r="CS47" s="377"/>
      <c r="CT47" t="str">
        <f>IF(CT46&gt;=1,CS46,0)</f>
        <v xml:space="preserve"> </v>
      </c>
      <c r="CU47" t="str">
        <f t="shared" si="7"/>
        <v xml:space="preserve"> </v>
      </c>
      <c r="CV47">
        <f t="array" aca="1" ref="CV47" ca="1">IF(ROW()-ROW(Н7кр)+1&gt;ROWS(Е7кр)-COUNTBLANK(Е7кр)," ",INDIRECT(ADDRESS(SMALL((IF(Е7кр&lt;&gt;" ",ROW(Е7кр),ROW()+ROWS(Е7кр))),ROW()-ROW(Н7кр)+1),COLUMN(Е7кр),4)))</f>
        <v>43</v>
      </c>
    </row>
    <row r="48" spans="1:100" ht="12" hidden="1" customHeight="1" thickTop="1">
      <c r="A48" s="201"/>
      <c r="B48" s="435">
        <v>21</v>
      </c>
      <c r="C48" s="425" t="e">
        <f>(VLOOKUP(B48,пр.взв!$B$7:$H$76,2,0))</f>
        <v>#N/A</v>
      </c>
      <c r="D48" s="427" t="e">
        <f>(VLOOKUP(B48,пр.взв!$B$7:$H$76,3,0))</f>
        <v>#N/A</v>
      </c>
      <c r="E48" s="429" t="e">
        <f>(VLOOKUP(B48,пр.взв!$B$7:$H$76,5,0))</f>
        <v>#N/A</v>
      </c>
      <c r="F48" s="445">
        <f t="shared" ref="F48" si="123">IF(ISERROR(C48),0,B50)</f>
        <v>0</v>
      </c>
      <c r="G48" s="42"/>
      <c r="H48" s="440"/>
      <c r="I48" s="42"/>
      <c r="J48" s="444" t="str">
        <f t="shared" si="0"/>
        <v xml:space="preserve"> </v>
      </c>
      <c r="K48" s="42"/>
      <c r="L48" s="438" t="str">
        <f t="shared" ref="L48" si="124">IF(J48="Х","Х",IF(K48&lt;2.5," ",IF(K48&gt;=2.5,IF(G48+I48+K48&gt;=6,"Х",IF(AA48&lt;6," "," ")))))</f>
        <v xml:space="preserve"> </v>
      </c>
      <c r="M48" s="42"/>
      <c r="N48" s="440" t="str">
        <f>IF(L48="Х","Х",IF(M48&lt;2.5," ",IF(M48&gt;=2.5,IF(G48+I48+K48+M48&gt;=6,"Х",IF(AA48&lt;6," "," ")))))</f>
        <v xml:space="preserve"> </v>
      </c>
      <c r="O48" s="42"/>
      <c r="P48" s="440" t="str">
        <f>IF(N48="Х","Х",IF(O48&lt;2.5," ",IF(O48&gt;=2.5,IF(G48+I48+K48+M48+O48&gt;=6,"Х",IF(AA48&lt;6," "," ")))))</f>
        <v xml:space="preserve"> </v>
      </c>
      <c r="Q48" s="42"/>
      <c r="R48" s="440" t="str">
        <f>IF(P48="Х","Х",IF(Q48&lt;2.5," ",IF(Q48&gt;=2.5,IF(G48+I48+K48+M48+O48+Q48&gt;=6,"Х",IF(AA48&lt;6," "," ")))))</f>
        <v xml:space="preserve"> </v>
      </c>
      <c r="S48" s="42"/>
      <c r="T48" s="440" t="str">
        <f>IF(R48="Х","Х",IF(S48&lt;2.5," ",IF(S48&gt;=2.5,IF(G48+I48+K48+M48+O48+Q48+S48&gt;=6,"Х",IF(AA48&lt;6," "," ")))))</f>
        <v xml:space="preserve"> </v>
      </c>
      <c r="U48" s="46"/>
      <c r="V48" s="438" t="str">
        <f>IF(T48="А1",$AX$7,IF(T48="Б2",$AX$6,IF(T48="Б1",$AY$7,IF(T48="А2",$AY$6,IF(T48="Х","Х",IF(T48&lt;6," "," "))))))</f>
        <v xml:space="preserve"> </v>
      </c>
      <c r="W48" s="42"/>
      <c r="X48" s="438" t="str">
        <f t="shared" ref="X48" si="125">IF(T48="Х","Х",IF(ISBLANK(W48),"",IF(W48&gt;2.5," ",IF(B48=AZ$6,AZ$7,AZ$6))))</f>
        <v/>
      </c>
      <c r="Y48" s="42"/>
      <c r="Z48" s="467" t="b">
        <f>IF(H48="Х","1",IF(J48="Х","2",IF(L48="Х","3",IF(N48="Х","4",IF(P48="Х","5",IF(R48="Х","6",IF(T48="Х","7",IF(V48="Х","8"))))))))</f>
        <v>0</v>
      </c>
      <c r="AA48" s="418">
        <f>SUM(G48+I48+K48+M48+O48+Q48+S48+U48+W48+Y48)</f>
        <v>0</v>
      </c>
      <c r="AB48" s="431">
        <f t="shared" ref="AB48" si="126">AD48+0</f>
        <v>20576</v>
      </c>
      <c r="AC48" s="386">
        <f>AB48</f>
        <v>20576</v>
      </c>
      <c r="AD48" s="387" t="str">
        <f>COUNTIF(AE$6:AE$119,"&gt;"&amp;AE$6:AE$119)+1&amp;REPT("-"&amp;COUNTIF(AE$6:AE$119,"&gt;="&amp;AE$6:AE$119),COUNTIF(AE$6:AE$119,AE48)&gt;1)</f>
        <v>5-56</v>
      </c>
      <c r="AE48" s="388">
        <f t="shared" si="45"/>
        <v>80</v>
      </c>
      <c r="AF48" s="390" t="str">
        <f>IF(OR(F48="Х",F48="св")," ",IF(AND(G48&gt;=0,G48&lt;3),"1"," "))</f>
        <v>1</v>
      </c>
      <c r="AG48" s="390" t="str">
        <f>IF(OR(H48="Х",H48="св")," ",IF(AND(I48&gt;=0,I48&lt;3),"1"," "))</f>
        <v>1</v>
      </c>
      <c r="AH48" s="390" t="str">
        <f>IF(OR(J48="Х",J48="св")," ",IF(AND(K48&gt;=0,K48&lt;3),"1"," "))</f>
        <v>1</v>
      </c>
      <c r="AI48" s="390" t="str">
        <f>IF(OR(L48="Х",L48="св")," ",IF(AND(M48&gt;=0,M48&lt;3),"1"," "))</f>
        <v>1</v>
      </c>
      <c r="AJ48" s="390" t="str">
        <f>IF(OR(N48="Х",N48="св")," ",IF(AND(O48&gt;=0,O48&lt;3),"1"," "))</f>
        <v>1</v>
      </c>
      <c r="AK48" s="390" t="str">
        <f>IF(OR(P48="Х",P48="св")," ",IF(AND(Q48&gt;=0,Q48&lt;3),"1"," "))</f>
        <v>1</v>
      </c>
      <c r="AL48" s="390" t="str">
        <f>IF(OR(R48="Х",R48="св")," ",IF(AND(S48&gt;=0,S48&lt;3),"1"," "))</f>
        <v>1</v>
      </c>
      <c r="AM48" s="390" t="str">
        <f>IF(OR(T48="Х",T48="св")," ",IF(AND(U48&gt;=0,U48&lt;3),"1"," "))</f>
        <v>1</v>
      </c>
      <c r="AN48" s="391">
        <f>COUNTIF(AF48:AM49,1)</f>
        <v>8</v>
      </c>
      <c r="AO48" s="393">
        <f>AE48-AA48</f>
        <v>80</v>
      </c>
      <c r="AP48" s="394">
        <f t="shared" si="10"/>
        <v>0</v>
      </c>
      <c r="AQ48" s="387" t="str">
        <f>COUNTIF(AE$6:AE$119,"&gt;"&amp;AE$6:AE$119)+1&amp;REPT("-"&amp;COUNTIF(AE$6:AE$119,"&gt;="&amp;AE$6:AE$119),COUNTIF(AE$6:AE$119,AE48)&gt;1)</f>
        <v>5-56</v>
      </c>
      <c r="AR48" s="395"/>
      <c r="AS48" s="183"/>
      <c r="AT48" s="183"/>
      <c r="AU48" s="183"/>
      <c r="AV48" s="386">
        <f t="shared" si="65"/>
        <v>21</v>
      </c>
      <c r="AW48" s="19"/>
      <c r="AX48" s="19"/>
      <c r="AY48" s="19"/>
      <c r="AZ48" s="19"/>
      <c r="BA48" s="2"/>
      <c r="BB48" s="2"/>
      <c r="BC48" s="2"/>
      <c r="BD48" s="2"/>
      <c r="BE48" s="2"/>
      <c r="BF48" s="2"/>
      <c r="BG48" s="2"/>
      <c r="BU48" s="377">
        <f>IF(J48="х"," ",B48)</f>
        <v>21</v>
      </c>
      <c r="BV48" s="377">
        <f>IF(L48="х"," ",B48)</f>
        <v>21</v>
      </c>
      <c r="BW48" s="377" t="str">
        <f>IF(BV48=" "," ",L48)</f>
        <v xml:space="preserve"> </v>
      </c>
      <c r="BX48" s="377" t="str">
        <f>IF(BU48=" "," ",J48)</f>
        <v xml:space="preserve"> </v>
      </c>
      <c r="BY48" s="61">
        <f>IF(BU48&lt;BX48,BU48,0)</f>
        <v>21</v>
      </c>
      <c r="BZ48" s="61">
        <f t="shared" si="84"/>
        <v>21</v>
      </c>
      <c r="CA48" s="124">
        <f t="array" aca="1" ref="CA4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44</v>
      </c>
      <c r="CB48">
        <f>IF(BV48&lt;BW48,BV48,0)</f>
        <v>21</v>
      </c>
      <c r="CC48" s="125">
        <f t="shared" si="5"/>
        <v>21</v>
      </c>
      <c r="CD48" s="51">
        <f t="array" aca="1" ref="CD48" ca="1">IF(ROW()-ROW(Н4кр)+1&gt;ROWS(Е4кр)-COUNTBLANK(Е4кр)," ",INDIRECT(ADDRESS(SMALL((IF(Е4кр&lt;&gt;" ",ROW(Е4кр),ROW()+ROWS(Е4кр))),ROW()-ROW(Н4кр)+1),COLUMN(Е4кр),4)))</f>
        <v>44</v>
      </c>
      <c r="CF48" s="377">
        <f>IF(N48="х"," ",B48)</f>
        <v>21</v>
      </c>
      <c r="CG48" s="377" t="str">
        <f>IF(CF48=" "," ",N48)</f>
        <v xml:space="preserve"> </v>
      </c>
      <c r="CH48" s="125">
        <f>IF(CF48&lt;CG48,CF48,0)</f>
        <v>21</v>
      </c>
      <c r="CI48">
        <f t="shared" si="12"/>
        <v>21</v>
      </c>
      <c r="CJ48" s="51">
        <f t="array" aca="1" ref="CJ48" ca="1">IF(ROW()-ROW(Н5кр)+1&gt;ROWS(Е5кр)-COUNTBLANK(Е5кр)," ",INDIRECT(ADDRESS(SMALL((IF(Е5кр&lt;&gt;" ",ROW(Е5кр),ROW()+ROWS(Е5кр))),ROW()-ROW(Н5кр)+1),COLUMN(Е5кр),4)))</f>
        <v>44</v>
      </c>
      <c r="CL48" s="377">
        <f>IF(P48="х"," ",B48)</f>
        <v>21</v>
      </c>
      <c r="CM48" s="377" t="str">
        <f>IF(CL48=" "," ",P48)</f>
        <v xml:space="preserve"> </v>
      </c>
      <c r="CN48">
        <f>IF(CL48&lt;CM48,CL48,0)</f>
        <v>21</v>
      </c>
      <c r="CO48">
        <f t="shared" si="6"/>
        <v>21</v>
      </c>
      <c r="CP48">
        <f t="array" aca="1" ref="CP48" ca="1">IF(ROW()-ROW(Н6кр)+1&gt;ROWS(Е6кр)-COUNTBLANK(Е6кр)," ",INDIRECT(ADDRESS(SMALL((IF(Е6кр&lt;&gt;" ",ROW(Е6кр),ROW()+ROWS(Е6кр))),ROW()-ROW(Н6кр)+1),COLUMN(Е6кр),4)))</f>
        <v>44</v>
      </c>
      <c r="CR48" s="377">
        <f t="shared" ref="CR48" si="127">IF(R48="х"," ",B48)</f>
        <v>21</v>
      </c>
      <c r="CS48" s="377" t="str">
        <f t="shared" ref="CS48" si="128">IF(CR48=" "," ",R48)</f>
        <v xml:space="preserve"> </v>
      </c>
      <c r="CT48">
        <f>IF(CR48&lt;CS48,CR48,0)</f>
        <v>21</v>
      </c>
      <c r="CU48">
        <f t="shared" si="7"/>
        <v>21</v>
      </c>
      <c r="CV48">
        <f t="array" aca="1" ref="CV48" ca="1">IF(ROW()-ROW(Н7кр)+1&gt;ROWS(Е7кр)-COUNTBLANK(Е7кр)," ",INDIRECT(ADDRESS(SMALL((IF(Е7кр&lt;&gt;" ",ROW(Е7кр),ROW()+ROWS(Е7кр))),ROW()-ROW(Н7кр)+1),COLUMN(Е7кр),4)))</f>
        <v>44</v>
      </c>
    </row>
    <row r="49" spans="1:100" ht="12" hidden="1" customHeight="1" thickBot="1">
      <c r="A49" s="201"/>
      <c r="B49" s="434"/>
      <c r="C49" s="426"/>
      <c r="D49" s="428"/>
      <c r="E49" s="430"/>
      <c r="F49" s="442"/>
      <c r="G49" s="59"/>
      <c r="H49" s="439"/>
      <c r="I49" s="44"/>
      <c r="J49" s="439"/>
      <c r="K49" s="44"/>
      <c r="L49" s="439"/>
      <c r="M49" s="44"/>
      <c r="N49" s="439"/>
      <c r="O49" s="44"/>
      <c r="P49" s="439"/>
      <c r="Q49" s="44"/>
      <c r="R49" s="439"/>
      <c r="S49" s="44"/>
      <c r="T49" s="439"/>
      <c r="U49" s="47"/>
      <c r="V49" s="439"/>
      <c r="W49" s="44"/>
      <c r="X49" s="439"/>
      <c r="Y49" s="44"/>
      <c r="Z49" s="422"/>
      <c r="AA49" s="419"/>
      <c r="AB49" s="432"/>
      <c r="AC49" s="386"/>
      <c r="AD49" s="387"/>
      <c r="AE49" s="389"/>
      <c r="AF49" s="390"/>
      <c r="AG49" s="390"/>
      <c r="AH49" s="390"/>
      <c r="AI49" s="390"/>
      <c r="AJ49" s="390"/>
      <c r="AK49" s="390"/>
      <c r="AL49" s="390"/>
      <c r="AM49" s="390"/>
      <c r="AN49" s="392"/>
      <c r="AO49" s="387"/>
      <c r="AP49" s="394"/>
      <c r="AQ49" s="387"/>
      <c r="AR49" s="395"/>
      <c r="AS49" s="183"/>
      <c r="AT49" s="183"/>
      <c r="AU49" s="183"/>
      <c r="AV49" s="386"/>
      <c r="AW49" s="19"/>
      <c r="AX49" s="19"/>
      <c r="AY49" s="19"/>
      <c r="AZ49" s="19"/>
      <c r="BA49" s="2"/>
      <c r="BB49" s="2"/>
      <c r="BC49" s="2"/>
      <c r="BD49" s="2"/>
      <c r="BE49" s="2"/>
      <c r="BF49" s="2"/>
      <c r="BG49" s="2"/>
      <c r="BU49" s="377"/>
      <c r="BV49" s="377"/>
      <c r="BW49" s="377"/>
      <c r="BX49" s="377"/>
      <c r="BY49" s="61" t="str">
        <f>IF(BY48&gt;=1,BX48,0)</f>
        <v xml:space="preserve"> </v>
      </c>
      <c r="BZ49" s="61" t="str">
        <f t="shared" si="84"/>
        <v xml:space="preserve"> </v>
      </c>
      <c r="CA49" s="124">
        <f t="array" aca="1" ref="CA4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45</v>
      </c>
      <c r="CB49" t="str">
        <f>IF(CB48&gt;=1,BW48,0)</f>
        <v xml:space="preserve"> </v>
      </c>
      <c r="CC49" s="125" t="str">
        <f t="shared" si="5"/>
        <v xml:space="preserve"> </v>
      </c>
      <c r="CD49" s="51">
        <f t="array" aca="1" ref="CD49" ca="1">IF(ROW()-ROW(Н4кр)+1&gt;ROWS(Е4кр)-COUNTBLANK(Е4кр)," ",INDIRECT(ADDRESS(SMALL((IF(Е4кр&lt;&gt;" ",ROW(Е4кр),ROW()+ROWS(Е4кр))),ROW()-ROW(Н4кр)+1),COLUMN(Е4кр),4)))</f>
        <v>45</v>
      </c>
      <c r="CF49" s="377"/>
      <c r="CG49" s="377"/>
      <c r="CH49" s="125" t="str">
        <f>IF(CH48&gt;=1,CG48,0)</f>
        <v xml:space="preserve"> </v>
      </c>
      <c r="CI49" t="str">
        <f t="shared" si="12"/>
        <v xml:space="preserve"> </v>
      </c>
      <c r="CJ49" s="51">
        <f t="array" aca="1" ref="CJ49" ca="1">IF(ROW()-ROW(Н5кр)+1&gt;ROWS(Е5кр)-COUNTBLANK(Е5кр)," ",INDIRECT(ADDRESS(SMALL((IF(Е5кр&lt;&gt;" ",ROW(Е5кр),ROW()+ROWS(Е5кр))),ROW()-ROW(Н5кр)+1),COLUMN(Е5кр),4)))</f>
        <v>45</v>
      </c>
      <c r="CL49" s="377"/>
      <c r="CM49" s="377"/>
      <c r="CN49" t="str">
        <f>IF(CN48&gt;=1,CM48,0)</f>
        <v xml:space="preserve"> </v>
      </c>
      <c r="CO49" t="str">
        <f t="shared" si="6"/>
        <v xml:space="preserve"> </v>
      </c>
      <c r="CP49">
        <f t="array" aca="1" ref="CP49" ca="1">IF(ROW()-ROW(Н6кр)+1&gt;ROWS(Е6кр)-COUNTBLANK(Е6кр)," ",INDIRECT(ADDRESS(SMALL((IF(Е6кр&lt;&gt;" ",ROW(Е6кр),ROW()+ROWS(Е6кр))),ROW()-ROW(Н6кр)+1),COLUMN(Е6кр),4)))</f>
        <v>45</v>
      </c>
      <c r="CR49" s="377"/>
      <c r="CS49" s="377"/>
      <c r="CT49" t="str">
        <f>IF(CT48&gt;=1,CS48,0)</f>
        <v xml:space="preserve"> </v>
      </c>
      <c r="CU49" t="str">
        <f t="shared" si="7"/>
        <v xml:space="preserve"> </v>
      </c>
      <c r="CV49">
        <f t="array" aca="1" ref="CV49" ca="1">IF(ROW()-ROW(Н7кр)+1&gt;ROWS(Е7кр)-COUNTBLANK(Е7кр)," ",INDIRECT(ADDRESS(SMALL((IF(Е7кр&lt;&gt;" ",ROW(Е7кр),ROW()+ROWS(Е7кр))),ROW()-ROW(Н7кр)+1),COLUMN(Е7кр),4)))</f>
        <v>45</v>
      </c>
    </row>
    <row r="50" spans="1:100" ht="12" hidden="1" customHeight="1" thickTop="1">
      <c r="A50" s="201"/>
      <c r="B50" s="414">
        <v>22</v>
      </c>
      <c r="C50" s="425" t="e">
        <f>(VLOOKUP(B50,пр.взв!$B$7:$H$76,2,0))</f>
        <v>#N/A</v>
      </c>
      <c r="D50" s="427" t="e">
        <f>(VLOOKUP(B50,пр.взв!$B$7:$H$76,3,0))</f>
        <v>#N/A</v>
      </c>
      <c r="E50" s="429" t="e">
        <f>(VLOOKUP(B50,пр.взв!$B$7:$H$76,5,0))</f>
        <v>#N/A</v>
      </c>
      <c r="F50" s="443">
        <f t="shared" ref="F50" si="129">IF(ISERROR(C50),0,B48)</f>
        <v>0</v>
      </c>
      <c r="G50" s="41"/>
      <c r="H50" s="444"/>
      <c r="I50" s="41"/>
      <c r="J50" s="444" t="str">
        <f t="shared" si="0"/>
        <v xml:space="preserve"> </v>
      </c>
      <c r="K50" s="41"/>
      <c r="L50" s="438" t="str">
        <f t="shared" ref="L50" si="130">IF(J50="Х","Х",IF(K50&lt;2.5," ",IF(K50&gt;=2.5,IF(G50+I50+K50&gt;=6,"Х",IF(AA50&lt;6," "," ")))))</f>
        <v xml:space="preserve"> </v>
      </c>
      <c r="M50" s="41"/>
      <c r="N50" s="444" t="str">
        <f>IF(L50="Х","Х",IF(M50&lt;2.5," ",IF(M50&gt;=2.5,IF(G50+I50+K50+M50&gt;=6,"Х",IF(AA50&lt;6," "," ")))))</f>
        <v xml:space="preserve"> </v>
      </c>
      <c r="O50" s="41"/>
      <c r="P50" s="444" t="str">
        <f>IF(N50="Х","Х",IF(O50&lt;2.5," ",IF(O50&gt;=2.5,IF(G50+I50+K50+M50+O50&gt;=6,"Х",IF(AA50&lt;6," "," ")))))</f>
        <v xml:space="preserve"> </v>
      </c>
      <c r="Q50" s="41"/>
      <c r="R50" s="444" t="str">
        <f>IF(P50="Х","Х",IF(Q50&lt;2.5," ",IF(Q50&gt;=2.5,IF(G50+I50+K50+M50+O50+Q50&gt;=6,"Х",IF(AA50&lt;6," "," ")))))</f>
        <v xml:space="preserve"> </v>
      </c>
      <c r="S50" s="41"/>
      <c r="T50" s="444" t="str">
        <f>IF(R50="Х","Х",IF(S50&lt;2.5," ",IF(S50&gt;=2.5,IF(G50+I50+K50+M50+O50+Q50+S50&gt;=6,"Х",IF(AA50&lt;6," "," ")))))</f>
        <v xml:space="preserve"> </v>
      </c>
      <c r="U50" s="45"/>
      <c r="V50" s="438" t="str">
        <f>IF(T50="А1",$AX$7,IF(T50="Б2",$AX$6,IF(T50="Б1",$AY$7,IF(T50="А2",$AY$6,IF(T50="Х","Х",IF(T50&lt;6," "," "))))))</f>
        <v xml:space="preserve"> </v>
      </c>
      <c r="W50" s="41"/>
      <c r="X50" s="438" t="str">
        <f t="shared" ref="X50" si="131">IF(T50="Х","Х",IF(ISBLANK(W50),"",IF(W50&gt;2.5," ",IF(B50=AZ$6,AZ$7,AZ$6))))</f>
        <v/>
      </c>
      <c r="Y50" s="41"/>
      <c r="Z50" s="421" t="b">
        <f>IF(H50="Х","1",IF(J50="Х","2",IF(L50="Х","3",IF(N50="Х","4",IF(P50="Х","5",IF(R50="Х","6",IF(T50="Х","7",IF(V50="Х","8"))))))))</f>
        <v>0</v>
      </c>
      <c r="AA50" s="420">
        <f>SUM(G50+I50+K50+M50+O50+Q50+S50+U50+W50+Y50)</f>
        <v>0</v>
      </c>
      <c r="AB50" s="431">
        <f t="shared" ref="AB50" si="132">AD50+0</f>
        <v>20576</v>
      </c>
      <c r="AC50" s="386">
        <f>AB50</f>
        <v>20576</v>
      </c>
      <c r="AD50" s="387" t="str">
        <f>COUNTIF(AE$6:AE$119,"&gt;"&amp;AE$6:AE$119)+1&amp;REPT("-"&amp;COUNTIF(AE$6:AE$119,"&gt;="&amp;AE$6:AE$119),COUNTIF(AE$6:AE$119,AE50)&gt;1)</f>
        <v>5-56</v>
      </c>
      <c r="AE50" s="388">
        <f t="shared" si="45"/>
        <v>80</v>
      </c>
      <c r="AF50" s="390" t="str">
        <f>IF(OR(F50="Х",F50="св")," ",IF(AND(G50&gt;=0,G50&lt;3),"1"," "))</f>
        <v>1</v>
      </c>
      <c r="AG50" s="390" t="str">
        <f>IF(OR(H50="Х",H50="св")," ",IF(AND(I50&gt;=0,I50&lt;3),"1"," "))</f>
        <v>1</v>
      </c>
      <c r="AH50" s="390" t="str">
        <f>IF(OR(J50="Х",J50="св")," ",IF(AND(K50&gt;=0,K50&lt;3),"1"," "))</f>
        <v>1</v>
      </c>
      <c r="AI50" s="390" t="str">
        <f>IF(OR(L50="Х",L50="св")," ",IF(AND(M50&gt;=0,M50&lt;3),"1"," "))</f>
        <v>1</v>
      </c>
      <c r="AJ50" s="390" t="str">
        <f>IF(OR(N50="Х",N50="св")," ",IF(AND(O50&gt;=0,O50&lt;3),"1"," "))</f>
        <v>1</v>
      </c>
      <c r="AK50" s="390" t="str">
        <f>IF(OR(P50="Х",P50="св")," ",IF(AND(Q50&gt;=0,Q50&lt;3),"1"," "))</f>
        <v>1</v>
      </c>
      <c r="AL50" s="390" t="str">
        <f>IF(OR(R50="Х",R50="св")," ",IF(AND(S50&gt;=0,S50&lt;3),"1"," "))</f>
        <v>1</v>
      </c>
      <c r="AM50" s="390" t="str">
        <f>IF(OR(T50="Х",T50="св")," ",IF(AND(U50&gt;=0,U50&lt;3),"1"," "))</f>
        <v>1</v>
      </c>
      <c r="AN50" s="391">
        <f>COUNTIF(AF50:AM51,1)</f>
        <v>8</v>
      </c>
      <c r="AO50" s="393">
        <f>AE50-AA50</f>
        <v>80</v>
      </c>
      <c r="AP50" s="394">
        <f t="shared" si="10"/>
        <v>0</v>
      </c>
      <c r="AQ50" s="387" t="str">
        <f>COUNTIF(AE$6:AE$119,"&gt;"&amp;AE$6:AE$119)+1&amp;REPT("-"&amp;COUNTIF(AE$6:AE$119,"&gt;="&amp;AE$6:AE$119),COUNTIF(AE$6:AE$119,AE50)&gt;1)</f>
        <v>5-56</v>
      </c>
      <c r="AR50" s="395"/>
      <c r="AS50" s="183"/>
      <c r="AT50" s="183"/>
      <c r="AU50" s="183"/>
      <c r="AV50" s="386">
        <f t="shared" si="65"/>
        <v>22</v>
      </c>
      <c r="AW50" s="416"/>
      <c r="AX50" s="416"/>
      <c r="AY50" s="123"/>
      <c r="AZ50" s="416"/>
      <c r="BA50" s="416"/>
      <c r="BB50" s="123"/>
      <c r="BC50" s="2"/>
      <c r="BD50" s="2"/>
      <c r="BE50" s="2"/>
      <c r="BF50" s="2"/>
      <c r="BG50" s="2"/>
      <c r="BU50" s="377">
        <f>IF(J50="х"," ",B50)</f>
        <v>22</v>
      </c>
      <c r="BV50" s="377">
        <f>IF(L50="х"," ",B50)</f>
        <v>22</v>
      </c>
      <c r="BW50" s="377" t="str">
        <f>IF(BV50=" "," ",L50)</f>
        <v xml:space="preserve"> </v>
      </c>
      <c r="BX50" s="377" t="str">
        <f>IF(BU50=" "," ",J50)</f>
        <v xml:space="preserve"> </v>
      </c>
      <c r="BY50" s="61">
        <f>IF(BU50&lt;BX50,BU50,0)</f>
        <v>22</v>
      </c>
      <c r="BZ50" s="61">
        <f t="shared" si="84"/>
        <v>22</v>
      </c>
      <c r="CA50" s="124">
        <f t="array" aca="1" ref="CA5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46</v>
      </c>
      <c r="CB50">
        <f>IF(BV50&lt;BW50,BV50,0)</f>
        <v>22</v>
      </c>
      <c r="CC50" s="125">
        <f t="shared" si="5"/>
        <v>22</v>
      </c>
      <c r="CD50" s="51">
        <f t="array" aca="1" ref="CD50" ca="1">IF(ROW()-ROW(Н4кр)+1&gt;ROWS(Е4кр)-COUNTBLANK(Е4кр)," ",INDIRECT(ADDRESS(SMALL((IF(Е4кр&lt;&gt;" ",ROW(Е4кр),ROW()+ROWS(Е4кр))),ROW()-ROW(Н4кр)+1),COLUMN(Е4кр),4)))</f>
        <v>46</v>
      </c>
      <c r="CF50" s="377">
        <f>IF(N50="х"," ",B50)</f>
        <v>22</v>
      </c>
      <c r="CG50" s="377" t="str">
        <f>IF(CF50=" "," ",N50)</f>
        <v xml:space="preserve"> </v>
      </c>
      <c r="CH50" s="125">
        <f>IF(CF50&lt;CG50,CF50,0)</f>
        <v>22</v>
      </c>
      <c r="CI50">
        <f t="shared" si="12"/>
        <v>22</v>
      </c>
      <c r="CJ50" s="51">
        <f t="array" aca="1" ref="CJ50" ca="1">IF(ROW()-ROW(Н5кр)+1&gt;ROWS(Е5кр)-COUNTBLANK(Е5кр)," ",INDIRECT(ADDRESS(SMALL((IF(Е5кр&lt;&gt;" ",ROW(Е5кр),ROW()+ROWS(Е5кр))),ROW()-ROW(Н5кр)+1),COLUMN(Е5кр),4)))</f>
        <v>46</v>
      </c>
      <c r="CL50" s="377">
        <f>IF(P50="х"," ",B50)</f>
        <v>22</v>
      </c>
      <c r="CM50" s="377" t="str">
        <f>IF(CL50=" "," ",P50)</f>
        <v xml:space="preserve"> </v>
      </c>
      <c r="CN50">
        <f>IF(CL50&lt;CM50,CL50,0)</f>
        <v>22</v>
      </c>
      <c r="CO50">
        <f t="shared" si="6"/>
        <v>22</v>
      </c>
      <c r="CP50">
        <f t="array" aca="1" ref="CP50" ca="1">IF(ROW()-ROW(Н6кр)+1&gt;ROWS(Е6кр)-COUNTBLANK(Е6кр)," ",INDIRECT(ADDRESS(SMALL((IF(Е6кр&lt;&gt;" ",ROW(Е6кр),ROW()+ROWS(Е6кр))),ROW()-ROW(Н6кр)+1),COLUMN(Е6кр),4)))</f>
        <v>46</v>
      </c>
      <c r="CR50" s="377">
        <f t="shared" ref="CR50" si="133">IF(R50="х"," ",B50)</f>
        <v>22</v>
      </c>
      <c r="CS50" s="377" t="str">
        <f t="shared" ref="CS50" si="134">IF(CR50=" "," ",R50)</f>
        <v xml:space="preserve"> </v>
      </c>
      <c r="CT50">
        <f>IF(CR50&lt;CS50,CR50,0)</f>
        <v>22</v>
      </c>
      <c r="CU50">
        <f t="shared" si="7"/>
        <v>22</v>
      </c>
      <c r="CV50">
        <f t="array" aca="1" ref="CV50" ca="1">IF(ROW()-ROW(Н7кр)+1&gt;ROWS(Е7кр)-COUNTBLANK(Е7кр)," ",INDIRECT(ADDRESS(SMALL((IF(Е7кр&lt;&gt;" ",ROW(Е7кр),ROW()+ROWS(Е7кр))),ROW()-ROW(Н7кр)+1),COLUMN(Е7кр),4)))</f>
        <v>46</v>
      </c>
    </row>
    <row r="51" spans="1:100" ht="12" hidden="1" customHeight="1" thickBot="1">
      <c r="A51" s="201"/>
      <c r="B51" s="424"/>
      <c r="C51" s="426"/>
      <c r="D51" s="428"/>
      <c r="E51" s="430"/>
      <c r="F51" s="442"/>
      <c r="G51" s="44"/>
      <c r="H51" s="439"/>
      <c r="I51" s="44"/>
      <c r="J51" s="439"/>
      <c r="K51" s="44"/>
      <c r="L51" s="439"/>
      <c r="M51" s="44"/>
      <c r="N51" s="439"/>
      <c r="O51" s="44"/>
      <c r="P51" s="439"/>
      <c r="Q51" s="44"/>
      <c r="R51" s="439"/>
      <c r="S51" s="44"/>
      <c r="T51" s="439"/>
      <c r="U51" s="47"/>
      <c r="V51" s="439"/>
      <c r="W51" s="44"/>
      <c r="X51" s="439"/>
      <c r="Y51" s="44"/>
      <c r="Z51" s="422"/>
      <c r="AA51" s="419"/>
      <c r="AB51" s="432"/>
      <c r="AC51" s="386"/>
      <c r="AD51" s="387"/>
      <c r="AE51" s="389"/>
      <c r="AF51" s="390"/>
      <c r="AG51" s="390"/>
      <c r="AH51" s="390"/>
      <c r="AI51" s="390"/>
      <c r="AJ51" s="390"/>
      <c r="AK51" s="390"/>
      <c r="AL51" s="390"/>
      <c r="AM51" s="390"/>
      <c r="AN51" s="392"/>
      <c r="AO51" s="387"/>
      <c r="AP51" s="394"/>
      <c r="AQ51" s="387"/>
      <c r="AR51" s="395"/>
      <c r="AS51" s="183"/>
      <c r="AT51" s="183"/>
      <c r="AU51" s="183"/>
      <c r="AV51" s="386"/>
      <c r="AW51" s="19"/>
      <c r="AX51" s="19"/>
      <c r="AY51" s="19"/>
      <c r="AZ51" s="19"/>
      <c r="BA51" s="2"/>
      <c r="BB51" s="2"/>
      <c r="BC51" s="2"/>
      <c r="BD51" s="2"/>
      <c r="BE51" s="2"/>
      <c r="BF51" s="2"/>
      <c r="BG51" s="2"/>
      <c r="BU51" s="377"/>
      <c r="BV51" s="377"/>
      <c r="BW51" s="377"/>
      <c r="BX51" s="377"/>
      <c r="BY51" s="61" t="str">
        <f>IF(BY50&gt;=1,BX50,0)</f>
        <v xml:space="preserve"> </v>
      </c>
      <c r="BZ51" s="61" t="str">
        <f t="shared" si="84"/>
        <v xml:space="preserve"> </v>
      </c>
      <c r="CA51" s="124">
        <f t="array" aca="1" ref="CA5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47</v>
      </c>
      <c r="CB51" t="str">
        <f>IF(CB50&gt;=1,BW50,0)</f>
        <v xml:space="preserve"> </v>
      </c>
      <c r="CC51" s="125" t="str">
        <f t="shared" si="5"/>
        <v xml:space="preserve"> </v>
      </c>
      <c r="CD51" s="51">
        <f t="array" aca="1" ref="CD51" ca="1">IF(ROW()-ROW(Н4кр)+1&gt;ROWS(Е4кр)-COUNTBLANK(Е4кр)," ",INDIRECT(ADDRESS(SMALL((IF(Е4кр&lt;&gt;" ",ROW(Е4кр),ROW()+ROWS(Е4кр))),ROW()-ROW(Н4кр)+1),COLUMN(Е4кр),4)))</f>
        <v>47</v>
      </c>
      <c r="CF51" s="377"/>
      <c r="CG51" s="377"/>
      <c r="CH51" s="125" t="str">
        <f>IF(CH50&gt;=1,CG50,0)</f>
        <v xml:space="preserve"> </v>
      </c>
      <c r="CI51" t="str">
        <f t="shared" si="12"/>
        <v xml:space="preserve"> </v>
      </c>
      <c r="CJ51" s="51">
        <f t="array" aca="1" ref="CJ51" ca="1">IF(ROW()-ROW(Н5кр)+1&gt;ROWS(Е5кр)-COUNTBLANK(Е5кр)," ",INDIRECT(ADDRESS(SMALL((IF(Е5кр&lt;&gt;" ",ROW(Е5кр),ROW()+ROWS(Е5кр))),ROW()-ROW(Н5кр)+1),COLUMN(Е5кр),4)))</f>
        <v>47</v>
      </c>
      <c r="CL51" s="377"/>
      <c r="CM51" s="377"/>
      <c r="CN51" t="str">
        <f>IF(CN50&gt;=1,CM50,0)</f>
        <v xml:space="preserve"> </v>
      </c>
      <c r="CO51" t="str">
        <f t="shared" si="6"/>
        <v xml:space="preserve"> </v>
      </c>
      <c r="CP51">
        <f t="array" aca="1" ref="CP51" ca="1">IF(ROW()-ROW(Н6кр)+1&gt;ROWS(Е6кр)-COUNTBLANK(Е6кр)," ",INDIRECT(ADDRESS(SMALL((IF(Е6кр&lt;&gt;" ",ROW(Е6кр),ROW()+ROWS(Е6кр))),ROW()-ROW(Н6кр)+1),COLUMN(Е6кр),4)))</f>
        <v>47</v>
      </c>
      <c r="CR51" s="377"/>
      <c r="CS51" s="377"/>
      <c r="CT51" t="str">
        <f>IF(CT50&gt;=1,CS50,0)</f>
        <v xml:space="preserve"> </v>
      </c>
      <c r="CU51" t="str">
        <f t="shared" si="7"/>
        <v xml:space="preserve"> </v>
      </c>
      <c r="CV51">
        <f t="array" aca="1" ref="CV51" ca="1">IF(ROW()-ROW(Н7кр)+1&gt;ROWS(Е7кр)-COUNTBLANK(Е7кр)," ",INDIRECT(ADDRESS(SMALL((IF(Е7кр&lt;&gt;" ",ROW(Е7кр),ROW()+ROWS(Е7кр))),ROW()-ROW(Н7кр)+1),COLUMN(Е7кр),4)))</f>
        <v>47</v>
      </c>
    </row>
    <row r="52" spans="1:100" ht="12" hidden="1" customHeight="1" thickTop="1">
      <c r="A52" s="201"/>
      <c r="B52" s="423">
        <v>23</v>
      </c>
      <c r="C52" s="425" t="e">
        <f>(VLOOKUP(B52,пр.взв!$B$7:$H$76,2,0))</f>
        <v>#N/A</v>
      </c>
      <c r="D52" s="427" t="e">
        <f>(VLOOKUP(B52,пр.взв!$B$7:$H$76,3,0))</f>
        <v>#N/A</v>
      </c>
      <c r="E52" s="429" t="e">
        <f>(VLOOKUP(B52,пр.взв!$B$7:$H$76,5,0))</f>
        <v>#N/A</v>
      </c>
      <c r="F52" s="445">
        <f t="shared" si="41"/>
        <v>0</v>
      </c>
      <c r="G52" s="42"/>
      <c r="H52" s="440"/>
      <c r="I52" s="42"/>
      <c r="J52" s="444" t="str">
        <f t="shared" si="0"/>
        <v xml:space="preserve"> </v>
      </c>
      <c r="K52" s="42"/>
      <c r="L52" s="438" t="str">
        <f t="shared" ref="L52" si="135">IF(J52="Х","Х",IF(K52&lt;2.5," ",IF(K52&gt;=2.5,IF(G52+I52+K52&gt;=6,"Х",IF(AA52&lt;6," "," ")))))</f>
        <v xml:space="preserve"> </v>
      </c>
      <c r="M52" s="42"/>
      <c r="N52" s="440" t="str">
        <f>IF(L52="Х","Х",IF(M52&lt;2.5," ",IF(M52&gt;=2.5,IF(G52+I52+K52+M52&gt;=6,"Х",IF(AA52&lt;6," "," ")))))</f>
        <v xml:space="preserve"> </v>
      </c>
      <c r="O52" s="42"/>
      <c r="P52" s="440" t="str">
        <f>IF(N52="Х","Х",IF(O52&lt;2.5," ",IF(O52&gt;=2.5,IF(G52+I52+K52+M52+O52&gt;=6,"Х",IF(AA52&lt;6," "," ")))))</f>
        <v xml:space="preserve"> </v>
      </c>
      <c r="Q52" s="42"/>
      <c r="R52" s="440" t="str">
        <f>IF(P52="Х","Х",IF(Q52&lt;2.5," ",IF(Q52&gt;=2.5,IF(G52+I52+K52+M52+O52+Q52&gt;=6,"Х",IF(AA52&lt;6," "," ")))))</f>
        <v xml:space="preserve"> </v>
      </c>
      <c r="S52" s="42"/>
      <c r="T52" s="440" t="str">
        <f>IF(R52="Х","Х",IF(S52&lt;2.5," ",IF(S52&gt;=2.5,IF(G52+I52+K52+M52+O52+Q52+S52&gt;=6,"Х",IF(AA52&lt;6," "," ")))))</f>
        <v xml:space="preserve"> </v>
      </c>
      <c r="U52" s="42"/>
      <c r="V52" s="438" t="str">
        <f>IF(T52="А1",$AX$7,IF(T52="Б2",$AX$6,IF(T52="Б1",$AY$7,IF(T52="А2",$AY$6,IF(T52="Х","Х",IF(T52&lt;6," "," "))))))</f>
        <v xml:space="preserve"> </v>
      </c>
      <c r="W52" s="42"/>
      <c r="X52" s="438" t="str">
        <f t="shared" ref="X52" si="136">IF(T52="Х","Х",IF(ISBLANK(W52),"",IF(W52&gt;2.5," ",IF(B52=AZ$6,AZ$7,AZ$6))))</f>
        <v/>
      </c>
      <c r="Y52" s="42"/>
      <c r="Z52" s="459" t="b">
        <f>IF(H52="Х","1",IF(J52="Х","2",IF(L52="Х","3",IF(N52="Х","4",IF(P52="Х","5",IF(R52="Х","6",IF(T52="Х","7",IF(V52="Х","8"))))))))</f>
        <v>0</v>
      </c>
      <c r="AA52" s="418">
        <f>SUM(G52+I52+K52+M52+O52+Q52+S52+U52+W52+Y52)</f>
        <v>0</v>
      </c>
      <c r="AB52" s="431">
        <f t="shared" ref="AB52" si="137">AD52+0</f>
        <v>20576</v>
      </c>
      <c r="AC52" s="386">
        <f>AB52</f>
        <v>20576</v>
      </c>
      <c r="AD52" s="387" t="str">
        <f>COUNTIF(AE$6:AE$119,"&gt;"&amp;AE$6:AE$119)+1&amp;REPT("-"&amp;COUNTIF(AE$6:AE$119,"&gt;="&amp;AE$6:AE$119),COUNTIF(AE$6:AE$119,AE52)&gt;1)</f>
        <v>5-56</v>
      </c>
      <c r="AE52" s="388">
        <f t="shared" si="45"/>
        <v>80</v>
      </c>
      <c r="AF52" s="390" t="str">
        <f>IF(OR(F52="Х",F52="св")," ",IF(AND(G52&gt;=0,G52&lt;3),"1"," "))</f>
        <v>1</v>
      </c>
      <c r="AG52" s="390" t="str">
        <f>IF(OR(H52="Х",H52="св")," ",IF(AND(I52&gt;=0,I52&lt;3),"1"," "))</f>
        <v>1</v>
      </c>
      <c r="AH52" s="390" t="str">
        <f>IF(OR(J52="Х",J52="св")," ",IF(AND(K52&gt;=0,K52&lt;3),"1"," "))</f>
        <v>1</v>
      </c>
      <c r="AI52" s="390" t="str">
        <f>IF(OR(L52="Х",L52="св")," ",IF(AND(M52&gt;=0,M52&lt;3),"1"," "))</f>
        <v>1</v>
      </c>
      <c r="AJ52" s="390" t="str">
        <f>IF(OR(N52="Х",N52="св")," ",IF(AND(O52&gt;=0,O52&lt;3),"1"," "))</f>
        <v>1</v>
      </c>
      <c r="AK52" s="390" t="str">
        <f>IF(OR(P52="Х",P52="св")," ",IF(AND(Q52&gt;=0,Q52&lt;3),"1"," "))</f>
        <v>1</v>
      </c>
      <c r="AL52" s="390" t="str">
        <f>IF(OR(R52="Х",R52="св")," ",IF(AND(S52&gt;=0,S52&lt;3),"1"," "))</f>
        <v>1</v>
      </c>
      <c r="AM52" s="390" t="str">
        <f>IF(OR(T52="Х",T52="св")," ",IF(AND(U52&gt;=0,U52&lt;3),"1"," "))</f>
        <v>1</v>
      </c>
      <c r="AN52" s="391">
        <f>COUNTIF(AF52:AM53,1)</f>
        <v>8</v>
      </c>
      <c r="AO52" s="393">
        <f>AE52-AA52</f>
        <v>80</v>
      </c>
      <c r="AP52" s="394">
        <f t="shared" si="10"/>
        <v>0</v>
      </c>
      <c r="AQ52" s="387" t="str">
        <f>COUNTIF(AE$6:AE$119,"&gt;"&amp;AE$6:AE$119)+1&amp;REPT("-"&amp;COUNTIF(AE$6:AE$119,"&gt;="&amp;AE$6:AE$119),COUNTIF(AE$6:AE$119,AE52)&gt;1)</f>
        <v>5-56</v>
      </c>
      <c r="AR52" s="395"/>
      <c r="AS52" s="183"/>
      <c r="AT52" s="183"/>
      <c r="AU52" s="183"/>
      <c r="AV52" s="386">
        <f t="shared" si="65"/>
        <v>23</v>
      </c>
      <c r="AW52" s="19"/>
      <c r="AX52" s="19"/>
      <c r="AY52" s="19"/>
      <c r="AZ52" s="19"/>
      <c r="BA52" s="2"/>
      <c r="BB52" s="2"/>
      <c r="BC52" s="2"/>
      <c r="BD52" s="2"/>
      <c r="BE52" s="2"/>
      <c r="BF52" s="2"/>
      <c r="BG52" s="2"/>
      <c r="BU52" s="377">
        <f>IF(J52="х"," ",B52)</f>
        <v>23</v>
      </c>
      <c r="BV52" s="377">
        <f>IF(L52="х"," ",B52)</f>
        <v>23</v>
      </c>
      <c r="BW52" s="377" t="str">
        <f>IF(BV52=" "," ",L52)</f>
        <v xml:space="preserve"> </v>
      </c>
      <c r="BX52" s="377" t="str">
        <f>IF(BU52=" "," ",J52)</f>
        <v xml:space="preserve"> </v>
      </c>
      <c r="BY52" s="61">
        <f>IF(BU52&lt;BX52,BU52,0)</f>
        <v>23</v>
      </c>
      <c r="BZ52" s="61">
        <f t="shared" si="84"/>
        <v>23</v>
      </c>
      <c r="CA52" s="124">
        <f t="array" aca="1" ref="CA5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48</v>
      </c>
      <c r="CB52">
        <f>IF(BV52&lt;BW52,BV52,0)</f>
        <v>23</v>
      </c>
      <c r="CC52" s="125">
        <f t="shared" si="5"/>
        <v>23</v>
      </c>
      <c r="CD52" s="51">
        <f t="array" aca="1" ref="CD52" ca="1">IF(ROW()-ROW(Н4кр)+1&gt;ROWS(Е4кр)-COUNTBLANK(Е4кр)," ",INDIRECT(ADDRESS(SMALL((IF(Е4кр&lt;&gt;" ",ROW(Е4кр),ROW()+ROWS(Е4кр))),ROW()-ROW(Н4кр)+1),COLUMN(Е4кр),4)))</f>
        <v>48</v>
      </c>
      <c r="CF52" s="377">
        <f>IF(N52="х"," ",B52)</f>
        <v>23</v>
      </c>
      <c r="CG52" s="377" t="str">
        <f>IF(CF52=" "," ",N52)</f>
        <v xml:space="preserve"> </v>
      </c>
      <c r="CH52" s="125">
        <f>IF(CF52&lt;CG52,CF52,0)</f>
        <v>23</v>
      </c>
      <c r="CI52">
        <f t="shared" si="12"/>
        <v>23</v>
      </c>
      <c r="CJ52" s="51">
        <f t="array" aca="1" ref="CJ52" ca="1">IF(ROW()-ROW(Н5кр)+1&gt;ROWS(Е5кр)-COUNTBLANK(Е5кр)," ",INDIRECT(ADDRESS(SMALL((IF(Е5кр&lt;&gt;" ",ROW(Е5кр),ROW()+ROWS(Е5кр))),ROW()-ROW(Н5кр)+1),COLUMN(Е5кр),4)))</f>
        <v>48</v>
      </c>
      <c r="CL52" s="377">
        <f>IF(P52="х"," ",B52)</f>
        <v>23</v>
      </c>
      <c r="CM52" s="377" t="str">
        <f>IF(CL52=" "," ",P52)</f>
        <v xml:space="preserve"> </v>
      </c>
      <c r="CN52">
        <f>IF(CL52&lt;CM52,CL52,0)</f>
        <v>23</v>
      </c>
      <c r="CO52">
        <f t="shared" si="6"/>
        <v>23</v>
      </c>
      <c r="CP52">
        <f t="array" aca="1" ref="CP52" ca="1">IF(ROW()-ROW(Н6кр)+1&gt;ROWS(Е6кр)-COUNTBLANK(Е6кр)," ",INDIRECT(ADDRESS(SMALL((IF(Е6кр&lt;&gt;" ",ROW(Е6кр),ROW()+ROWS(Е6кр))),ROW()-ROW(Н6кр)+1),COLUMN(Е6кр),4)))</f>
        <v>48</v>
      </c>
      <c r="CR52" s="377">
        <f t="shared" ref="CR52" si="138">IF(R52="х"," ",B52)</f>
        <v>23</v>
      </c>
      <c r="CS52" s="377" t="str">
        <f t="shared" ref="CS52" si="139">IF(CR52=" "," ",R52)</f>
        <v xml:space="preserve"> </v>
      </c>
      <c r="CT52">
        <f>IF(CR52&lt;CS52,CR52,0)</f>
        <v>23</v>
      </c>
      <c r="CU52">
        <f t="shared" si="7"/>
        <v>23</v>
      </c>
      <c r="CV52">
        <f t="array" aca="1" ref="CV52" ca="1">IF(ROW()-ROW(Н7кр)+1&gt;ROWS(Е7кр)-COUNTBLANK(Е7кр)," ",INDIRECT(ADDRESS(SMALL((IF(Е7кр&lt;&gt;" ",ROW(Е7кр),ROW()+ROWS(Е7кр))),ROW()-ROW(Н7кр)+1),COLUMN(Е7кр),4)))</f>
        <v>48</v>
      </c>
    </row>
    <row r="53" spans="1:100" ht="12" hidden="1" customHeight="1" thickBot="1">
      <c r="A53" s="201"/>
      <c r="B53" s="424"/>
      <c r="C53" s="426"/>
      <c r="D53" s="428"/>
      <c r="E53" s="430"/>
      <c r="F53" s="442"/>
      <c r="G53" s="44"/>
      <c r="H53" s="439"/>
      <c r="I53" s="44"/>
      <c r="J53" s="439"/>
      <c r="K53" s="44"/>
      <c r="L53" s="439"/>
      <c r="M53" s="44"/>
      <c r="N53" s="439"/>
      <c r="O53" s="44"/>
      <c r="P53" s="439"/>
      <c r="Q53" s="44"/>
      <c r="R53" s="439"/>
      <c r="S53" s="44"/>
      <c r="T53" s="439"/>
      <c r="U53" s="47"/>
      <c r="V53" s="439"/>
      <c r="W53" s="44"/>
      <c r="X53" s="439"/>
      <c r="Y53" s="44"/>
      <c r="Z53" s="432"/>
      <c r="AA53" s="419"/>
      <c r="AB53" s="432"/>
      <c r="AC53" s="386"/>
      <c r="AD53" s="387"/>
      <c r="AE53" s="389"/>
      <c r="AF53" s="390"/>
      <c r="AG53" s="390"/>
      <c r="AH53" s="390"/>
      <c r="AI53" s="390"/>
      <c r="AJ53" s="390"/>
      <c r="AK53" s="390"/>
      <c r="AL53" s="390"/>
      <c r="AM53" s="390"/>
      <c r="AN53" s="392"/>
      <c r="AO53" s="387"/>
      <c r="AP53" s="394"/>
      <c r="AQ53" s="387"/>
      <c r="AR53" s="395"/>
      <c r="AS53" s="183"/>
      <c r="AT53" s="183"/>
      <c r="AU53" s="183"/>
      <c r="AV53" s="386"/>
      <c r="AW53" s="19"/>
      <c r="AX53" s="19"/>
      <c r="AY53" s="19"/>
      <c r="AZ53" s="19"/>
      <c r="BA53" s="2"/>
      <c r="BB53" s="2"/>
      <c r="BC53" s="2"/>
      <c r="BD53" s="2"/>
      <c r="BE53" s="2"/>
      <c r="BF53" s="2"/>
      <c r="BG53" s="2"/>
      <c r="BU53" s="377"/>
      <c r="BV53" s="377"/>
      <c r="BW53" s="377"/>
      <c r="BX53" s="377"/>
      <c r="BY53" s="61" t="str">
        <f>IF(BY52&gt;=1,BX52,0)</f>
        <v xml:space="preserve"> </v>
      </c>
      <c r="BZ53" s="61" t="str">
        <f t="shared" si="84"/>
        <v xml:space="preserve"> </v>
      </c>
      <c r="CA53" s="124">
        <f t="array" aca="1" ref="CA5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49</v>
      </c>
      <c r="CB53" t="str">
        <f>IF(CB52&gt;=1,BW52,0)</f>
        <v xml:space="preserve"> </v>
      </c>
      <c r="CC53" s="125" t="str">
        <f t="shared" si="5"/>
        <v xml:space="preserve"> </v>
      </c>
      <c r="CD53" s="51">
        <f t="array" aca="1" ref="CD53" ca="1">IF(ROW()-ROW(Н4кр)+1&gt;ROWS(Е4кр)-COUNTBLANK(Е4кр)," ",INDIRECT(ADDRESS(SMALL((IF(Е4кр&lt;&gt;" ",ROW(Е4кр),ROW()+ROWS(Е4кр))),ROW()-ROW(Н4кр)+1),COLUMN(Е4кр),4)))</f>
        <v>49</v>
      </c>
      <c r="CF53" s="377"/>
      <c r="CG53" s="377"/>
      <c r="CH53" s="125" t="str">
        <f>IF(CH52&gt;=1,CG52,0)</f>
        <v xml:space="preserve"> </v>
      </c>
      <c r="CI53" t="str">
        <f t="shared" si="12"/>
        <v xml:space="preserve"> </v>
      </c>
      <c r="CJ53" s="51">
        <f t="array" aca="1" ref="CJ53" ca="1">IF(ROW()-ROW(Н5кр)+1&gt;ROWS(Е5кр)-COUNTBLANK(Е5кр)," ",INDIRECT(ADDRESS(SMALL((IF(Е5кр&lt;&gt;" ",ROW(Е5кр),ROW()+ROWS(Е5кр))),ROW()-ROW(Н5кр)+1),COLUMN(Е5кр),4)))</f>
        <v>49</v>
      </c>
      <c r="CL53" s="377"/>
      <c r="CM53" s="377"/>
      <c r="CN53" t="str">
        <f>IF(CN52&gt;=1,CM52,0)</f>
        <v xml:space="preserve"> </v>
      </c>
      <c r="CO53" t="str">
        <f t="shared" si="6"/>
        <v xml:space="preserve"> </v>
      </c>
      <c r="CP53">
        <f t="array" aca="1" ref="CP53" ca="1">IF(ROW()-ROW(Н6кр)+1&gt;ROWS(Е6кр)-COUNTBLANK(Е6кр)," ",INDIRECT(ADDRESS(SMALL((IF(Е6кр&lt;&gt;" ",ROW(Е6кр),ROW()+ROWS(Е6кр))),ROW()-ROW(Н6кр)+1),COLUMN(Е6кр),4)))</f>
        <v>49</v>
      </c>
      <c r="CR53" s="377"/>
      <c r="CS53" s="377"/>
      <c r="CT53" t="str">
        <f>IF(CT52&gt;=1,CS52,0)</f>
        <v xml:space="preserve"> </v>
      </c>
      <c r="CU53" t="str">
        <f t="shared" si="7"/>
        <v xml:space="preserve"> </v>
      </c>
      <c r="CV53">
        <f t="array" aca="1" ref="CV53" ca="1">IF(ROW()-ROW(Н7кр)+1&gt;ROWS(Е7кр)-COUNTBLANK(Е7кр)," ",INDIRECT(ADDRESS(SMALL((IF(Е7кр&lt;&gt;" ",ROW(Е7кр),ROW()+ROWS(Е7кр))),ROW()-ROW(Н7кр)+1),COLUMN(Е7кр),4)))</f>
        <v>49</v>
      </c>
    </row>
    <row r="54" spans="1:100" ht="12" hidden="1" customHeight="1" thickTop="1">
      <c r="A54" s="201"/>
      <c r="B54" s="433">
        <v>24</v>
      </c>
      <c r="C54" s="425" t="e">
        <f>(VLOOKUP(B54,пр.взв!$B$7:$H$76,2,0))</f>
        <v>#N/A</v>
      </c>
      <c r="D54" s="427" t="e">
        <f>(VLOOKUP(B54,пр.взв!$B$7:$H$76,3,0))</f>
        <v>#N/A</v>
      </c>
      <c r="E54" s="429" t="e">
        <f>(VLOOKUP(B54,пр.взв!$B$7:$H$76,5,0))</f>
        <v>#N/A</v>
      </c>
      <c r="F54" s="443">
        <f t="shared" si="50"/>
        <v>0</v>
      </c>
      <c r="G54" s="41"/>
      <c r="H54" s="444"/>
      <c r="I54" s="41"/>
      <c r="J54" s="444" t="str">
        <f t="shared" si="0"/>
        <v xml:space="preserve"> </v>
      </c>
      <c r="K54" s="41"/>
      <c r="L54" s="438" t="str">
        <f t="shared" ref="L54" si="140">IF(J54="Х","Х",IF(K54&lt;2.5," ",IF(K54&gt;=2.5,IF(G54+I54+K54&gt;=6,"Х",IF(AA54&lt;6," "," ")))))</f>
        <v xml:space="preserve"> </v>
      </c>
      <c r="M54" s="41"/>
      <c r="N54" s="444" t="str">
        <f>IF(L54="Х","Х",IF(M54&lt;2.5," ",IF(M54&gt;=2.5,IF(G54+I54+K54+M54&gt;=6,"Х",IF(AA54&lt;6," "," ")))))</f>
        <v xml:space="preserve"> </v>
      </c>
      <c r="O54" s="41"/>
      <c r="P54" s="444" t="str">
        <f>IF(N54="Х","Х",IF(O54&lt;2.5," ",IF(O54&gt;=2.5,IF(G54+I54+K54+M54+O54&gt;=6,"Х",IF(AA54&lt;6," "," ")))))</f>
        <v xml:space="preserve"> </v>
      </c>
      <c r="Q54" s="41"/>
      <c r="R54" s="444" t="str">
        <f>IF(P54="Х","Х",IF(Q54&lt;2.5," ",IF(Q54&gt;=2.5,IF(G54+I54+K54+M54+O54+Q54&gt;=6,"Х",IF(AA54&lt;6," "," ")))))</f>
        <v xml:space="preserve"> </v>
      </c>
      <c r="S54" s="41"/>
      <c r="T54" s="444" t="str">
        <f>IF(R54="Х","Х",IF(S54&lt;2.5," ",IF(S54&gt;=2.5,IF(G54+I54+K54+M54+O54+Q54+S54&gt;=6,"Х",IF(AA54&lt;6," "," ")))))</f>
        <v xml:space="preserve"> </v>
      </c>
      <c r="U54" s="45"/>
      <c r="V54" s="438" t="str">
        <f>IF(T54="А1",$AX$7,IF(T54="Б2",$AX$6,IF(T54="Б1",$AY$7,IF(T54="А2",$AY$6,IF(T54="Х","Х",IF(T54&lt;6," "," "))))))</f>
        <v xml:space="preserve"> </v>
      </c>
      <c r="W54" s="41"/>
      <c r="X54" s="438" t="str">
        <f t="shared" ref="X54" si="141">IF(T54="Х","Х",IF(ISBLANK(W54),"",IF(W54&gt;2.5," ",IF(B54=AZ$6,AZ$7,AZ$6))))</f>
        <v/>
      </c>
      <c r="Y54" s="41"/>
      <c r="Z54" s="421" t="b">
        <f>IF(H54="Х","1",IF(J54="Х","2",IF(L54="Х","3",IF(N54="Х","4",IF(P54="Х","5",IF(R54="Х","6",IF(T54="Х","7",IF(V54="Х","8"))))))))</f>
        <v>0</v>
      </c>
      <c r="AA54" s="420">
        <f>SUM(G54+I54+K54+M54+O54+Q54+S54+U54+W54+Y54)</f>
        <v>0</v>
      </c>
      <c r="AB54" s="431">
        <f t="shared" ref="AB54" si="142">AD54+0</f>
        <v>20576</v>
      </c>
      <c r="AC54" s="386">
        <f>AB54</f>
        <v>20576</v>
      </c>
      <c r="AD54" s="387" t="str">
        <f>COUNTIF(AE$6:AE$119,"&gt;"&amp;AE$6:AE$119)+1&amp;REPT("-"&amp;COUNTIF(AE$6:AE$119,"&gt;="&amp;AE$6:AE$119),COUNTIF(AE$6:AE$119,AE54)&gt;1)</f>
        <v>5-56</v>
      </c>
      <c r="AE54" s="388">
        <f t="shared" si="45"/>
        <v>80</v>
      </c>
      <c r="AF54" s="390" t="str">
        <f>IF(OR(F54="Х",F54="св")," ",IF(AND(G54&gt;=0,G54&lt;3),"1"," "))</f>
        <v>1</v>
      </c>
      <c r="AG54" s="390" t="str">
        <f>IF(OR(H54="Х",H54="св")," ",IF(AND(I54&gt;=0,I54&lt;3),"1"," "))</f>
        <v>1</v>
      </c>
      <c r="AH54" s="390" t="str">
        <f>IF(OR(J54="Х",J54="св")," ",IF(AND(K54&gt;=0,K54&lt;3),"1"," "))</f>
        <v>1</v>
      </c>
      <c r="AI54" s="390" t="str">
        <f>IF(OR(L54="Х",L54="св")," ",IF(AND(M54&gt;=0,M54&lt;3),"1"," "))</f>
        <v>1</v>
      </c>
      <c r="AJ54" s="390" t="str">
        <f>IF(OR(N54="Х",N54="св")," ",IF(AND(O54&gt;=0,O54&lt;3),"1"," "))</f>
        <v>1</v>
      </c>
      <c r="AK54" s="390" t="str">
        <f>IF(OR(P54="Х",P54="св")," ",IF(AND(Q54&gt;=0,Q54&lt;3),"1"," "))</f>
        <v>1</v>
      </c>
      <c r="AL54" s="390" t="str">
        <f>IF(OR(R54="Х",R54="св")," ",IF(AND(S54&gt;=0,S54&lt;3),"1"," "))</f>
        <v>1</v>
      </c>
      <c r="AM54" s="390" t="str">
        <f>IF(OR(T54="Х",T54="св")," ",IF(AND(U54&gt;=0,U54&lt;3),"1"," "))</f>
        <v>1</v>
      </c>
      <c r="AN54" s="391">
        <f>COUNTIF(AF54:AM55,1)</f>
        <v>8</v>
      </c>
      <c r="AO54" s="393">
        <f>AE54-AA54</f>
        <v>80</v>
      </c>
      <c r="AP54" s="394">
        <f t="shared" si="10"/>
        <v>0</v>
      </c>
      <c r="AQ54" s="387" t="str">
        <f>COUNTIF(AE$6:AE$119,"&gt;"&amp;AE$6:AE$119)+1&amp;REPT("-"&amp;COUNTIF(AE$6:AE$119,"&gt;="&amp;AE$6:AE$119),COUNTIF(AE$6:AE$119,AE54)&gt;1)</f>
        <v>5-56</v>
      </c>
      <c r="AR54" s="395"/>
      <c r="AS54" s="183"/>
      <c r="AT54" s="183"/>
      <c r="AU54" s="183"/>
      <c r="AV54" s="386">
        <f t="shared" si="65"/>
        <v>24</v>
      </c>
      <c r="AW54" s="19"/>
      <c r="AX54" s="19"/>
      <c r="AY54" s="19"/>
      <c r="AZ54" s="19"/>
      <c r="BU54" s="377">
        <f>IF(J54="х"," ",B54)</f>
        <v>24</v>
      </c>
      <c r="BV54" s="377">
        <f>IF(L54="х"," ",B54)</f>
        <v>24</v>
      </c>
      <c r="BW54" s="377" t="str">
        <f>IF(BV54=" "," ",L54)</f>
        <v xml:space="preserve"> </v>
      </c>
      <c r="BX54" s="377" t="str">
        <f>IF(BU54=" "," ",J54)</f>
        <v xml:space="preserve"> </v>
      </c>
      <c r="BY54" s="61">
        <f>IF(BU54&lt;BX54,BU54,0)</f>
        <v>24</v>
      </c>
      <c r="BZ54" s="61">
        <f t="shared" si="84"/>
        <v>24</v>
      </c>
      <c r="CA54" s="124">
        <f t="array" aca="1" ref="CA5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50</v>
      </c>
      <c r="CB54">
        <f>IF(BV54&lt;BW54,BV54,0)</f>
        <v>24</v>
      </c>
      <c r="CC54" s="125">
        <f t="shared" si="5"/>
        <v>24</v>
      </c>
      <c r="CD54" s="51">
        <f t="array" aca="1" ref="CD54" ca="1">IF(ROW()-ROW(Н4кр)+1&gt;ROWS(Е4кр)-COUNTBLANK(Е4кр)," ",INDIRECT(ADDRESS(SMALL((IF(Е4кр&lt;&gt;" ",ROW(Е4кр),ROW()+ROWS(Е4кр))),ROW()-ROW(Н4кр)+1),COLUMN(Е4кр),4)))</f>
        <v>50</v>
      </c>
      <c r="CF54" s="377">
        <f>IF(N54="х"," ",B54)</f>
        <v>24</v>
      </c>
      <c r="CG54" s="377" t="str">
        <f>IF(CF54=" "," ",N54)</f>
        <v xml:space="preserve"> </v>
      </c>
      <c r="CH54" s="125">
        <f>IF(CF54&lt;CG54,CF54,0)</f>
        <v>24</v>
      </c>
      <c r="CI54">
        <f t="shared" si="12"/>
        <v>24</v>
      </c>
      <c r="CJ54" s="51">
        <f t="array" aca="1" ref="CJ54" ca="1">IF(ROW()-ROW(Н5кр)+1&gt;ROWS(Е5кр)-COUNTBLANK(Е5кр)," ",INDIRECT(ADDRESS(SMALL((IF(Е5кр&lt;&gt;" ",ROW(Е5кр),ROW()+ROWS(Е5кр))),ROW()-ROW(Н5кр)+1),COLUMN(Е5кр),4)))</f>
        <v>50</v>
      </c>
      <c r="CL54" s="377">
        <f>IF(P54="х"," ",B54)</f>
        <v>24</v>
      </c>
      <c r="CM54" s="377" t="str">
        <f>IF(CL54=" "," ",P54)</f>
        <v xml:space="preserve"> </v>
      </c>
      <c r="CN54">
        <f>IF(CL54&lt;CM54,CL54,0)</f>
        <v>24</v>
      </c>
      <c r="CO54">
        <f t="shared" si="6"/>
        <v>24</v>
      </c>
      <c r="CP54">
        <f t="array" aca="1" ref="CP54" ca="1">IF(ROW()-ROW(Н6кр)+1&gt;ROWS(Е6кр)-COUNTBLANK(Е6кр)," ",INDIRECT(ADDRESS(SMALL((IF(Е6кр&lt;&gt;" ",ROW(Е6кр),ROW()+ROWS(Е6кр))),ROW()-ROW(Н6кр)+1),COLUMN(Е6кр),4)))</f>
        <v>50</v>
      </c>
      <c r="CR54" s="377">
        <f t="shared" ref="CR54" si="143">IF(R54="х"," ",B54)</f>
        <v>24</v>
      </c>
      <c r="CS54" s="377" t="str">
        <f t="shared" ref="CS54" si="144">IF(CR54=" "," ",R54)</f>
        <v xml:space="preserve"> </v>
      </c>
      <c r="CT54">
        <f>IF(CR54&lt;CS54,CR54,0)</f>
        <v>24</v>
      </c>
      <c r="CU54">
        <f t="shared" si="7"/>
        <v>24</v>
      </c>
      <c r="CV54">
        <f t="array" aca="1" ref="CV54" ca="1">IF(ROW()-ROW(Н7кр)+1&gt;ROWS(Е7кр)-COUNTBLANK(Е7кр)," ",INDIRECT(ADDRESS(SMALL((IF(Е7кр&lt;&gt;" ",ROW(Е7кр),ROW()+ROWS(Е7кр))),ROW()-ROW(Н7кр)+1),COLUMN(Е7кр),4)))</f>
        <v>50</v>
      </c>
    </row>
    <row r="55" spans="1:100" ht="12" hidden="1" customHeight="1" thickBot="1">
      <c r="A55" s="201"/>
      <c r="B55" s="434"/>
      <c r="C55" s="426"/>
      <c r="D55" s="428"/>
      <c r="E55" s="430"/>
      <c r="F55" s="442"/>
      <c r="G55" s="59"/>
      <c r="H55" s="439"/>
      <c r="I55" s="44"/>
      <c r="J55" s="439"/>
      <c r="K55" s="44"/>
      <c r="L55" s="439"/>
      <c r="M55" s="44"/>
      <c r="N55" s="439"/>
      <c r="O55" s="44"/>
      <c r="P55" s="439"/>
      <c r="Q55" s="44"/>
      <c r="R55" s="439"/>
      <c r="S55" s="44"/>
      <c r="T55" s="439"/>
      <c r="U55" s="47"/>
      <c r="V55" s="439"/>
      <c r="W55" s="44"/>
      <c r="X55" s="439"/>
      <c r="Y55" s="44"/>
      <c r="Z55" s="422"/>
      <c r="AA55" s="419"/>
      <c r="AB55" s="432"/>
      <c r="AC55" s="386"/>
      <c r="AD55" s="387"/>
      <c r="AE55" s="389"/>
      <c r="AF55" s="390"/>
      <c r="AG55" s="390"/>
      <c r="AH55" s="390"/>
      <c r="AI55" s="390"/>
      <c r="AJ55" s="390"/>
      <c r="AK55" s="390"/>
      <c r="AL55" s="390"/>
      <c r="AM55" s="390"/>
      <c r="AN55" s="392"/>
      <c r="AO55" s="387"/>
      <c r="AP55" s="394"/>
      <c r="AQ55" s="387"/>
      <c r="AR55" s="395"/>
      <c r="AS55" s="183"/>
      <c r="AT55" s="183"/>
      <c r="AU55" s="183"/>
      <c r="AV55" s="386"/>
      <c r="AW55" s="19"/>
      <c r="AX55" s="19"/>
      <c r="AY55" s="19"/>
      <c r="AZ55" s="19"/>
      <c r="BU55" s="377"/>
      <c r="BV55" s="377"/>
      <c r="BW55" s="377"/>
      <c r="BX55" s="377"/>
      <c r="BY55" s="61" t="str">
        <f>IF(BY54&gt;=1,BX54,0)</f>
        <v xml:space="preserve"> </v>
      </c>
      <c r="BZ55" s="61" t="str">
        <f t="shared" si="84"/>
        <v xml:space="preserve"> </v>
      </c>
      <c r="CA55" s="124">
        <f t="array" aca="1" ref="CA5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51</v>
      </c>
      <c r="CB55" t="str">
        <f>IF(CB54&gt;=1,BW54,0)</f>
        <v xml:space="preserve"> </v>
      </c>
      <c r="CC55" s="125" t="str">
        <f t="shared" si="5"/>
        <v xml:space="preserve"> </v>
      </c>
      <c r="CD55" s="51">
        <f t="array" aca="1" ref="CD55" ca="1">IF(ROW()-ROW(Н4кр)+1&gt;ROWS(Е4кр)-COUNTBLANK(Е4кр)," ",INDIRECT(ADDRESS(SMALL((IF(Е4кр&lt;&gt;" ",ROW(Е4кр),ROW()+ROWS(Е4кр))),ROW()-ROW(Н4кр)+1),COLUMN(Е4кр),4)))</f>
        <v>51</v>
      </c>
      <c r="CF55" s="377"/>
      <c r="CG55" s="377"/>
      <c r="CH55" s="125" t="str">
        <f>IF(CH54&gt;=1,CG54,0)</f>
        <v xml:space="preserve"> </v>
      </c>
      <c r="CI55" t="str">
        <f t="shared" si="12"/>
        <v xml:space="preserve"> </v>
      </c>
      <c r="CJ55" s="51">
        <f t="array" aca="1" ref="CJ55" ca="1">IF(ROW()-ROW(Н5кр)+1&gt;ROWS(Е5кр)-COUNTBLANK(Е5кр)," ",INDIRECT(ADDRESS(SMALL((IF(Е5кр&lt;&gt;" ",ROW(Е5кр),ROW()+ROWS(Е5кр))),ROW()-ROW(Н5кр)+1),COLUMN(Е5кр),4)))</f>
        <v>51</v>
      </c>
      <c r="CL55" s="377"/>
      <c r="CM55" s="377"/>
      <c r="CN55" t="str">
        <f>IF(CN54&gt;=1,CM54,0)</f>
        <v xml:space="preserve"> </v>
      </c>
      <c r="CO55" t="str">
        <f t="shared" si="6"/>
        <v xml:space="preserve"> </v>
      </c>
      <c r="CP55">
        <f t="array" aca="1" ref="CP55" ca="1">IF(ROW()-ROW(Н6кр)+1&gt;ROWS(Е6кр)-COUNTBLANK(Е6кр)," ",INDIRECT(ADDRESS(SMALL((IF(Е6кр&lt;&gt;" ",ROW(Е6кр),ROW()+ROWS(Е6кр))),ROW()-ROW(Н6кр)+1),COLUMN(Е6кр),4)))</f>
        <v>51</v>
      </c>
      <c r="CR55" s="377"/>
      <c r="CS55" s="377"/>
      <c r="CT55" t="str">
        <f>IF(CT54&gt;=1,CS54,0)</f>
        <v xml:space="preserve"> </v>
      </c>
      <c r="CU55" t="str">
        <f t="shared" si="7"/>
        <v xml:space="preserve"> </v>
      </c>
      <c r="CV55">
        <f t="array" aca="1" ref="CV55" ca="1">IF(ROW()-ROW(Н7кр)+1&gt;ROWS(Е7кр)-COUNTBLANK(Е7кр)," ",INDIRECT(ADDRESS(SMALL((IF(Е7кр&lt;&gt;" ",ROW(Е7кр),ROW()+ROWS(Е7кр))),ROW()-ROW(Н7кр)+1),COLUMN(Е7кр),4)))</f>
        <v>51</v>
      </c>
    </row>
    <row r="56" spans="1:100" ht="12" hidden="1" customHeight="1" thickTop="1">
      <c r="A56" s="201"/>
      <c r="B56" s="433">
        <v>25</v>
      </c>
      <c r="C56" s="425" t="e">
        <f>(VLOOKUP(B56,пр.взв!$B$7:$H$76,2,0))</f>
        <v>#N/A</v>
      </c>
      <c r="D56" s="427" t="e">
        <f>(VLOOKUP(B56,пр.взв!$B$7:$H$76,3,0))</f>
        <v>#N/A</v>
      </c>
      <c r="E56" s="429" t="e">
        <f>(VLOOKUP(B56,пр.взв!$B$7:$H$76,5,0))</f>
        <v>#N/A</v>
      </c>
      <c r="F56" s="445">
        <f t="shared" ref="F56" si="145">IF(ISERROR(C56),0,B58)</f>
        <v>0</v>
      </c>
      <c r="G56" s="41"/>
      <c r="H56" s="444"/>
      <c r="I56" s="41"/>
      <c r="J56" s="444" t="str">
        <f t="shared" si="0"/>
        <v xml:space="preserve"> </v>
      </c>
      <c r="K56" s="41"/>
      <c r="L56" s="438" t="str">
        <f t="shared" ref="L56" si="146">IF(J56="Х","Х",IF(K56&lt;2.5," ",IF(K56&gt;=2.5,IF(G56+I56+K56&gt;=6,"Х",IF(AA56&lt;6," "," ")))))</f>
        <v xml:space="preserve"> </v>
      </c>
      <c r="M56" s="41"/>
      <c r="N56" s="444" t="str">
        <f>IF(L56="Х","Х",IF(M56&lt;2.5," ",IF(M56&gt;=2.5,IF(G56+I56+K56+M56&gt;=6,"Х",IF(AA56&lt;6," "," ")))))</f>
        <v xml:space="preserve"> </v>
      </c>
      <c r="O56" s="41"/>
      <c r="P56" s="444" t="str">
        <f>IF(N56="Х","Х",IF(O56&lt;2.5," ",IF(O56&gt;=2.5,IF(G56+I56+K56+M56+O56&gt;=6,"Х",IF(AA56&lt;6," "," ")))))</f>
        <v xml:space="preserve"> </v>
      </c>
      <c r="Q56" s="41"/>
      <c r="R56" s="444" t="str">
        <f>IF(P56="Х","Х",IF(Q56&lt;2.5," ",IF(Q56&gt;=2.5,IF(G56+I56+K56+M56+O56+Q56&gt;=6,"Х",IF(AA56&lt;6," "," ")))))</f>
        <v xml:space="preserve"> </v>
      </c>
      <c r="S56" s="41"/>
      <c r="T56" s="444" t="str">
        <f>IF(R56="Х","Х",IF(S56&lt;2.5," ",IF(S56&gt;=2.5,IF(G56+I56+K56+M56+O56+Q56+S56&gt;=6,"Х",IF(AA56&lt;6," "," ")))))</f>
        <v xml:space="preserve"> </v>
      </c>
      <c r="U56" s="45"/>
      <c r="V56" s="438" t="str">
        <f>IF(T56="А1",$AX$7,IF(T56="Б2",$AX$6,IF(T56="Б1",$AY$7,IF(T56="А2",$AY$6,IF(T56="Х","Х",IF(T56&lt;6," "," "))))))</f>
        <v xml:space="preserve"> </v>
      </c>
      <c r="W56" s="41"/>
      <c r="X56" s="438" t="str">
        <f t="shared" ref="X56" si="147">IF(T56="Х","Х",IF(ISBLANK(W56),"",IF(W56&gt;2.5," ",IF(B56=AZ$6,AZ$7,AZ$6))))</f>
        <v/>
      </c>
      <c r="Y56" s="41"/>
      <c r="Z56" s="421" t="b">
        <f>IF(H56="Х","1",IF(J56="Х","2",IF(L56="Х","3",IF(N56="Х","4",IF(P56="Х","5",IF(R56="Х","6",IF(T56="Х","7",IF(V56="Х","8"))))))))</f>
        <v>0</v>
      </c>
      <c r="AA56" s="420">
        <f>SUM(G56+I56+K56+M56+O56+Q56+S56+U56+W56+Y56)</f>
        <v>0</v>
      </c>
      <c r="AB56" s="431">
        <f t="shared" ref="AB56" si="148">AD56+0</f>
        <v>20576</v>
      </c>
      <c r="AC56" s="386">
        <f>AB56</f>
        <v>20576</v>
      </c>
      <c r="AD56" s="387" t="str">
        <f>COUNTIF(AE$6:AE$119,"&gt;"&amp;AE$6:AE$119)+1&amp;REPT("-"&amp;COUNTIF(AE$6:AE$119,"&gt;="&amp;AE$6:AE$119),COUNTIF(AE$6:AE$119,AE56)&gt;1)</f>
        <v>5-56</v>
      </c>
      <c r="AE56" s="388">
        <f t="shared" si="45"/>
        <v>80</v>
      </c>
      <c r="AF56" s="390" t="str">
        <f>IF(OR(F56="Х",F56="св")," ",IF(AND(G56&gt;=0,G56&lt;3),"1"," "))</f>
        <v>1</v>
      </c>
      <c r="AG56" s="390" t="str">
        <f>IF(OR(H56="Х",H56="св")," ",IF(AND(I56&gt;=0,I56&lt;3),"1"," "))</f>
        <v>1</v>
      </c>
      <c r="AH56" s="390" t="str">
        <f>IF(OR(J56="Х",J56="св")," ",IF(AND(K56&gt;=0,K56&lt;3),"1"," "))</f>
        <v>1</v>
      </c>
      <c r="AI56" s="390" t="str">
        <f>IF(OR(L56="Х",L56="св")," ",IF(AND(M56&gt;=0,M56&lt;3),"1"," "))</f>
        <v>1</v>
      </c>
      <c r="AJ56" s="390" t="str">
        <f>IF(OR(N56="Х",N56="св")," ",IF(AND(O56&gt;=0,O56&lt;3),"1"," "))</f>
        <v>1</v>
      </c>
      <c r="AK56" s="390" t="str">
        <f>IF(OR(P56="Х",P56="св")," ",IF(AND(Q56&gt;=0,Q56&lt;3),"1"," "))</f>
        <v>1</v>
      </c>
      <c r="AL56" s="390" t="str">
        <f>IF(OR(R56="Х",R56="св")," ",IF(AND(S56&gt;=0,S56&lt;3),"1"," "))</f>
        <v>1</v>
      </c>
      <c r="AM56" s="390" t="str">
        <f>IF(OR(T56="Х",T56="св")," ",IF(AND(U56&gt;=0,U56&lt;3),"1"," "))</f>
        <v>1</v>
      </c>
      <c r="AN56" s="391">
        <f>COUNTIF(AF56:AM57,1)</f>
        <v>8</v>
      </c>
      <c r="AO56" s="393">
        <f>AE56-AA56</f>
        <v>80</v>
      </c>
      <c r="AP56" s="394">
        <f t="shared" si="10"/>
        <v>0</v>
      </c>
      <c r="AQ56" s="387" t="str">
        <f>COUNTIF(AE$6:AE$119,"&gt;"&amp;AE$6:AE$119)+1&amp;REPT("-"&amp;COUNTIF(AE$6:AE$119,"&gt;="&amp;AE$6:AE$119),COUNTIF(AE$6:AE$119,AE56)&gt;1)</f>
        <v>5-56</v>
      </c>
      <c r="AR56" s="395"/>
      <c r="AS56" s="183"/>
      <c r="AT56" s="183"/>
      <c r="AU56" s="183"/>
      <c r="AV56" s="386">
        <f t="shared" si="65"/>
        <v>25</v>
      </c>
      <c r="AW56" s="19"/>
      <c r="AX56" s="19"/>
      <c r="AY56" s="19"/>
      <c r="AZ56" s="19"/>
      <c r="BU56" s="377">
        <f>IF(J56="х"," ",B56)</f>
        <v>25</v>
      </c>
      <c r="BV56" s="377">
        <f>IF(L56="х"," ",B56)</f>
        <v>25</v>
      </c>
      <c r="BW56" s="377" t="str">
        <f>IF(BV56=" "," ",L56)</f>
        <v xml:space="preserve"> </v>
      </c>
      <c r="BX56" s="377" t="str">
        <f>IF(BU56=" "," ",J56)</f>
        <v xml:space="preserve"> </v>
      </c>
      <c r="BY56" s="61">
        <f>IF(BU56&lt;BX56,BU56,0)</f>
        <v>25</v>
      </c>
      <c r="BZ56" s="61">
        <f t="shared" si="84"/>
        <v>25</v>
      </c>
      <c r="CA56" s="124">
        <f t="array" aca="1" ref="CA5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52</v>
      </c>
      <c r="CB56">
        <f>IF(BV56&lt;BW56,BV56,0)</f>
        <v>25</v>
      </c>
      <c r="CC56" s="125">
        <f t="shared" si="5"/>
        <v>25</v>
      </c>
      <c r="CD56" s="51">
        <f t="array" aca="1" ref="CD56" ca="1">IF(ROW()-ROW(Н4кр)+1&gt;ROWS(Е4кр)-COUNTBLANK(Е4кр)," ",INDIRECT(ADDRESS(SMALL((IF(Е4кр&lt;&gt;" ",ROW(Е4кр),ROW()+ROWS(Е4кр))),ROW()-ROW(Н4кр)+1),COLUMN(Е4кр),4)))</f>
        <v>52</v>
      </c>
      <c r="CF56" s="377">
        <f>IF(N56="х"," ",B56)</f>
        <v>25</v>
      </c>
      <c r="CG56" s="377" t="str">
        <f>IF(CF56=" "," ",N56)</f>
        <v xml:space="preserve"> </v>
      </c>
      <c r="CH56" s="125">
        <f>IF(CF56&lt;CG56,CF56,0)</f>
        <v>25</v>
      </c>
      <c r="CI56">
        <f t="shared" si="12"/>
        <v>25</v>
      </c>
      <c r="CJ56" s="51">
        <f t="array" aca="1" ref="CJ56" ca="1">IF(ROW()-ROW(Н5кр)+1&gt;ROWS(Е5кр)-COUNTBLANK(Е5кр)," ",INDIRECT(ADDRESS(SMALL((IF(Е5кр&lt;&gt;" ",ROW(Е5кр),ROW()+ROWS(Е5кр))),ROW()-ROW(Н5кр)+1),COLUMN(Е5кр),4)))</f>
        <v>52</v>
      </c>
      <c r="CL56" s="377">
        <f>IF(P56="х"," ",B56)</f>
        <v>25</v>
      </c>
      <c r="CM56" s="377" t="str">
        <f>IF(CL56=" "," ",P56)</f>
        <v xml:space="preserve"> </v>
      </c>
      <c r="CN56">
        <f>IF(CL56&lt;CM56,CL56,0)</f>
        <v>25</v>
      </c>
      <c r="CO56">
        <f t="shared" si="6"/>
        <v>25</v>
      </c>
      <c r="CP56">
        <f t="array" aca="1" ref="CP56" ca="1">IF(ROW()-ROW(Н6кр)+1&gt;ROWS(Е6кр)-COUNTBLANK(Е6кр)," ",INDIRECT(ADDRESS(SMALL((IF(Е6кр&lt;&gt;" ",ROW(Е6кр),ROW()+ROWS(Е6кр))),ROW()-ROW(Н6кр)+1),COLUMN(Е6кр),4)))</f>
        <v>52</v>
      </c>
      <c r="CR56" s="377">
        <f t="shared" ref="CR56" si="149">IF(R56="х"," ",B56)</f>
        <v>25</v>
      </c>
      <c r="CS56" s="377" t="str">
        <f t="shared" ref="CS56" si="150">IF(CR56=" "," ",R56)</f>
        <v xml:space="preserve"> </v>
      </c>
      <c r="CT56">
        <f>IF(CR56&lt;CS56,CR56,0)</f>
        <v>25</v>
      </c>
      <c r="CU56">
        <f t="shared" si="7"/>
        <v>25</v>
      </c>
      <c r="CV56">
        <f t="array" aca="1" ref="CV56" ca="1">IF(ROW()-ROW(Н7кр)+1&gt;ROWS(Е7кр)-COUNTBLANK(Е7кр)," ",INDIRECT(ADDRESS(SMALL((IF(Е7кр&lt;&gt;" ",ROW(Е7кр),ROW()+ROWS(Е7кр))),ROW()-ROW(Н7кр)+1),COLUMN(Е7кр),4)))</f>
        <v>52</v>
      </c>
    </row>
    <row r="57" spans="1:100" ht="12" hidden="1" customHeight="1" thickBot="1">
      <c r="A57" s="201"/>
      <c r="B57" s="434"/>
      <c r="C57" s="426"/>
      <c r="D57" s="428"/>
      <c r="E57" s="430"/>
      <c r="F57" s="442"/>
      <c r="G57" s="44"/>
      <c r="H57" s="439"/>
      <c r="I57" s="44"/>
      <c r="J57" s="439"/>
      <c r="K57" s="44"/>
      <c r="L57" s="439"/>
      <c r="M57" s="44"/>
      <c r="N57" s="439"/>
      <c r="O57" s="44"/>
      <c r="P57" s="439"/>
      <c r="Q57" s="44"/>
      <c r="R57" s="439"/>
      <c r="S57" s="44"/>
      <c r="T57" s="439"/>
      <c r="U57" s="47"/>
      <c r="V57" s="439"/>
      <c r="W57" s="44"/>
      <c r="X57" s="439"/>
      <c r="Y57" s="44"/>
      <c r="Z57" s="422"/>
      <c r="AA57" s="419"/>
      <c r="AB57" s="432"/>
      <c r="AC57" s="386"/>
      <c r="AD57" s="387"/>
      <c r="AE57" s="389"/>
      <c r="AF57" s="390"/>
      <c r="AG57" s="390"/>
      <c r="AH57" s="390"/>
      <c r="AI57" s="390"/>
      <c r="AJ57" s="390"/>
      <c r="AK57" s="390"/>
      <c r="AL57" s="390"/>
      <c r="AM57" s="390"/>
      <c r="AN57" s="392"/>
      <c r="AO57" s="387"/>
      <c r="AP57" s="394"/>
      <c r="AQ57" s="387"/>
      <c r="AR57" s="395"/>
      <c r="AS57" s="183"/>
      <c r="AT57" s="183"/>
      <c r="AU57" s="183"/>
      <c r="AV57" s="386"/>
      <c r="AW57" s="19"/>
      <c r="AX57" s="19"/>
      <c r="AY57" s="19"/>
      <c r="AZ57" s="19"/>
      <c r="BU57" s="377"/>
      <c r="BV57" s="377"/>
      <c r="BW57" s="377"/>
      <c r="BX57" s="377"/>
      <c r="BY57" s="61" t="str">
        <f>IF(BY56&gt;=1,BX56,0)</f>
        <v xml:space="preserve"> </v>
      </c>
      <c r="BZ57" s="61" t="str">
        <f t="shared" si="84"/>
        <v xml:space="preserve"> </v>
      </c>
      <c r="CA57" s="124">
        <f t="array" aca="1" ref="CA5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53</v>
      </c>
      <c r="CB57" t="str">
        <f>IF(CB56&gt;=1,BW56,0)</f>
        <v xml:space="preserve"> </v>
      </c>
      <c r="CC57" s="125" t="str">
        <f t="shared" si="5"/>
        <v xml:space="preserve"> </v>
      </c>
      <c r="CD57" s="51">
        <f t="array" aca="1" ref="CD57" ca="1">IF(ROW()-ROW(Н4кр)+1&gt;ROWS(Е4кр)-COUNTBLANK(Е4кр)," ",INDIRECT(ADDRESS(SMALL((IF(Е4кр&lt;&gt;" ",ROW(Е4кр),ROW()+ROWS(Е4кр))),ROW()-ROW(Н4кр)+1),COLUMN(Е4кр),4)))</f>
        <v>53</v>
      </c>
      <c r="CF57" s="377"/>
      <c r="CG57" s="377"/>
      <c r="CH57" s="125" t="str">
        <f>IF(CH56&gt;=1,CG56,0)</f>
        <v xml:space="preserve"> </v>
      </c>
      <c r="CI57" t="str">
        <f t="shared" si="12"/>
        <v xml:space="preserve"> </v>
      </c>
      <c r="CJ57" s="51">
        <f t="array" aca="1" ref="CJ57" ca="1">IF(ROW()-ROW(Н5кр)+1&gt;ROWS(Е5кр)-COUNTBLANK(Е5кр)," ",INDIRECT(ADDRESS(SMALL((IF(Е5кр&lt;&gt;" ",ROW(Е5кр),ROW()+ROWS(Е5кр))),ROW()-ROW(Н5кр)+1),COLUMN(Е5кр),4)))</f>
        <v>53</v>
      </c>
      <c r="CL57" s="377"/>
      <c r="CM57" s="377"/>
      <c r="CN57" t="str">
        <f>IF(CN56&gt;=1,CM56,0)</f>
        <v xml:space="preserve"> </v>
      </c>
      <c r="CO57" t="str">
        <f t="shared" si="6"/>
        <v xml:space="preserve"> </v>
      </c>
      <c r="CP57">
        <f t="array" aca="1" ref="CP57" ca="1">IF(ROW()-ROW(Н6кр)+1&gt;ROWS(Е6кр)-COUNTBLANK(Е6кр)," ",INDIRECT(ADDRESS(SMALL((IF(Е6кр&lt;&gt;" ",ROW(Е6кр),ROW()+ROWS(Е6кр))),ROW()-ROW(Н6кр)+1),COLUMN(Е6кр),4)))</f>
        <v>53</v>
      </c>
      <c r="CR57" s="377"/>
      <c r="CS57" s="377"/>
      <c r="CT57" t="str">
        <f>IF(CT56&gt;=1,CS56,0)</f>
        <v xml:space="preserve"> </v>
      </c>
      <c r="CU57" t="str">
        <f t="shared" si="7"/>
        <v xml:space="preserve"> </v>
      </c>
      <c r="CV57">
        <f t="array" aca="1" ref="CV57" ca="1">IF(ROW()-ROW(Н7кр)+1&gt;ROWS(Е7кр)-COUNTBLANK(Е7кр)," ",INDIRECT(ADDRESS(SMALL((IF(Е7кр&lt;&gt;" ",ROW(Е7кр),ROW()+ROWS(Е7кр))),ROW()-ROW(Н7кр)+1),COLUMN(Е7кр),4)))</f>
        <v>53</v>
      </c>
    </row>
    <row r="58" spans="1:100" ht="12" hidden="1" customHeight="1" thickTop="1">
      <c r="A58" s="201"/>
      <c r="B58" s="414">
        <v>26</v>
      </c>
      <c r="C58" s="425" t="e">
        <f>(VLOOKUP(B58,пр.взв!$B$7:$H$76,2,0))</f>
        <v>#N/A</v>
      </c>
      <c r="D58" s="427" t="e">
        <f>(VLOOKUP(B58,пр.взв!$B$7:$H$76,3,0))</f>
        <v>#N/A</v>
      </c>
      <c r="E58" s="429" t="e">
        <f>(VLOOKUP(B58,пр.взв!$B$7:$H$76,5,0))</f>
        <v>#N/A</v>
      </c>
      <c r="F58" s="443">
        <f t="shared" ref="F58" si="151">IF(ISERROR(C58),0,B56)</f>
        <v>0</v>
      </c>
      <c r="G58" s="41"/>
      <c r="H58" s="444"/>
      <c r="I58" s="41"/>
      <c r="J58" s="444" t="str">
        <f t="shared" si="0"/>
        <v xml:space="preserve"> </v>
      </c>
      <c r="K58" s="41"/>
      <c r="L58" s="438" t="str">
        <f t="shared" ref="L58" si="152">IF(J58="Х","Х",IF(K58&lt;2.5," ",IF(K58&gt;=2.5,IF(G58+I58+K58&gt;=6,"Х",IF(AA58&lt;6," "," ")))))</f>
        <v xml:space="preserve"> </v>
      </c>
      <c r="M58" s="41"/>
      <c r="N58" s="444" t="str">
        <f>IF(L58="Х","Х",IF(M58&lt;2.5," ",IF(M58&gt;=2.5,IF(G58+I58+K58+M58&gt;=6,"Х",IF(AA58&lt;6," "," ")))))</f>
        <v xml:space="preserve"> </v>
      </c>
      <c r="O58" s="41"/>
      <c r="P58" s="444" t="str">
        <f>IF(N58="Х","Х",IF(O58&lt;2.5," ",IF(O58&gt;=2.5,IF(G58+I58+K58+M58+O58&gt;=6,"Х",IF(AA58&lt;6," "," ")))))</f>
        <v xml:space="preserve"> </v>
      </c>
      <c r="Q58" s="41"/>
      <c r="R58" s="444" t="str">
        <f>IF(P58="Х","Х",IF(Q58&lt;2.5," ",IF(Q58&gt;=2.5,IF(G58+I58+K58+M58+O58+Q58&gt;=6,"Х",IF(AA58&lt;6," "," ")))))</f>
        <v xml:space="preserve"> </v>
      </c>
      <c r="S58" s="41"/>
      <c r="T58" s="444" t="str">
        <f>IF(R58="Х","Х",IF(S58&lt;2.5," ",IF(S58&gt;=2.5,IF(G58+I58+K58+M58+O58+Q58+S58&gt;=6,"Х",IF(AA58&lt;6," "," ")))))</f>
        <v xml:space="preserve"> </v>
      </c>
      <c r="U58" s="45"/>
      <c r="V58" s="438" t="str">
        <f>IF(T58="А1",$AX$7,IF(T58="Б2",$AX$6,IF(T58="Б1",$AY$7,IF(T58="А2",$AY$6,IF(T58="Х","Х",IF(T58&lt;6," "," "))))))</f>
        <v xml:space="preserve"> </v>
      </c>
      <c r="W58" s="41"/>
      <c r="X58" s="438" t="str">
        <f t="shared" ref="X58" si="153">IF(T58="Х","Х",IF(ISBLANK(W58),"",IF(W58&gt;2.5," ",IF(B58=AZ$6,AZ$7,AZ$6))))</f>
        <v/>
      </c>
      <c r="Y58" s="41"/>
      <c r="Z58" s="421" t="b">
        <f>IF(H58="Х","1",IF(J58="Х","2",IF(L58="Х","3",IF(N58="Х","4",IF(P58="Х","5",IF(R58="Х","6",IF(T58="Х","7",IF(V58="Х","8"))))))))</f>
        <v>0</v>
      </c>
      <c r="AA58" s="420">
        <f>SUM(G58+I58+K58+M58+O58+Q58+S58+U58+W58+Y58)</f>
        <v>0</v>
      </c>
      <c r="AB58" s="431">
        <f t="shared" ref="AB58" si="154">AD58+0</f>
        <v>20576</v>
      </c>
      <c r="AC58" s="386">
        <f>AB58</f>
        <v>20576</v>
      </c>
      <c r="AD58" s="387" t="str">
        <f>COUNTIF(AE$6:AE$119,"&gt;"&amp;AE$6:AE$119)+1&amp;REPT("-"&amp;COUNTIF(AE$6:AE$119,"&gt;="&amp;AE$6:AE$119),COUNTIF(AE$6:AE$119,AE58)&gt;1)</f>
        <v>5-56</v>
      </c>
      <c r="AE58" s="388">
        <f t="shared" si="45"/>
        <v>80</v>
      </c>
      <c r="AF58" s="390" t="str">
        <f>IF(OR(F58="Х",F58="св")," ",IF(AND(G58&gt;=0,G58&lt;3),"1"," "))</f>
        <v>1</v>
      </c>
      <c r="AG58" s="390" t="str">
        <f>IF(OR(H58="Х",H58="св")," ",IF(AND(I58&gt;=0,I58&lt;3),"1"," "))</f>
        <v>1</v>
      </c>
      <c r="AH58" s="390" t="str">
        <f>IF(OR(J58="Х",J58="св")," ",IF(AND(K58&gt;=0,K58&lt;3),"1"," "))</f>
        <v>1</v>
      </c>
      <c r="AI58" s="390" t="str">
        <f>IF(OR(L58="Х",L58="св")," ",IF(AND(M58&gt;=0,M58&lt;3),"1"," "))</f>
        <v>1</v>
      </c>
      <c r="AJ58" s="390" t="str">
        <f>IF(OR(N58="Х",N58="св")," ",IF(AND(O58&gt;=0,O58&lt;3),"1"," "))</f>
        <v>1</v>
      </c>
      <c r="AK58" s="390" t="str">
        <f>IF(OR(P58="Х",P58="св")," ",IF(AND(Q58&gt;=0,Q58&lt;3),"1"," "))</f>
        <v>1</v>
      </c>
      <c r="AL58" s="390" t="str">
        <f>IF(OR(R58="Х",R58="св")," ",IF(AND(S58&gt;=0,S58&lt;3),"1"," "))</f>
        <v>1</v>
      </c>
      <c r="AM58" s="390" t="str">
        <f>IF(OR(T58="Х",T58="св")," ",IF(AND(U58&gt;=0,U58&lt;3),"1"," "))</f>
        <v>1</v>
      </c>
      <c r="AN58" s="391">
        <f>COUNTIF(AF58:AM59,1)</f>
        <v>8</v>
      </c>
      <c r="AO58" s="393">
        <f>AE58-AA58</f>
        <v>80</v>
      </c>
      <c r="AP58" s="394">
        <f t="shared" si="10"/>
        <v>0</v>
      </c>
      <c r="AQ58" s="387" t="str">
        <f>COUNTIF(AE$6:AE$119,"&gt;"&amp;AE$6:AE$119)+1&amp;REPT("-"&amp;COUNTIF(AE$6:AE$119,"&gt;="&amp;AE$6:AE$119),COUNTIF(AE$6:AE$119,AE58)&gt;1)</f>
        <v>5-56</v>
      </c>
      <c r="AR58" s="395"/>
      <c r="AS58" s="183"/>
      <c r="AT58" s="183"/>
      <c r="AU58" s="183"/>
      <c r="AV58" s="386">
        <f t="shared" si="65"/>
        <v>26</v>
      </c>
      <c r="AW58" s="19"/>
      <c r="AX58" s="19"/>
      <c r="AY58" s="19"/>
      <c r="AZ58" s="19"/>
      <c r="BU58" s="377">
        <f>IF(J58="х"," ",B58)</f>
        <v>26</v>
      </c>
      <c r="BV58" s="377">
        <f>IF(L58="х"," ",B58)</f>
        <v>26</v>
      </c>
      <c r="BW58" s="377" t="str">
        <f>IF(BV58=" "," ",L58)</f>
        <v xml:space="preserve"> </v>
      </c>
      <c r="BX58" s="377" t="str">
        <f>IF(BU58=" "," ",J58)</f>
        <v xml:space="preserve"> </v>
      </c>
      <c r="BY58" s="61">
        <f>IF(BU58&lt;BX58,BU58,0)</f>
        <v>26</v>
      </c>
      <c r="BZ58" s="61">
        <f t="shared" si="84"/>
        <v>26</v>
      </c>
      <c r="CA58" s="124">
        <f t="array" aca="1" ref="CA5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54</v>
      </c>
      <c r="CB58">
        <f>IF(BV58&lt;BW58,BV58,0)</f>
        <v>26</v>
      </c>
      <c r="CC58" s="125">
        <f t="shared" si="5"/>
        <v>26</v>
      </c>
      <c r="CD58" s="51">
        <f t="array" aca="1" ref="CD58" ca="1">IF(ROW()-ROW(Н4кр)+1&gt;ROWS(Е4кр)-COUNTBLANK(Е4кр)," ",INDIRECT(ADDRESS(SMALL((IF(Е4кр&lt;&gt;" ",ROW(Е4кр),ROW()+ROWS(Е4кр))),ROW()-ROW(Н4кр)+1),COLUMN(Е4кр),4)))</f>
        <v>54</v>
      </c>
      <c r="CF58" s="377">
        <f>IF(N58="х"," ",B58)</f>
        <v>26</v>
      </c>
      <c r="CG58" s="377" t="str">
        <f>IF(CF58=" "," ",N58)</f>
        <v xml:space="preserve"> </v>
      </c>
      <c r="CH58" s="125">
        <f>IF(CF58&lt;CG58,CF58,0)</f>
        <v>26</v>
      </c>
      <c r="CI58">
        <f t="shared" si="12"/>
        <v>26</v>
      </c>
      <c r="CJ58" s="51">
        <f t="array" aca="1" ref="CJ58" ca="1">IF(ROW()-ROW(Н5кр)+1&gt;ROWS(Е5кр)-COUNTBLANK(Е5кр)," ",INDIRECT(ADDRESS(SMALL((IF(Е5кр&lt;&gt;" ",ROW(Е5кр),ROW()+ROWS(Е5кр))),ROW()-ROW(Н5кр)+1),COLUMN(Е5кр),4)))</f>
        <v>54</v>
      </c>
      <c r="CL58" s="377">
        <f>IF(P58="х"," ",B58)</f>
        <v>26</v>
      </c>
      <c r="CM58" s="377" t="str">
        <f>IF(CL58=" "," ",P58)</f>
        <v xml:space="preserve"> </v>
      </c>
      <c r="CN58">
        <f>IF(CL58&lt;CM58,CL58,0)</f>
        <v>26</v>
      </c>
      <c r="CO58">
        <f t="shared" si="6"/>
        <v>26</v>
      </c>
      <c r="CP58">
        <f t="array" aca="1" ref="CP58" ca="1">IF(ROW()-ROW(Н6кр)+1&gt;ROWS(Е6кр)-COUNTBLANK(Е6кр)," ",INDIRECT(ADDRESS(SMALL((IF(Е6кр&lt;&gt;" ",ROW(Е6кр),ROW()+ROWS(Е6кр))),ROW()-ROW(Н6кр)+1),COLUMN(Е6кр),4)))</f>
        <v>54</v>
      </c>
      <c r="CR58" s="377">
        <f t="shared" ref="CR58" si="155">IF(R58="х"," ",B58)</f>
        <v>26</v>
      </c>
      <c r="CS58" s="377" t="str">
        <f t="shared" ref="CS58" si="156">IF(CR58=" "," ",R58)</f>
        <v xml:space="preserve"> </v>
      </c>
      <c r="CT58">
        <f>IF(CR58&lt;CS58,CR58,0)</f>
        <v>26</v>
      </c>
      <c r="CU58">
        <f t="shared" si="7"/>
        <v>26</v>
      </c>
      <c r="CV58">
        <f t="array" aca="1" ref="CV58" ca="1">IF(ROW()-ROW(Н7кр)+1&gt;ROWS(Е7кр)-COUNTBLANK(Е7кр)," ",INDIRECT(ADDRESS(SMALL((IF(Е7кр&lt;&gt;" ",ROW(Е7кр),ROW()+ROWS(Е7кр))),ROW()-ROW(Н7кр)+1),COLUMN(Е7кр),4)))</f>
        <v>54</v>
      </c>
    </row>
    <row r="59" spans="1:100" ht="12" hidden="1" customHeight="1" thickBot="1">
      <c r="A59" s="201"/>
      <c r="B59" s="424"/>
      <c r="C59" s="426"/>
      <c r="D59" s="428"/>
      <c r="E59" s="430"/>
      <c r="F59" s="442"/>
      <c r="G59" s="44"/>
      <c r="H59" s="439"/>
      <c r="I59" s="44"/>
      <c r="J59" s="439"/>
      <c r="K59" s="44"/>
      <c r="L59" s="439"/>
      <c r="M59" s="44"/>
      <c r="N59" s="439"/>
      <c r="O59" s="44"/>
      <c r="P59" s="439"/>
      <c r="Q59" s="44"/>
      <c r="R59" s="439"/>
      <c r="S59" s="44"/>
      <c r="T59" s="439"/>
      <c r="U59" s="47"/>
      <c r="V59" s="439"/>
      <c r="W59" s="44"/>
      <c r="X59" s="439"/>
      <c r="Y59" s="44"/>
      <c r="Z59" s="422"/>
      <c r="AA59" s="419"/>
      <c r="AB59" s="432"/>
      <c r="AC59" s="386"/>
      <c r="AD59" s="387"/>
      <c r="AE59" s="389"/>
      <c r="AF59" s="390"/>
      <c r="AG59" s="390"/>
      <c r="AH59" s="390"/>
      <c r="AI59" s="390"/>
      <c r="AJ59" s="390"/>
      <c r="AK59" s="390"/>
      <c r="AL59" s="390"/>
      <c r="AM59" s="390"/>
      <c r="AN59" s="392"/>
      <c r="AO59" s="387"/>
      <c r="AP59" s="394"/>
      <c r="AQ59" s="387"/>
      <c r="AR59" s="395"/>
      <c r="AS59" s="183"/>
      <c r="AT59" s="183"/>
      <c r="AU59" s="183"/>
      <c r="AV59" s="386"/>
      <c r="AW59" s="19"/>
      <c r="AX59" s="19"/>
      <c r="AY59" s="19"/>
      <c r="AZ59" s="19"/>
      <c r="BU59" s="377"/>
      <c r="BV59" s="377"/>
      <c r="BW59" s="377"/>
      <c r="BX59" s="377"/>
      <c r="BY59" s="61" t="str">
        <f>IF(BY58&gt;=1,BX58,0)</f>
        <v xml:space="preserve"> </v>
      </c>
      <c r="BZ59" s="61" t="str">
        <f t="shared" si="84"/>
        <v xml:space="preserve"> </v>
      </c>
      <c r="CA59" s="124">
        <f t="array" aca="1" ref="CA5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55</v>
      </c>
      <c r="CB59" t="str">
        <f>IF(CB58&gt;=1,BW58,0)</f>
        <v xml:space="preserve"> </v>
      </c>
      <c r="CC59" s="125" t="str">
        <f t="shared" si="5"/>
        <v xml:space="preserve"> </v>
      </c>
      <c r="CD59" s="51">
        <f t="array" aca="1" ref="CD59" ca="1">IF(ROW()-ROW(Н4кр)+1&gt;ROWS(Е4кр)-COUNTBLANK(Е4кр)," ",INDIRECT(ADDRESS(SMALL((IF(Е4кр&lt;&gt;" ",ROW(Е4кр),ROW()+ROWS(Е4кр))),ROW()-ROW(Н4кр)+1),COLUMN(Е4кр),4)))</f>
        <v>55</v>
      </c>
      <c r="CF59" s="377"/>
      <c r="CG59" s="377"/>
      <c r="CH59" s="125" t="str">
        <f>IF(CH58&gt;=1,CG58,0)</f>
        <v xml:space="preserve"> </v>
      </c>
      <c r="CI59" t="str">
        <f t="shared" si="12"/>
        <v xml:space="preserve"> </v>
      </c>
      <c r="CJ59" s="51">
        <f t="array" aca="1" ref="CJ59" ca="1">IF(ROW()-ROW(Н5кр)+1&gt;ROWS(Е5кр)-COUNTBLANK(Е5кр)," ",INDIRECT(ADDRESS(SMALL((IF(Е5кр&lt;&gt;" ",ROW(Е5кр),ROW()+ROWS(Е5кр))),ROW()-ROW(Н5кр)+1),COLUMN(Е5кр),4)))</f>
        <v>55</v>
      </c>
      <c r="CL59" s="377"/>
      <c r="CM59" s="377"/>
      <c r="CN59" t="str">
        <f>IF(CN58&gt;=1,CM58,0)</f>
        <v xml:space="preserve"> </v>
      </c>
      <c r="CO59" t="str">
        <f t="shared" si="6"/>
        <v xml:space="preserve"> </v>
      </c>
      <c r="CP59">
        <f t="array" aca="1" ref="CP59" ca="1">IF(ROW()-ROW(Н6кр)+1&gt;ROWS(Е6кр)-COUNTBLANK(Е6кр)," ",INDIRECT(ADDRESS(SMALL((IF(Е6кр&lt;&gt;" ",ROW(Е6кр),ROW()+ROWS(Е6кр))),ROW()-ROW(Н6кр)+1),COLUMN(Е6кр),4)))</f>
        <v>55</v>
      </c>
      <c r="CR59" s="377"/>
      <c r="CS59" s="377"/>
      <c r="CT59" t="str">
        <f>IF(CT58&gt;=1,CS58,0)</f>
        <v xml:space="preserve"> </v>
      </c>
      <c r="CU59" t="str">
        <f t="shared" si="7"/>
        <v xml:space="preserve"> </v>
      </c>
      <c r="CV59">
        <f t="array" aca="1" ref="CV59" ca="1">IF(ROW()-ROW(Н7кр)+1&gt;ROWS(Е7кр)-COUNTBLANK(Е7кр)," ",INDIRECT(ADDRESS(SMALL((IF(Е7кр&lt;&gt;" ",ROW(Е7кр),ROW()+ROWS(Е7кр))),ROW()-ROW(Н7кр)+1),COLUMN(Е7кр),4)))</f>
        <v>55</v>
      </c>
    </row>
    <row r="60" spans="1:100" ht="12" hidden="1" customHeight="1" thickTop="1">
      <c r="A60" s="201"/>
      <c r="B60" s="414">
        <v>27</v>
      </c>
      <c r="C60" s="425" t="e">
        <f>(VLOOKUP(B60,пр.взв!$B$7:$H$76,2,0))</f>
        <v>#N/A</v>
      </c>
      <c r="D60" s="427" t="e">
        <f>(VLOOKUP(B60,пр.взв!$B$7:$H$76,3,0))</f>
        <v>#N/A</v>
      </c>
      <c r="E60" s="429" t="e">
        <f>(VLOOKUP(B60,пр.взв!$B$7:$H$76,5,0))</f>
        <v>#N/A</v>
      </c>
      <c r="F60" s="445">
        <f t="shared" si="41"/>
        <v>0</v>
      </c>
      <c r="G60" s="41"/>
      <c r="H60" s="444"/>
      <c r="I60" s="41"/>
      <c r="J60" s="444" t="str">
        <f t="shared" si="0"/>
        <v xml:space="preserve"> </v>
      </c>
      <c r="K60" s="41"/>
      <c r="L60" s="438" t="str">
        <f t="shared" ref="L60" si="157">IF(J60="Х","Х",IF(K60&lt;2.5," ",IF(K60&gt;=2.5,IF(G60+I60+K60&gt;=6,"Х",IF(AA60&lt;6," "," ")))))</f>
        <v xml:space="preserve"> </v>
      </c>
      <c r="M60" s="41"/>
      <c r="N60" s="444" t="str">
        <f>IF(L60="Х","Х",IF(M60&lt;2.5," ",IF(M60&gt;=2.5,IF(G60+I60+K60+M60&gt;=6,"Х",IF(AA60&lt;6," "," ")))))</f>
        <v xml:space="preserve"> </v>
      </c>
      <c r="O60" s="41"/>
      <c r="P60" s="444" t="str">
        <f>IF(N60="Х","Х",IF(O60&lt;2.5," ",IF(O60&gt;=2.5,IF(G60+I60+K60+M60+O60&gt;=6,"Х",IF(AA60&lt;6," "," ")))))</f>
        <v xml:space="preserve"> </v>
      </c>
      <c r="Q60" s="41"/>
      <c r="R60" s="444" t="str">
        <f>IF(P60="Х","Х",IF(Q60&lt;2.5," ",IF(Q60&gt;=2.5,IF(G60+I60+K60+M60+O60+Q60&gt;=6,"Х",IF(AA60&lt;6," "," ")))))</f>
        <v xml:space="preserve"> </v>
      </c>
      <c r="S60" s="41"/>
      <c r="T60" s="444" t="str">
        <f>IF(R60="Х","Х",IF(S60&lt;2.5," ",IF(S60&gt;=2.5,IF(G60+I60+K60+M60+O60+Q60+S60&gt;=6,"Х",IF(AA60&lt;6," "," ")))))</f>
        <v xml:space="preserve"> </v>
      </c>
      <c r="U60" s="45"/>
      <c r="V60" s="438" t="str">
        <f>IF(T60="А1",$AX$7,IF(T60="Б2",$AX$6,IF(T60="Б1",$AY$7,IF(T60="А2",$AY$6,IF(T60="Х","Х",IF(T60&lt;6," "," "))))))</f>
        <v xml:space="preserve"> </v>
      </c>
      <c r="W60" s="41"/>
      <c r="X60" s="438" t="str">
        <f t="shared" ref="X60" si="158">IF(T60="Х","Х",IF(ISBLANK(W60),"",IF(W60&gt;2.5," ",IF(B60=AZ$6,AZ$7,AZ$6))))</f>
        <v/>
      </c>
      <c r="Y60" s="41"/>
      <c r="Z60" s="421" t="b">
        <f>IF(H60="Х","1",IF(J60="Х","2",IF(L60="Х","3",IF(N60="Х","4",IF(P60="Х","5",IF(R60="Х","6",IF(T60="Х","7",IF(V60="Х","8"))))))))</f>
        <v>0</v>
      </c>
      <c r="AA60" s="420">
        <f>SUM(G60+I60+K60+M60+O60+Q60+S60+U60+W60+Y60)</f>
        <v>0</v>
      </c>
      <c r="AB60" s="431">
        <f t="shared" ref="AB60" si="159">AD60+0</f>
        <v>20576</v>
      </c>
      <c r="AC60" s="386">
        <f>AB60</f>
        <v>20576</v>
      </c>
      <c r="AD60" s="387" t="str">
        <f>COUNTIF(AE$6:AE$119,"&gt;"&amp;AE$6:AE$119)+1&amp;REPT("-"&amp;COUNTIF(AE$6:AE$119,"&gt;="&amp;AE$6:AE$119),COUNTIF(AE$6:AE$119,AE60)&gt;1)</f>
        <v>5-56</v>
      </c>
      <c r="AE60" s="388">
        <f t="shared" si="45"/>
        <v>80</v>
      </c>
      <c r="AF60" s="390" t="str">
        <f>IF(OR(F60="Х",F60="св")," ",IF(AND(G60&gt;=0,G60&lt;3),"1"," "))</f>
        <v>1</v>
      </c>
      <c r="AG60" s="390" t="str">
        <f>IF(OR(H60="Х",H60="св")," ",IF(AND(I60&gt;=0,I60&lt;3),"1"," "))</f>
        <v>1</v>
      </c>
      <c r="AH60" s="390" t="str">
        <f>IF(OR(J60="Х",J60="св")," ",IF(AND(K60&gt;=0,K60&lt;3),"1"," "))</f>
        <v>1</v>
      </c>
      <c r="AI60" s="390" t="str">
        <f>IF(OR(L60="Х",L60="св")," ",IF(AND(M60&gt;=0,M60&lt;3),"1"," "))</f>
        <v>1</v>
      </c>
      <c r="AJ60" s="390" t="str">
        <f>IF(OR(N60="Х",N60="св")," ",IF(AND(O60&gt;=0,O60&lt;3),"1"," "))</f>
        <v>1</v>
      </c>
      <c r="AK60" s="390" t="str">
        <f>IF(OR(P60="Х",P60="св")," ",IF(AND(Q60&gt;=0,Q60&lt;3),"1"," "))</f>
        <v>1</v>
      </c>
      <c r="AL60" s="390" t="str">
        <f>IF(OR(R60="Х",R60="св")," ",IF(AND(S60&gt;=0,S60&lt;3),"1"," "))</f>
        <v>1</v>
      </c>
      <c r="AM60" s="390" t="str">
        <f>IF(OR(T60="Х",T60="св")," ",IF(AND(U60&gt;=0,U60&lt;3),"1"," "))</f>
        <v>1</v>
      </c>
      <c r="AN60" s="391">
        <f>COUNTIF(AF60:AM61,1)</f>
        <v>8</v>
      </c>
      <c r="AO60" s="393">
        <f>AE60-AA60</f>
        <v>80</v>
      </c>
      <c r="AP60" s="394">
        <f t="shared" si="10"/>
        <v>0</v>
      </c>
      <c r="AQ60" s="387" t="str">
        <f>COUNTIF(AE$6:AE$119,"&gt;"&amp;AE$6:AE$119)+1&amp;REPT("-"&amp;COUNTIF(AE$6:AE$119,"&gt;="&amp;AE$6:AE$119),COUNTIF(AE$6:AE$119,AE60)&gt;1)</f>
        <v>5-56</v>
      </c>
      <c r="AR60" s="395"/>
      <c r="AS60" s="183"/>
      <c r="AT60" s="183"/>
      <c r="AU60" s="183"/>
      <c r="AV60" s="386">
        <f t="shared" si="65"/>
        <v>27</v>
      </c>
      <c r="AW60" s="19"/>
      <c r="AX60" s="19"/>
      <c r="AY60" s="19"/>
      <c r="AZ60" s="19"/>
      <c r="BU60" s="377">
        <f>IF(J60="х"," ",B60)</f>
        <v>27</v>
      </c>
      <c r="BV60" s="377">
        <f>IF(L60="х"," ",B60)</f>
        <v>27</v>
      </c>
      <c r="BW60" s="377" t="str">
        <f>IF(BV60=" "," ",L60)</f>
        <v xml:space="preserve"> </v>
      </c>
      <c r="BX60" s="377" t="str">
        <f>IF(BU60=" "," ",J60)</f>
        <v xml:space="preserve"> </v>
      </c>
      <c r="BY60" s="61">
        <f>IF(BU60&lt;BX60,BU60,0)</f>
        <v>27</v>
      </c>
      <c r="BZ60" s="61">
        <f t="shared" si="84"/>
        <v>27</v>
      </c>
      <c r="CA60" s="124">
        <f t="array" aca="1" ref="CA6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56</v>
      </c>
      <c r="CB60">
        <f>IF(BV60&lt;BW60,BV60,0)</f>
        <v>27</v>
      </c>
      <c r="CC60" s="125">
        <f t="shared" si="5"/>
        <v>27</v>
      </c>
      <c r="CD60" s="51">
        <f t="array" aca="1" ref="CD60" ca="1">IF(ROW()-ROW(Н4кр)+1&gt;ROWS(Е4кр)-COUNTBLANK(Е4кр)," ",INDIRECT(ADDRESS(SMALL((IF(Е4кр&lt;&gt;" ",ROW(Е4кр),ROW()+ROWS(Е4кр))),ROW()-ROW(Н4кр)+1),COLUMN(Е4кр),4)))</f>
        <v>56</v>
      </c>
      <c r="CF60" s="377">
        <f>IF(N60="х"," ",B60)</f>
        <v>27</v>
      </c>
      <c r="CG60" s="377" t="str">
        <f>IF(CF60=" "," ",N60)</f>
        <v xml:space="preserve"> </v>
      </c>
      <c r="CH60" s="125">
        <f>IF(CF60&lt;CG60,CF60,0)</f>
        <v>27</v>
      </c>
      <c r="CI60">
        <f t="shared" si="12"/>
        <v>27</v>
      </c>
      <c r="CJ60" s="51">
        <f t="array" aca="1" ref="CJ60" ca="1">IF(ROW()-ROW(Н5кр)+1&gt;ROWS(Е5кр)-COUNTBLANK(Е5кр)," ",INDIRECT(ADDRESS(SMALL((IF(Е5кр&lt;&gt;" ",ROW(Е5кр),ROW()+ROWS(Е5кр))),ROW()-ROW(Н5кр)+1),COLUMN(Е5кр),4)))</f>
        <v>56</v>
      </c>
      <c r="CL60" s="377">
        <f>IF(P60="х"," ",B60)</f>
        <v>27</v>
      </c>
      <c r="CM60" s="377" t="str">
        <f>IF(CL60=" "," ",P60)</f>
        <v xml:space="preserve"> </v>
      </c>
      <c r="CN60">
        <f>IF(CL60&lt;CM60,CL60,0)</f>
        <v>27</v>
      </c>
      <c r="CO60">
        <f t="shared" si="6"/>
        <v>27</v>
      </c>
      <c r="CP60">
        <f t="array" aca="1" ref="CP60" ca="1">IF(ROW()-ROW(Н6кр)+1&gt;ROWS(Е6кр)-COUNTBLANK(Е6кр)," ",INDIRECT(ADDRESS(SMALL((IF(Е6кр&lt;&gt;" ",ROW(Е6кр),ROW()+ROWS(Е6кр))),ROW()-ROW(Н6кр)+1),COLUMN(Е6кр),4)))</f>
        <v>56</v>
      </c>
      <c r="CR60" s="377">
        <f t="shared" ref="CR60" si="160">IF(R60="х"," ",B60)</f>
        <v>27</v>
      </c>
      <c r="CS60" s="377" t="str">
        <f t="shared" ref="CS60" si="161">IF(CR60=" "," ",R60)</f>
        <v xml:space="preserve"> </v>
      </c>
      <c r="CT60">
        <f>IF(CR60&lt;CS60,CR60,0)</f>
        <v>27</v>
      </c>
      <c r="CU60">
        <f t="shared" si="7"/>
        <v>27</v>
      </c>
      <c r="CV60">
        <f t="array" aca="1" ref="CV60" ca="1">IF(ROW()-ROW(Н7кр)+1&gt;ROWS(Е7кр)-COUNTBLANK(Е7кр)," ",INDIRECT(ADDRESS(SMALL((IF(Е7кр&lt;&gt;" ",ROW(Е7кр),ROW()+ROWS(Е7кр))),ROW()-ROW(Н7кр)+1),COLUMN(Е7кр),4)))</f>
        <v>56</v>
      </c>
    </row>
    <row r="61" spans="1:100" ht="12" hidden="1" customHeight="1" thickBot="1">
      <c r="A61" s="201"/>
      <c r="B61" s="424"/>
      <c r="C61" s="426"/>
      <c r="D61" s="428"/>
      <c r="E61" s="430"/>
      <c r="F61" s="442"/>
      <c r="G61" s="44"/>
      <c r="H61" s="439"/>
      <c r="I61" s="44"/>
      <c r="J61" s="439"/>
      <c r="K61" s="44"/>
      <c r="L61" s="439"/>
      <c r="M61" s="44"/>
      <c r="N61" s="439"/>
      <c r="O61" s="44"/>
      <c r="P61" s="439"/>
      <c r="Q61" s="44"/>
      <c r="R61" s="439"/>
      <c r="S61" s="44"/>
      <c r="T61" s="439"/>
      <c r="U61" s="47"/>
      <c r="V61" s="439"/>
      <c r="W61" s="44"/>
      <c r="X61" s="439"/>
      <c r="Y61" s="44"/>
      <c r="Z61" s="422"/>
      <c r="AA61" s="419"/>
      <c r="AB61" s="432"/>
      <c r="AC61" s="386"/>
      <c r="AD61" s="387"/>
      <c r="AE61" s="389"/>
      <c r="AF61" s="390"/>
      <c r="AG61" s="390"/>
      <c r="AH61" s="390"/>
      <c r="AI61" s="390"/>
      <c r="AJ61" s="390"/>
      <c r="AK61" s="390"/>
      <c r="AL61" s="390"/>
      <c r="AM61" s="390"/>
      <c r="AN61" s="392"/>
      <c r="AO61" s="387"/>
      <c r="AP61" s="394"/>
      <c r="AQ61" s="387"/>
      <c r="AR61" s="395"/>
      <c r="AS61" s="183"/>
      <c r="AT61" s="183"/>
      <c r="AU61" s="183"/>
      <c r="AV61" s="386"/>
      <c r="AW61" s="19"/>
      <c r="AX61" s="19"/>
      <c r="AY61" s="19"/>
      <c r="AZ61" s="19"/>
      <c r="BU61" s="377"/>
      <c r="BV61" s="377"/>
      <c r="BW61" s="377"/>
      <c r="BX61" s="377"/>
      <c r="BY61" s="61" t="str">
        <f>IF(BY60&gt;=1,BX60,0)</f>
        <v xml:space="preserve"> </v>
      </c>
      <c r="BZ61" s="61" t="str">
        <f t="shared" si="84"/>
        <v xml:space="preserve"> </v>
      </c>
      <c r="CA61" s="124">
        <f t="array" aca="1" ref="CA6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1" t="str">
        <f>IF(CB60&gt;=1,BW60,0)</f>
        <v xml:space="preserve"> </v>
      </c>
      <c r="CC61" s="125" t="str">
        <f t="shared" si="5"/>
        <v xml:space="preserve"> </v>
      </c>
      <c r="CD61" s="51">
        <f t="array" aca="1" ref="CD61" ca="1">IF(ROW()-ROW(Н4кр)+1&gt;ROWS(Е4кр)-COUNTBLANK(Е4кр)," ",INDIRECT(ADDRESS(SMALL((IF(Е4кр&lt;&gt;" ",ROW(Е4кр),ROW()+ROWS(Е4кр))),ROW()-ROW(Н4кр)+1),COLUMN(Е4кр),4)))</f>
        <v>0</v>
      </c>
      <c r="CF61" s="377"/>
      <c r="CG61" s="377"/>
      <c r="CH61" s="125" t="str">
        <f>IF(CH60&gt;=1,CG60,0)</f>
        <v xml:space="preserve"> </v>
      </c>
      <c r="CI61" t="str">
        <f t="shared" si="12"/>
        <v xml:space="preserve"> </v>
      </c>
      <c r="CJ61" s="51">
        <f t="array" aca="1" ref="CJ61" ca="1">IF(ROW()-ROW(Н5кр)+1&gt;ROWS(Е5кр)-COUNTBLANK(Е5кр)," ",INDIRECT(ADDRESS(SMALL((IF(Е5кр&lt;&gt;" ",ROW(Е5кр),ROW()+ROWS(Е5кр))),ROW()-ROW(Н5кр)+1),COLUMN(Е5кр),4)))</f>
        <v>0</v>
      </c>
      <c r="CL61" s="377"/>
      <c r="CM61" s="377"/>
      <c r="CN61" t="str">
        <f>IF(CN60&gt;=1,CM60,0)</f>
        <v xml:space="preserve"> </v>
      </c>
      <c r="CO61" t="str">
        <f t="shared" si="6"/>
        <v xml:space="preserve"> </v>
      </c>
      <c r="CP61">
        <f t="array" aca="1" ref="CP61" ca="1">IF(ROW()-ROW(Н6кр)+1&gt;ROWS(Е6кр)-COUNTBLANK(Е6кр)," ",INDIRECT(ADDRESS(SMALL((IF(Е6кр&lt;&gt;" ",ROW(Е6кр),ROW()+ROWS(Е6кр))),ROW()-ROW(Н6кр)+1),COLUMN(Е6кр),4)))</f>
        <v>0</v>
      </c>
      <c r="CR61" s="377"/>
      <c r="CS61" s="377"/>
      <c r="CT61" t="str">
        <f>IF(CT60&gt;=1,CS60,0)</f>
        <v xml:space="preserve"> </v>
      </c>
      <c r="CU61" t="str">
        <f t="shared" si="7"/>
        <v xml:space="preserve"> </v>
      </c>
      <c r="CV61">
        <f t="array" aca="1" ref="CV61" ca="1">IF(ROW()-ROW(Н7кр)+1&gt;ROWS(Е7кр)-COUNTBLANK(Е7кр)," ",INDIRECT(ADDRESS(SMALL((IF(Е7кр&lt;&gt;" ",ROW(Е7кр),ROW()+ROWS(Е7кр))),ROW()-ROW(Н7кр)+1),COLUMN(Е7кр),4)))</f>
        <v>0</v>
      </c>
    </row>
    <row r="62" spans="1:100" ht="12" hidden="1" customHeight="1" thickTop="1">
      <c r="A62" s="201"/>
      <c r="B62" s="414">
        <v>28</v>
      </c>
      <c r="C62" s="425" t="e">
        <f>(VLOOKUP(B62,пр.взв!$B$7:$H$76,2,0))</f>
        <v>#N/A</v>
      </c>
      <c r="D62" s="427" t="e">
        <f>(VLOOKUP(B62,пр.взв!$B$7:$H$76,3,0))</f>
        <v>#N/A</v>
      </c>
      <c r="E62" s="429" t="e">
        <f>(VLOOKUP(B62,пр.взв!$B$7:$H$76,5,0))</f>
        <v>#N/A</v>
      </c>
      <c r="F62" s="443">
        <f t="shared" si="50"/>
        <v>0</v>
      </c>
      <c r="G62" s="41"/>
      <c r="H62" s="444"/>
      <c r="I62" s="41"/>
      <c r="J62" s="444" t="str">
        <f t="shared" si="0"/>
        <v xml:space="preserve"> </v>
      </c>
      <c r="K62" s="41"/>
      <c r="L62" s="438" t="str">
        <f t="shared" ref="L62" si="162">IF(J62="Х","Х",IF(K62&lt;2.5," ",IF(K62&gt;=2.5,IF(G62+I62+K62&gt;=6,"Х",IF(AA62&lt;6," "," ")))))</f>
        <v xml:space="preserve"> </v>
      </c>
      <c r="M62" s="41"/>
      <c r="N62" s="444" t="str">
        <f>IF(L62="Х","Х",IF(M62&lt;2.5," ",IF(M62&gt;=2.5,IF(G62+I62+K62+M62&gt;=6,"Х",IF(AA62&lt;6," "," ")))))</f>
        <v xml:space="preserve"> </v>
      </c>
      <c r="O62" s="41"/>
      <c r="P62" s="444" t="str">
        <f>IF(N62="Х","Х",IF(O62&lt;2.5," ",IF(O62&gt;=2.5,IF(G62+I62+K62+M62+O62&gt;=6,"Х",IF(AA62&lt;6," "," ")))))</f>
        <v xml:space="preserve"> </v>
      </c>
      <c r="Q62" s="41"/>
      <c r="R62" s="444" t="str">
        <f>IF(P62="Х","Х",IF(Q62&lt;2.5," ",IF(Q62&gt;=2.5,IF(G62+I62+K62+M62+O62+Q62&gt;=6,"Х",IF(AA62&lt;6," "," ")))))</f>
        <v xml:space="preserve"> </v>
      </c>
      <c r="S62" s="41"/>
      <c r="T62" s="444" t="str">
        <f>IF(R62="Х","Х",IF(S62&lt;2.5," ",IF(S62&gt;=2.5,IF(G62+I62+K62+M62+O62+Q62+S62&gt;=6,"Х",IF(AA62&lt;6," "," ")))))</f>
        <v xml:space="preserve"> </v>
      </c>
      <c r="U62" s="45"/>
      <c r="V62" s="438" t="str">
        <f>IF(T62="А1",$AX$7,IF(T62="Б2",$AX$6,IF(T62="Б1",$AY$7,IF(T62="А2",$AY$6,IF(T62="Х","Х",IF(T62&lt;6," "," "))))))</f>
        <v xml:space="preserve"> </v>
      </c>
      <c r="W62" s="41"/>
      <c r="X62" s="438" t="str">
        <f t="shared" ref="X62" si="163">IF(T62="Х","Х",IF(ISBLANK(W62),"",IF(W62&gt;2.5," ",IF(B62=AZ$6,AZ$7,AZ$6))))</f>
        <v/>
      </c>
      <c r="Y62" s="41"/>
      <c r="Z62" s="421" t="b">
        <f>IF(H62="Х","1",IF(J62="Х","2",IF(L62="Х","3",IF(N62="Х","4",IF(P62="Х","5",IF(R62="Х","6",IF(T62="Х","7",IF(V62="Х","8"))))))))</f>
        <v>0</v>
      </c>
      <c r="AA62" s="420">
        <f>SUM(G62+I62+K62+M62+O62+Q62+S62+U62+W62+Y62)</f>
        <v>0</v>
      </c>
      <c r="AB62" s="431">
        <f t="shared" ref="AB62" si="164">AD62+0</f>
        <v>20576</v>
      </c>
      <c r="AC62" s="386">
        <f>AB62</f>
        <v>20576</v>
      </c>
      <c r="AD62" s="387" t="str">
        <f>COUNTIF(AE$6:AE$119,"&gt;"&amp;AE$6:AE$119)+1&amp;REPT("-"&amp;COUNTIF(AE$6:AE$119,"&gt;="&amp;AE$6:AE$119),COUNTIF(AE$6:AE$119,AE62)&gt;1)</f>
        <v>5-56</v>
      </c>
      <c r="AE62" s="388">
        <f t="shared" si="45"/>
        <v>80</v>
      </c>
      <c r="AF62" s="390" t="str">
        <f>IF(OR(F62="Х",F62="св")," ",IF(AND(G62&gt;=0,G62&lt;3),"1"," "))</f>
        <v>1</v>
      </c>
      <c r="AG62" s="390" t="str">
        <f>IF(OR(H62="Х",H62="св")," ",IF(AND(I62&gt;=0,I62&lt;3),"1"," "))</f>
        <v>1</v>
      </c>
      <c r="AH62" s="390" t="str">
        <f>IF(OR(J62="Х",J62="св")," ",IF(AND(K62&gt;=0,K62&lt;3),"1"," "))</f>
        <v>1</v>
      </c>
      <c r="AI62" s="390" t="str">
        <f>IF(OR(L62="Х",L62="св")," ",IF(AND(M62&gt;=0,M62&lt;3),"1"," "))</f>
        <v>1</v>
      </c>
      <c r="AJ62" s="390" t="str">
        <f>IF(OR(N62="Х",N62="св")," ",IF(AND(O62&gt;=0,O62&lt;3),"1"," "))</f>
        <v>1</v>
      </c>
      <c r="AK62" s="390" t="str">
        <f>IF(OR(P62="Х",P62="св")," ",IF(AND(Q62&gt;=0,Q62&lt;3),"1"," "))</f>
        <v>1</v>
      </c>
      <c r="AL62" s="390" t="str">
        <f>IF(OR(R62="Х",R62="св")," ",IF(AND(S62&gt;=0,S62&lt;3),"1"," "))</f>
        <v>1</v>
      </c>
      <c r="AM62" s="390" t="str">
        <f>IF(OR(T62="Х",T62="св")," ",IF(AND(U62&gt;=0,U62&lt;3),"1"," "))</f>
        <v>1</v>
      </c>
      <c r="AN62" s="391">
        <f>COUNTIF(AF62:AM63,1)</f>
        <v>8</v>
      </c>
      <c r="AO62" s="393">
        <f>AE62-AA62</f>
        <v>80</v>
      </c>
      <c r="AP62" s="394">
        <f t="shared" si="10"/>
        <v>0</v>
      </c>
      <c r="AQ62" s="387" t="str">
        <f>COUNTIF(AE$6:AE$119,"&gt;"&amp;AE$6:AE$119)+1&amp;REPT("-"&amp;COUNTIF(AE$6:AE$119,"&gt;="&amp;AE$6:AE$119),COUNTIF(AE$6:AE$119,AE62)&gt;1)</f>
        <v>5-56</v>
      </c>
      <c r="AR62" s="395"/>
      <c r="AS62" s="183"/>
      <c r="AT62" s="183"/>
      <c r="AU62" s="183"/>
      <c r="AV62" s="386">
        <f t="shared" si="65"/>
        <v>28</v>
      </c>
      <c r="AW62" s="19"/>
      <c r="AX62" s="19"/>
      <c r="AY62" s="19"/>
      <c r="AZ62" s="19"/>
      <c r="BA62" s="28"/>
      <c r="BB62" s="28"/>
      <c r="BC62" s="28"/>
      <c r="BD62" s="28"/>
      <c r="BU62" s="377">
        <f>IF(J62="х"," ",B62)</f>
        <v>28</v>
      </c>
      <c r="BV62" s="377">
        <f>IF(L62="х"," ",B62)</f>
        <v>28</v>
      </c>
      <c r="BW62" s="377" t="str">
        <f>IF(BV62=" "," ",L62)</f>
        <v xml:space="preserve"> </v>
      </c>
      <c r="BX62" s="377" t="str">
        <f>IF(BU62=" "," ",J62)</f>
        <v xml:space="preserve"> </v>
      </c>
      <c r="BY62" s="61">
        <f>IF(BU62&lt;BX62,BU62,0)</f>
        <v>28</v>
      </c>
      <c r="BZ62" s="61">
        <f t="shared" si="84"/>
        <v>28</v>
      </c>
      <c r="CA62" s="124">
        <f t="array" aca="1" ref="CA6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2">
        <f>IF(BV62&lt;BW62,BV62,0)</f>
        <v>28</v>
      </c>
      <c r="CC62" s="125">
        <f t="shared" si="5"/>
        <v>28</v>
      </c>
      <c r="CD62" s="51">
        <f t="array" aca="1" ref="CD62" ca="1">IF(ROW()-ROW(Н4кр)+1&gt;ROWS(Е4кр)-COUNTBLANK(Е4кр)," ",INDIRECT(ADDRESS(SMALL((IF(Е4кр&lt;&gt;" ",ROW(Е4кр),ROW()+ROWS(Е4кр))),ROW()-ROW(Н4кр)+1),COLUMN(Е4кр),4)))</f>
        <v>0</v>
      </c>
      <c r="CF62" s="377">
        <f>IF(N62="х"," ",B62)</f>
        <v>28</v>
      </c>
      <c r="CG62" s="377" t="str">
        <f>IF(CF62=" "," ",N62)</f>
        <v xml:space="preserve"> </v>
      </c>
      <c r="CH62" s="125">
        <f>IF(CF62&lt;CG62,CF62,0)</f>
        <v>28</v>
      </c>
      <c r="CI62">
        <f t="shared" si="12"/>
        <v>28</v>
      </c>
      <c r="CJ62" s="51">
        <f t="array" aca="1" ref="CJ62" ca="1">IF(ROW()-ROW(Н5кр)+1&gt;ROWS(Е5кр)-COUNTBLANK(Е5кр)," ",INDIRECT(ADDRESS(SMALL((IF(Е5кр&lt;&gt;" ",ROW(Е5кр),ROW()+ROWS(Е5кр))),ROW()-ROW(Н5кр)+1),COLUMN(Е5кр),4)))</f>
        <v>0</v>
      </c>
      <c r="CL62" s="377">
        <f>IF(P62="х"," ",B62)</f>
        <v>28</v>
      </c>
      <c r="CM62" s="377" t="str">
        <f>IF(CL62=" "," ",P62)</f>
        <v xml:space="preserve"> </v>
      </c>
      <c r="CN62">
        <f>IF(CL62&lt;CM62,CL62,0)</f>
        <v>28</v>
      </c>
      <c r="CO62">
        <f t="shared" si="6"/>
        <v>28</v>
      </c>
      <c r="CP62">
        <f t="array" aca="1" ref="CP62" ca="1">IF(ROW()-ROW(Н6кр)+1&gt;ROWS(Е6кр)-COUNTBLANK(Е6кр)," ",INDIRECT(ADDRESS(SMALL((IF(Е6кр&lt;&gt;" ",ROW(Е6кр),ROW()+ROWS(Е6кр))),ROW()-ROW(Н6кр)+1),COLUMN(Е6кр),4)))</f>
        <v>0</v>
      </c>
      <c r="CR62" s="377">
        <f t="shared" ref="CR62" si="165">IF(R62="х"," ",B62)</f>
        <v>28</v>
      </c>
      <c r="CS62" s="377" t="str">
        <f t="shared" ref="CS62" si="166">IF(CR62=" "," ",R62)</f>
        <v xml:space="preserve"> </v>
      </c>
      <c r="CT62">
        <f>IF(CR62&lt;CS62,CR62,0)</f>
        <v>28</v>
      </c>
      <c r="CU62">
        <f t="shared" si="7"/>
        <v>28</v>
      </c>
      <c r="CV62">
        <f t="array" aca="1" ref="CV62" ca="1">IF(ROW()-ROW(Н7кр)+1&gt;ROWS(Е7кр)-COUNTBLANK(Е7кр)," ",INDIRECT(ADDRESS(SMALL((IF(Е7кр&lt;&gt;" ",ROW(Е7кр),ROW()+ROWS(Е7кр))),ROW()-ROW(Н7кр)+1),COLUMN(Е7кр),4)))</f>
        <v>0</v>
      </c>
    </row>
    <row r="63" spans="1:100" ht="12" hidden="1" customHeight="1" thickBot="1">
      <c r="A63" s="201"/>
      <c r="B63" s="424"/>
      <c r="C63" s="426"/>
      <c r="D63" s="428"/>
      <c r="E63" s="430"/>
      <c r="F63" s="442"/>
      <c r="G63" s="44"/>
      <c r="H63" s="439"/>
      <c r="I63" s="44"/>
      <c r="J63" s="439"/>
      <c r="K63" s="44"/>
      <c r="L63" s="439"/>
      <c r="M63" s="44"/>
      <c r="N63" s="439"/>
      <c r="O63" s="44"/>
      <c r="P63" s="439"/>
      <c r="Q63" s="44"/>
      <c r="R63" s="439"/>
      <c r="S63" s="44"/>
      <c r="T63" s="439"/>
      <c r="U63" s="47"/>
      <c r="V63" s="439"/>
      <c r="W63" s="44"/>
      <c r="X63" s="439"/>
      <c r="Y63" s="44"/>
      <c r="Z63" s="422"/>
      <c r="AA63" s="419"/>
      <c r="AB63" s="432"/>
      <c r="AC63" s="386"/>
      <c r="AD63" s="387"/>
      <c r="AE63" s="389"/>
      <c r="AF63" s="390"/>
      <c r="AG63" s="390"/>
      <c r="AH63" s="390"/>
      <c r="AI63" s="390"/>
      <c r="AJ63" s="390"/>
      <c r="AK63" s="390"/>
      <c r="AL63" s="390"/>
      <c r="AM63" s="390"/>
      <c r="AN63" s="392"/>
      <c r="AO63" s="387"/>
      <c r="AP63" s="394"/>
      <c r="AQ63" s="387"/>
      <c r="AR63" s="395"/>
      <c r="AS63" s="183"/>
      <c r="AT63" s="183"/>
      <c r="AU63" s="183"/>
      <c r="AV63" s="386"/>
      <c r="AW63" s="19"/>
      <c r="AX63" s="19"/>
      <c r="AY63" s="19"/>
      <c r="AZ63" s="19"/>
      <c r="BA63" s="36"/>
      <c r="BB63" s="37"/>
      <c r="BC63" s="38"/>
      <c r="BD63" s="38"/>
      <c r="BU63" s="377"/>
      <c r="BV63" s="377"/>
      <c r="BW63" s="377"/>
      <c r="BX63" s="377"/>
      <c r="BY63" s="61" t="str">
        <f>IF(BY62&gt;=1,BX62,0)</f>
        <v xml:space="preserve"> </v>
      </c>
      <c r="BZ63" s="61" t="str">
        <f t="shared" si="84"/>
        <v xml:space="preserve"> </v>
      </c>
      <c r="CA63" s="124">
        <f t="array" aca="1" ref="CA6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3" t="str">
        <f>IF(CB62&gt;=1,BW62,0)</f>
        <v xml:space="preserve"> </v>
      </c>
      <c r="CC63" s="125" t="str">
        <f t="shared" si="5"/>
        <v xml:space="preserve"> </v>
      </c>
      <c r="CD63" s="51">
        <f t="array" aca="1" ref="CD63" ca="1">IF(ROW()-ROW(Н4кр)+1&gt;ROWS(Е4кр)-COUNTBLANK(Е4кр)," ",INDIRECT(ADDRESS(SMALL((IF(Е4кр&lt;&gt;" ",ROW(Е4кр),ROW()+ROWS(Е4кр))),ROW()-ROW(Н4кр)+1),COLUMN(Е4кр),4)))</f>
        <v>0</v>
      </c>
      <c r="CF63" s="377"/>
      <c r="CG63" s="377"/>
      <c r="CH63" s="125" t="str">
        <f>IF(CH62&gt;=1,CG62,0)</f>
        <v xml:space="preserve"> </v>
      </c>
      <c r="CI63" t="str">
        <f t="shared" si="12"/>
        <v xml:space="preserve"> </v>
      </c>
      <c r="CJ63" s="51">
        <f t="array" aca="1" ref="CJ63" ca="1">IF(ROW()-ROW(Н5кр)+1&gt;ROWS(Е5кр)-COUNTBLANK(Е5кр)," ",INDIRECT(ADDRESS(SMALL((IF(Е5кр&lt;&gt;" ",ROW(Е5кр),ROW()+ROWS(Е5кр))),ROW()-ROW(Н5кр)+1),COLUMN(Е5кр),4)))</f>
        <v>0</v>
      </c>
      <c r="CL63" s="377"/>
      <c r="CM63" s="377"/>
      <c r="CN63" t="str">
        <f>IF(CN62&gt;=1,CM62,0)</f>
        <v xml:space="preserve"> </v>
      </c>
      <c r="CO63" t="str">
        <f t="shared" si="6"/>
        <v xml:space="preserve"> </v>
      </c>
      <c r="CP63">
        <f t="array" aca="1" ref="CP63" ca="1">IF(ROW()-ROW(Н6кр)+1&gt;ROWS(Е6кр)-COUNTBLANK(Е6кр)," ",INDIRECT(ADDRESS(SMALL((IF(Е6кр&lt;&gt;" ",ROW(Е6кр),ROW()+ROWS(Е6кр))),ROW()-ROW(Н6кр)+1),COLUMN(Е6кр),4)))</f>
        <v>0</v>
      </c>
      <c r="CR63" s="377"/>
      <c r="CS63" s="377"/>
      <c r="CT63" t="str">
        <f>IF(CT62&gt;=1,CS62,0)</f>
        <v xml:space="preserve"> </v>
      </c>
      <c r="CU63" t="str">
        <f t="shared" si="7"/>
        <v xml:space="preserve"> </v>
      </c>
      <c r="CV63">
        <f t="array" aca="1" ref="CV63" ca="1">IF(ROW()-ROW(Н7кр)+1&gt;ROWS(Е7кр)-COUNTBLANK(Е7кр)," ",INDIRECT(ADDRESS(SMALL((IF(Е7кр&lt;&gt;" ",ROW(Е7кр),ROW()+ROWS(Е7кр))),ROW()-ROW(Н7кр)+1),COLUMN(Е7кр),4)))</f>
        <v>0</v>
      </c>
    </row>
    <row r="64" spans="1:100" ht="12" hidden="1" customHeight="1" thickTop="1">
      <c r="A64" s="201"/>
      <c r="B64" s="414">
        <v>29</v>
      </c>
      <c r="C64" s="425" t="e">
        <f>(VLOOKUP(B64,пр.взв!$B$7:$H$76,2,0))</f>
        <v>#N/A</v>
      </c>
      <c r="D64" s="427" t="e">
        <f>(VLOOKUP(B64,пр.взв!$B$7:$H$76,3,0))</f>
        <v>#N/A</v>
      </c>
      <c r="E64" s="429" t="e">
        <f>(VLOOKUP(B64,пр.взв!$B$7:$H$76,5,0))</f>
        <v>#N/A</v>
      </c>
      <c r="F64" s="445">
        <f t="shared" ref="F64" si="167">IF(ISERROR(C64),0,B66)</f>
        <v>0</v>
      </c>
      <c r="G64" s="41"/>
      <c r="H64" s="444"/>
      <c r="I64" s="41"/>
      <c r="J64" s="444" t="str">
        <f t="shared" si="0"/>
        <v xml:space="preserve"> </v>
      </c>
      <c r="K64" s="41"/>
      <c r="L64" s="444" t="str">
        <f>IF(J64="Х","Х",IF(K64&lt;2.5," ",IF(K64&gt;=2.5,IF(G64+I64+K64&gt;=6,"Х",IF(AA64&lt;6," "," ")))))</f>
        <v xml:space="preserve"> </v>
      </c>
      <c r="M64" s="41"/>
      <c r="N64" s="444" t="str">
        <f>IF(L64="Х","Х",IF(M64&lt;2.5," ",IF(M64&gt;=2.5,IF(G64+I64+K64+M64&gt;=6,"Х",IF(AA64&lt;6," "," ")))))</f>
        <v xml:space="preserve"> </v>
      </c>
      <c r="O64" s="41"/>
      <c r="P64" s="444" t="str">
        <f>IF(N64="Х","Х",IF(O64&lt;2.5," ",IF(O64&gt;=2.5,IF(G64+I64+K64+M64+O64&gt;=6,"Х",IF(AA64&lt;6," "," ")))))</f>
        <v xml:space="preserve"> </v>
      </c>
      <c r="Q64" s="41"/>
      <c r="R64" s="444" t="str">
        <f>IF(P64="Х","Х",IF(Q64&lt;2.5," ",IF(Q64&gt;=2.5,IF(G64+I64+K64+M64+O64+Q64&gt;=6,"Х",IF(AA64&lt;6," "," ")))))</f>
        <v xml:space="preserve"> </v>
      </c>
      <c r="S64" s="41"/>
      <c r="T64" s="444" t="str">
        <f>IF(R64="Х","Х",IF(S64&lt;2.5," ",IF(S64&gt;=2.5,IF(G64+I64+K64+M64+O64+Q64+S64&gt;=6,"Х",IF(AA64&lt;6," "," ")))))</f>
        <v xml:space="preserve"> </v>
      </c>
      <c r="U64" s="45"/>
      <c r="V64" s="438" t="str">
        <f>IF(T64="А1",$AX$7,IF(T64="Б2",$AX$6,IF(T64="Б1",$AY$7,IF(T64="А2",$AY$6,IF(T64="Х","Х",IF(T64&lt;6," "," "))))))</f>
        <v xml:space="preserve"> </v>
      </c>
      <c r="W64" s="41"/>
      <c r="X64" s="438" t="str">
        <f t="shared" ref="X64" si="168">IF(T64="Х","Х",IF(ISBLANK(W64),"",IF(W64&gt;2.5," ",IF(B64=AZ$6,AZ$7,AZ$6))))</f>
        <v/>
      </c>
      <c r="Y64" s="41"/>
      <c r="Z64" s="421" t="b">
        <f>IF(H64="Х","1",IF(J64="Х","2",IF(L64="Х","3",IF(N64="Х","4",IF(P64="Х","5",IF(R64="Х","6",IF(T64="Х","7",IF(V64="Х","8"))))))))</f>
        <v>0</v>
      </c>
      <c r="AA64" s="420">
        <f>SUM(G64+I64+K64+M64+O64+Q64+S64+U64+W64+Y64)</f>
        <v>0</v>
      </c>
      <c r="AB64" s="431">
        <f t="shared" ref="AB64" si="169">AD64+0</f>
        <v>20576</v>
      </c>
      <c r="AC64" s="386">
        <f>AB64</f>
        <v>20576</v>
      </c>
      <c r="AD64" s="387" t="str">
        <f>COUNTIF(AE$6:AE$119,"&gt;"&amp;AE$6:AE$119)+1&amp;REPT("-"&amp;COUNTIF(AE$6:AE$119,"&gt;="&amp;AE$6:AE$119),COUNTIF(AE$6:AE$119,AE64)&gt;1)</f>
        <v>5-56</v>
      </c>
      <c r="AE64" s="388">
        <f t="shared" si="45"/>
        <v>80</v>
      </c>
      <c r="AF64" s="390" t="str">
        <f>IF(OR(F64="Х",F64="св")," ",IF(AND(G64&gt;=0,G64&lt;3),"1"," "))</f>
        <v>1</v>
      </c>
      <c r="AG64" s="390" t="str">
        <f>IF(OR(H64="Х",H64="св")," ",IF(AND(I64&gt;=0,I64&lt;3),"1"," "))</f>
        <v>1</v>
      </c>
      <c r="AH64" s="390" t="str">
        <f>IF(OR(J64="Х",J64="св")," ",IF(AND(K64&gt;=0,K64&lt;3),"1"," "))</f>
        <v>1</v>
      </c>
      <c r="AI64" s="390" t="str">
        <f>IF(OR(L64="Х",L64="св")," ",IF(AND(M64&gt;=0,M64&lt;3),"1"," "))</f>
        <v>1</v>
      </c>
      <c r="AJ64" s="390" t="str">
        <f>IF(OR(N64="Х",N64="св")," ",IF(AND(O64&gt;=0,O64&lt;3),"1"," "))</f>
        <v>1</v>
      </c>
      <c r="AK64" s="390" t="str">
        <f>IF(OR(P64="Х",P64="св")," ",IF(AND(Q64&gt;=0,Q64&lt;3),"1"," "))</f>
        <v>1</v>
      </c>
      <c r="AL64" s="390" t="str">
        <f>IF(OR(R64="Х",R64="св")," ",IF(AND(S64&gt;=0,S64&lt;3),"1"," "))</f>
        <v>1</v>
      </c>
      <c r="AM64" s="390" t="str">
        <f>IF(OR(T64="Х",T64="св")," ",IF(AND(U64&gt;=0,U64&lt;3),"1"," "))</f>
        <v>1</v>
      </c>
      <c r="AN64" s="391">
        <f>COUNTIF(AF64:AM65,1)</f>
        <v>8</v>
      </c>
      <c r="AO64" s="393">
        <f>AE64-AA64</f>
        <v>80</v>
      </c>
      <c r="AP64" s="394">
        <f t="shared" si="10"/>
        <v>0</v>
      </c>
      <c r="AQ64" s="387" t="str">
        <f>COUNTIF(AE$6:AE$119,"&gt;"&amp;AE$6:AE$119)+1&amp;REPT("-"&amp;COUNTIF(AE$6:AE$119,"&gt;="&amp;AE$6:AE$119),COUNTIF(AE$6:AE$119,AE64)&gt;1)</f>
        <v>5-56</v>
      </c>
      <c r="AR64" s="395"/>
      <c r="AS64" s="183"/>
      <c r="AT64" s="183"/>
      <c r="AU64" s="183"/>
      <c r="AV64" s="386">
        <f t="shared" si="65"/>
        <v>29</v>
      </c>
      <c r="AW64" s="19"/>
      <c r="AX64" s="19"/>
      <c r="AY64" s="19"/>
      <c r="AZ64" s="19"/>
      <c r="BA64" s="36"/>
      <c r="BB64" s="37"/>
      <c r="BC64" s="38"/>
      <c r="BD64" s="38"/>
      <c r="BU64" s="377">
        <f>IF(J64="х"," ",B64)</f>
        <v>29</v>
      </c>
      <c r="BV64" s="377">
        <f>IF(L64="х"," ",B64)</f>
        <v>29</v>
      </c>
      <c r="BW64" s="377" t="str">
        <f>IF(BV64=" "," ",L64)</f>
        <v xml:space="preserve"> </v>
      </c>
      <c r="BX64" s="377" t="str">
        <f>IF(BU64=" "," ",J64)</f>
        <v xml:space="preserve"> </v>
      </c>
      <c r="BY64" s="61">
        <f>IF(BU64&lt;BX64,BU64,0)</f>
        <v>29</v>
      </c>
      <c r="BZ64" s="61">
        <f t="shared" si="84"/>
        <v>29</v>
      </c>
      <c r="CA64" s="124">
        <f t="array" aca="1" ref="CA6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4">
        <f>IF(BV64&lt;BW64,BV64,0)</f>
        <v>29</v>
      </c>
      <c r="CC64" s="125">
        <f t="shared" si="5"/>
        <v>29</v>
      </c>
      <c r="CD64" s="51">
        <f t="array" aca="1" ref="CD64" ca="1">IF(ROW()-ROW(Н4кр)+1&gt;ROWS(Е4кр)-COUNTBLANK(Е4кр)," ",INDIRECT(ADDRESS(SMALL((IF(Е4кр&lt;&gt;" ",ROW(Е4кр),ROW()+ROWS(Е4кр))),ROW()-ROW(Н4кр)+1),COLUMN(Е4кр),4)))</f>
        <v>0</v>
      </c>
      <c r="CF64" s="377">
        <f>IF(N64="х"," ",B64)</f>
        <v>29</v>
      </c>
      <c r="CG64" s="377" t="str">
        <f>IF(CF64=" "," ",N64)</f>
        <v xml:space="preserve"> </v>
      </c>
      <c r="CH64" s="125">
        <f>IF(CF64&lt;CG64,CF64,0)</f>
        <v>29</v>
      </c>
      <c r="CI64">
        <f t="shared" si="12"/>
        <v>29</v>
      </c>
      <c r="CJ64" s="51">
        <f t="array" aca="1" ref="CJ64" ca="1">IF(ROW()-ROW(Н5кр)+1&gt;ROWS(Е5кр)-COUNTBLANK(Е5кр)," ",INDIRECT(ADDRESS(SMALL((IF(Е5кр&lt;&gt;" ",ROW(Е5кр),ROW()+ROWS(Е5кр))),ROW()-ROW(Н5кр)+1),COLUMN(Е5кр),4)))</f>
        <v>0</v>
      </c>
      <c r="CL64" s="377">
        <f>IF(P64="х"," ",B64)</f>
        <v>29</v>
      </c>
      <c r="CM64" s="377" t="str">
        <f>IF(CL64=" "," ",P64)</f>
        <v xml:space="preserve"> </v>
      </c>
      <c r="CN64">
        <f>IF(CL64&lt;CM64,CL64,0)</f>
        <v>29</v>
      </c>
      <c r="CO64">
        <f t="shared" si="6"/>
        <v>29</v>
      </c>
      <c r="CP64">
        <f t="array" aca="1" ref="CP64" ca="1">IF(ROW()-ROW(Н6кр)+1&gt;ROWS(Е6кр)-COUNTBLANK(Е6кр)," ",INDIRECT(ADDRESS(SMALL((IF(Е6кр&lt;&gt;" ",ROW(Е6кр),ROW()+ROWS(Е6кр))),ROW()-ROW(Н6кр)+1),COLUMN(Е6кр),4)))</f>
        <v>0</v>
      </c>
      <c r="CR64" s="377">
        <f t="shared" ref="CR64" si="170">IF(R64="х"," ",B64)</f>
        <v>29</v>
      </c>
      <c r="CS64" s="377" t="str">
        <f t="shared" ref="CS64" si="171">IF(CR64=" "," ",R64)</f>
        <v xml:space="preserve"> </v>
      </c>
      <c r="CT64">
        <f>IF(CR64&lt;CS64,CR64,0)</f>
        <v>29</v>
      </c>
      <c r="CU64">
        <f t="shared" si="7"/>
        <v>29</v>
      </c>
      <c r="CV64">
        <f t="array" aca="1" ref="CV64" ca="1">IF(ROW()-ROW(Н7кр)+1&gt;ROWS(Е7кр)-COUNTBLANK(Е7кр)," ",INDIRECT(ADDRESS(SMALL((IF(Е7кр&lt;&gt;" ",ROW(Е7кр),ROW()+ROWS(Е7кр))),ROW()-ROW(Н7кр)+1),COLUMN(Е7кр),4)))</f>
        <v>0</v>
      </c>
    </row>
    <row r="65" spans="1:100" ht="12" hidden="1" customHeight="1" thickBot="1">
      <c r="A65" s="201"/>
      <c r="B65" s="424"/>
      <c r="C65" s="426"/>
      <c r="D65" s="428"/>
      <c r="E65" s="430"/>
      <c r="F65" s="442"/>
      <c r="G65" s="44"/>
      <c r="H65" s="439"/>
      <c r="I65" s="44"/>
      <c r="J65" s="439"/>
      <c r="K65" s="44"/>
      <c r="L65" s="439"/>
      <c r="M65" s="44"/>
      <c r="N65" s="439"/>
      <c r="O65" s="44"/>
      <c r="P65" s="439"/>
      <c r="Q65" s="44"/>
      <c r="R65" s="439"/>
      <c r="S65" s="44"/>
      <c r="T65" s="439"/>
      <c r="U65" s="47"/>
      <c r="V65" s="439"/>
      <c r="W65" s="44"/>
      <c r="X65" s="439"/>
      <c r="Y65" s="44"/>
      <c r="Z65" s="422"/>
      <c r="AA65" s="419"/>
      <c r="AB65" s="432"/>
      <c r="AC65" s="386"/>
      <c r="AD65" s="387"/>
      <c r="AE65" s="389"/>
      <c r="AF65" s="390"/>
      <c r="AG65" s="390"/>
      <c r="AH65" s="390"/>
      <c r="AI65" s="390"/>
      <c r="AJ65" s="390"/>
      <c r="AK65" s="390"/>
      <c r="AL65" s="390"/>
      <c r="AM65" s="390"/>
      <c r="AN65" s="392"/>
      <c r="AO65" s="387"/>
      <c r="AP65" s="394"/>
      <c r="AQ65" s="387"/>
      <c r="AR65" s="395"/>
      <c r="AS65" s="183"/>
      <c r="AT65" s="183"/>
      <c r="AU65" s="183"/>
      <c r="AV65" s="386"/>
      <c r="AW65" s="19"/>
      <c r="AX65" s="19"/>
      <c r="AY65" s="19"/>
      <c r="AZ65" s="19"/>
      <c r="BA65" s="28"/>
      <c r="BB65" s="28"/>
      <c r="BC65" s="28"/>
      <c r="BD65" s="28"/>
      <c r="BU65" s="377"/>
      <c r="BV65" s="377"/>
      <c r="BW65" s="377"/>
      <c r="BX65" s="377"/>
      <c r="BY65" s="61" t="str">
        <f>IF(BY64&gt;=1,BX64,0)</f>
        <v xml:space="preserve"> </v>
      </c>
      <c r="BZ65" s="61" t="str">
        <f t="shared" si="84"/>
        <v xml:space="preserve"> </v>
      </c>
      <c r="CA65" s="124">
        <f t="array" aca="1" ref="CA6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5" t="str">
        <f>IF(CB64&gt;=1,BW64,0)</f>
        <v xml:space="preserve"> </v>
      </c>
      <c r="CC65" s="125" t="str">
        <f t="shared" si="5"/>
        <v xml:space="preserve"> </v>
      </c>
      <c r="CD65" s="51">
        <f t="array" aca="1" ref="CD65" ca="1">IF(ROW()-ROW(Н4кр)+1&gt;ROWS(Е4кр)-COUNTBLANK(Е4кр)," ",INDIRECT(ADDRESS(SMALL((IF(Е4кр&lt;&gt;" ",ROW(Е4кр),ROW()+ROWS(Е4кр))),ROW()-ROW(Н4кр)+1),COLUMN(Е4кр),4)))</f>
        <v>0</v>
      </c>
      <c r="CF65" s="377"/>
      <c r="CG65" s="377"/>
      <c r="CH65" s="125" t="str">
        <f>IF(CH64&gt;=1,CG64,0)</f>
        <v xml:space="preserve"> </v>
      </c>
      <c r="CI65" t="str">
        <f t="shared" si="12"/>
        <v xml:space="preserve"> </v>
      </c>
      <c r="CJ65" s="51">
        <f t="array" aca="1" ref="CJ65" ca="1">IF(ROW()-ROW(Н5кр)+1&gt;ROWS(Е5кр)-COUNTBLANK(Е5кр)," ",INDIRECT(ADDRESS(SMALL((IF(Е5кр&lt;&gt;" ",ROW(Е5кр),ROW()+ROWS(Е5кр))),ROW()-ROW(Н5кр)+1),COLUMN(Е5кр),4)))</f>
        <v>0</v>
      </c>
      <c r="CL65" s="377"/>
      <c r="CM65" s="377"/>
      <c r="CN65" t="str">
        <f>IF(CN64&gt;=1,CM64,0)</f>
        <v xml:space="preserve"> </v>
      </c>
      <c r="CO65" t="str">
        <f t="shared" si="6"/>
        <v xml:space="preserve"> </v>
      </c>
      <c r="CP65">
        <f t="array" aca="1" ref="CP65" ca="1">IF(ROW()-ROW(Н6кр)+1&gt;ROWS(Е6кр)-COUNTBLANK(Е6кр)," ",INDIRECT(ADDRESS(SMALL((IF(Е6кр&lt;&gt;" ",ROW(Е6кр),ROW()+ROWS(Е6кр))),ROW()-ROW(Н6кр)+1),COLUMN(Е6кр),4)))</f>
        <v>0</v>
      </c>
      <c r="CR65" s="377"/>
      <c r="CS65" s="377"/>
      <c r="CT65" t="str">
        <f>IF(CT64&gt;=1,CS64,0)</f>
        <v xml:space="preserve"> </v>
      </c>
      <c r="CU65" t="str">
        <f t="shared" si="7"/>
        <v xml:space="preserve"> </v>
      </c>
      <c r="CV65">
        <f t="array" aca="1" ref="CV65" ca="1">IF(ROW()-ROW(Н7кр)+1&gt;ROWS(Е7кр)-COUNTBLANK(Е7кр)," ",INDIRECT(ADDRESS(SMALL((IF(Е7кр&lt;&gt;" ",ROW(Е7кр),ROW()+ROWS(Е7кр))),ROW()-ROW(Н7кр)+1),COLUMN(Е7кр),4)))</f>
        <v>0</v>
      </c>
    </row>
    <row r="66" spans="1:100" ht="12" hidden="1" customHeight="1" thickTop="1">
      <c r="A66" s="201"/>
      <c r="B66" s="423">
        <v>30</v>
      </c>
      <c r="C66" s="425" t="e">
        <f>(VLOOKUP(B66,пр.взв!$B$7:$H$76,2,0))</f>
        <v>#N/A</v>
      </c>
      <c r="D66" s="427" t="e">
        <f>(VLOOKUP(B66,пр.взв!$B$7:$H$76,3,0))</f>
        <v>#N/A</v>
      </c>
      <c r="E66" s="429" t="e">
        <f>(VLOOKUP(B66,пр.взв!$B$7:$H$76,5,0))</f>
        <v>#N/A</v>
      </c>
      <c r="F66" s="443">
        <f t="shared" ref="F66" si="172">IF(ISERROR(C66),0,B64)</f>
        <v>0</v>
      </c>
      <c r="G66" s="42"/>
      <c r="H66" s="440"/>
      <c r="I66" s="42"/>
      <c r="J66" s="444" t="str">
        <f t="shared" si="0"/>
        <v xml:space="preserve"> </v>
      </c>
      <c r="K66" s="41"/>
      <c r="L66" s="438" t="str">
        <f>IF(J66="Х","Х",IF(K66&lt;2.5," ",IF(K66&gt;=2.5,IF(G66+I66+K66&gt;=6,"Х",IF(AA66&lt;6," "," ")))))</f>
        <v xml:space="preserve"> </v>
      </c>
      <c r="M66" s="41"/>
      <c r="N66" s="438" t="str">
        <f>IF(L66="Х","Х",IF(M66&lt;2.5," ",IF(M66&gt;=2.5,IF(G66+I66+K66+M66&gt;=6,"Х",IF(AA66&lt;6," "," ")))))</f>
        <v xml:space="preserve"> </v>
      </c>
      <c r="O66" s="41"/>
      <c r="P66" s="438" t="str">
        <f>IF(N66="Х","Х",IF(O66&lt;2.5," ",IF(O66&gt;=2.5,IF(G66+I66+K66+M66+O66&gt;=6,"Х",IF(AA66&lt;6," "," ")))))</f>
        <v xml:space="preserve"> </v>
      </c>
      <c r="Q66" s="41"/>
      <c r="R66" s="438" t="str">
        <f>IF(P66="Х","Х",IF(Q66&lt;2.5," ",IF(Q66&gt;=2.5,IF(G66+I66+K66+M66+O66+Q66&gt;=6,"Х",IF(AA66&lt;6," "," ")))))</f>
        <v xml:space="preserve"> </v>
      </c>
      <c r="S66" s="41"/>
      <c r="T66" s="438" t="str">
        <f>IF(R66="Х","Х",IF(S66&lt;2.5," ",IF(S66&gt;=2.5,IF(G66+I66+K66+M66+O66+Q66+S66&gt;=6,"Х",IF(AA66&lt;6," "," ")))))</f>
        <v xml:space="preserve"> </v>
      </c>
      <c r="U66" s="45"/>
      <c r="V66" s="438" t="str">
        <f>IF(T66="А1",$AX$7,IF(T66="Б2",$AX$6,IF(T66="Б1",$AY$7,IF(T66="А2",$AY$6,IF(T66="Х","Х",IF(T66&lt;6," "," "))))))</f>
        <v xml:space="preserve"> </v>
      </c>
      <c r="W66" s="41"/>
      <c r="X66" s="438" t="str">
        <f t="shared" ref="X66" si="173">IF(T66="Х","Х",IF(ISBLANK(W66),"",IF(W66&gt;2.5," ",IF(B66=AZ$6,AZ$7,AZ$6))))</f>
        <v/>
      </c>
      <c r="Y66" s="42"/>
      <c r="Z66" s="466" t="b">
        <f>IF(H66="Х","1",IF(J66="Х","2",IF(L66="Х","3",IF(N66="Х","4",IF(P66="Х","5",IF(R66="Х","6",IF(T66="Х","7",IF(V66="Х","8"))))))))</f>
        <v>0</v>
      </c>
      <c r="AA66" s="464">
        <f>SUM(G66+I66+K66+M66+O66+Q66+S66+U66+W66+Y66)</f>
        <v>0</v>
      </c>
      <c r="AB66" s="431">
        <f t="shared" ref="AB66" si="174">AD66+0</f>
        <v>20576</v>
      </c>
      <c r="AC66" s="386">
        <f>AB66</f>
        <v>20576</v>
      </c>
      <c r="AD66" s="387" t="str">
        <f>COUNTIF(AE$6:AE$119,"&gt;"&amp;AE$6:AE$119)+1&amp;REPT("-"&amp;COUNTIF(AE$6:AE$119,"&gt;="&amp;AE$6:AE$119),COUNTIF(AE$6:AE$119,AE66)&gt;1)</f>
        <v>5-56</v>
      </c>
      <c r="AE66" s="388">
        <f t="shared" si="45"/>
        <v>80</v>
      </c>
      <c r="AF66" s="390" t="str">
        <f>IF(OR(F66="Х",F66="св")," ",IF(AND(G66&gt;=0,G66&lt;3),"1"," "))</f>
        <v>1</v>
      </c>
      <c r="AG66" s="390" t="str">
        <f>IF(OR(H66="Х",H66="св")," ",IF(AND(I66&gt;=0,I66&lt;3),"1"," "))</f>
        <v>1</v>
      </c>
      <c r="AH66" s="390" t="str">
        <f>IF(OR(J66="Х",J66="св")," ",IF(AND(K66&gt;=0,K66&lt;3),"1"," "))</f>
        <v>1</v>
      </c>
      <c r="AI66" s="390" t="str">
        <f>IF(OR(L66="Х",L66="св")," ",IF(AND(M66&gt;=0,M66&lt;3),"1"," "))</f>
        <v>1</v>
      </c>
      <c r="AJ66" s="390" t="str">
        <f>IF(OR(N66="Х",N66="св")," ",IF(AND(O66&gt;=0,O66&lt;3),"1"," "))</f>
        <v>1</v>
      </c>
      <c r="AK66" s="390" t="str">
        <f>IF(OR(P66="Х",P66="св")," ",IF(AND(Q66&gt;=0,Q66&lt;3),"1"," "))</f>
        <v>1</v>
      </c>
      <c r="AL66" s="390" t="str">
        <f>IF(OR(R66="Х",R66="св")," ",IF(AND(S66&gt;=0,S66&lt;3),"1"," "))</f>
        <v>1</v>
      </c>
      <c r="AM66" s="390" t="str">
        <f>IF(OR(T66="Х",T66="св")," ",IF(AND(U66&gt;=0,U66&lt;3),"1"," "))</f>
        <v>1</v>
      </c>
      <c r="AN66" s="391">
        <f>COUNTIF(AF66:AM67,1)</f>
        <v>8</v>
      </c>
      <c r="AO66" s="393">
        <f>AE66-AA66</f>
        <v>80</v>
      </c>
      <c r="AP66" s="394">
        <f t="shared" si="10"/>
        <v>0</v>
      </c>
      <c r="AQ66" s="387" t="str">
        <f>COUNTIF(AE$6:AE$119,"&gt;"&amp;AE$6:AE$119)+1&amp;REPT("-"&amp;COUNTIF(AE$6:AE$119,"&gt;="&amp;AE$6:AE$119),COUNTIF(AE$6:AE$119,AE66)&gt;1)</f>
        <v>5-56</v>
      </c>
      <c r="AR66" s="395"/>
      <c r="AS66" s="183"/>
      <c r="AT66" s="183"/>
      <c r="AU66" s="183"/>
      <c r="AV66" s="386">
        <f t="shared" si="65"/>
        <v>30</v>
      </c>
      <c r="AW66" s="19"/>
      <c r="AX66" s="19"/>
      <c r="AY66" s="19"/>
      <c r="AZ66" s="19"/>
      <c r="BU66" s="377">
        <f>IF(J66="х"," ",B66)</f>
        <v>30</v>
      </c>
      <c r="BV66" s="377">
        <f>IF(L66="х"," ",B66)</f>
        <v>30</v>
      </c>
      <c r="BW66" s="377" t="str">
        <f>IF(BV66=" "," ",L66)</f>
        <v xml:space="preserve"> </v>
      </c>
      <c r="BX66" s="377" t="str">
        <f>IF(BU66=" "," ",J66)</f>
        <v xml:space="preserve"> </v>
      </c>
      <c r="BY66" s="61">
        <f>IF(BU66&lt;BX66,BU66,0)</f>
        <v>30</v>
      </c>
      <c r="BZ66" s="61">
        <f t="shared" si="84"/>
        <v>30</v>
      </c>
      <c r="CA66" s="124">
        <f t="array" aca="1" ref="CA6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6">
        <f>IF(BV66&lt;BW66,BV66,0)</f>
        <v>30</v>
      </c>
      <c r="CC66" s="125">
        <f t="shared" si="5"/>
        <v>30</v>
      </c>
      <c r="CD66" s="51">
        <f t="array" aca="1" ref="CD66" ca="1">IF(ROW()-ROW(Н4кр)+1&gt;ROWS(Е4кр)-COUNTBLANK(Е4кр)," ",INDIRECT(ADDRESS(SMALL((IF(Е4кр&lt;&gt;" ",ROW(Е4кр),ROW()+ROWS(Е4кр))),ROW()-ROW(Н4кр)+1),COLUMN(Е4кр),4)))</f>
        <v>0</v>
      </c>
      <c r="CF66" s="377">
        <f>IF(N66="х"," ",B66)</f>
        <v>30</v>
      </c>
      <c r="CG66" s="377" t="str">
        <f>IF(CF66=" "," ",N66)</f>
        <v xml:space="preserve"> </v>
      </c>
      <c r="CH66" s="125">
        <f>IF(CF66&lt;CG66,CF66,0)</f>
        <v>30</v>
      </c>
      <c r="CI66">
        <f t="shared" si="12"/>
        <v>30</v>
      </c>
      <c r="CJ66" s="51">
        <f t="array" aca="1" ref="CJ66" ca="1">IF(ROW()-ROW(Н5кр)+1&gt;ROWS(Е5кр)-COUNTBLANK(Е5кр)," ",INDIRECT(ADDRESS(SMALL((IF(Е5кр&lt;&gt;" ",ROW(Е5кр),ROW()+ROWS(Е5кр))),ROW()-ROW(Н5кр)+1),COLUMN(Е5кр),4)))</f>
        <v>0</v>
      </c>
      <c r="CL66" s="377">
        <f>IF(P66="х"," ",B66)</f>
        <v>30</v>
      </c>
      <c r="CM66" s="377" t="str">
        <f>IF(CL66=" "," ",P66)</f>
        <v xml:space="preserve"> </v>
      </c>
      <c r="CN66">
        <f>IF(CL66&lt;CM66,CL66,0)</f>
        <v>30</v>
      </c>
      <c r="CO66">
        <f t="shared" si="6"/>
        <v>30</v>
      </c>
      <c r="CP66">
        <f t="array" aca="1" ref="CP66" ca="1">IF(ROW()-ROW(Н6кр)+1&gt;ROWS(Е6кр)-COUNTBLANK(Е6кр)," ",INDIRECT(ADDRESS(SMALL((IF(Е6кр&lt;&gt;" ",ROW(Е6кр),ROW()+ROWS(Е6кр))),ROW()-ROW(Н6кр)+1),COLUMN(Е6кр),4)))</f>
        <v>0</v>
      </c>
      <c r="CR66" s="377">
        <f t="shared" ref="CR66" si="175">IF(R66="х"," ",B66)</f>
        <v>30</v>
      </c>
      <c r="CS66" s="377" t="str">
        <f t="shared" ref="CS66" si="176">IF(CR66=" "," ",R66)</f>
        <v xml:space="preserve"> </v>
      </c>
      <c r="CT66">
        <f>IF(CR66&lt;CS66,CR66,0)</f>
        <v>30</v>
      </c>
      <c r="CU66">
        <f t="shared" si="7"/>
        <v>30</v>
      </c>
      <c r="CV66">
        <f t="array" aca="1" ref="CV66" ca="1">IF(ROW()-ROW(Н7кр)+1&gt;ROWS(Е7кр)-COUNTBLANK(Е7кр)," ",INDIRECT(ADDRESS(SMALL((IF(Е7кр&lt;&gt;" ",ROW(Е7кр),ROW()+ROWS(Е7кр))),ROW()-ROW(Н7кр)+1),COLUMN(Е7кр),4)))</f>
        <v>0</v>
      </c>
    </row>
    <row r="67" spans="1:100" ht="12" hidden="1" customHeight="1" thickBot="1">
      <c r="A67" s="201"/>
      <c r="B67" s="424"/>
      <c r="C67" s="426"/>
      <c r="D67" s="428"/>
      <c r="E67" s="430"/>
      <c r="F67" s="442"/>
      <c r="G67" s="44"/>
      <c r="H67" s="439"/>
      <c r="I67" s="44"/>
      <c r="J67" s="439"/>
      <c r="K67" s="44"/>
      <c r="L67" s="439"/>
      <c r="M67" s="44"/>
      <c r="N67" s="439"/>
      <c r="O67" s="44"/>
      <c r="P67" s="439"/>
      <c r="Q67" s="44"/>
      <c r="R67" s="439"/>
      <c r="S67" s="44"/>
      <c r="T67" s="439"/>
      <c r="U67" s="47"/>
      <c r="V67" s="439"/>
      <c r="W67" s="44"/>
      <c r="X67" s="439"/>
      <c r="Y67" s="44"/>
      <c r="Z67" s="422"/>
      <c r="AA67" s="465"/>
      <c r="AB67" s="432"/>
      <c r="AC67" s="386"/>
      <c r="AD67" s="387"/>
      <c r="AE67" s="389"/>
      <c r="AF67" s="390"/>
      <c r="AG67" s="390"/>
      <c r="AH67" s="390"/>
      <c r="AI67" s="390"/>
      <c r="AJ67" s="390"/>
      <c r="AK67" s="390"/>
      <c r="AL67" s="390"/>
      <c r="AM67" s="390"/>
      <c r="AN67" s="392"/>
      <c r="AO67" s="387"/>
      <c r="AP67" s="394"/>
      <c r="AQ67" s="387"/>
      <c r="AR67" s="395"/>
      <c r="AS67" s="183"/>
      <c r="AT67" s="183"/>
      <c r="AU67" s="183"/>
      <c r="AV67" s="386"/>
      <c r="AW67" s="19"/>
      <c r="AX67" s="19"/>
      <c r="AY67" s="19"/>
      <c r="AZ67" s="19"/>
      <c r="BU67" s="377"/>
      <c r="BV67" s="377"/>
      <c r="BW67" s="377"/>
      <c r="BX67" s="377"/>
      <c r="BY67" s="61" t="str">
        <f>IF(BY66&gt;=1,BX66,0)</f>
        <v xml:space="preserve"> </v>
      </c>
      <c r="BZ67" s="61" t="str">
        <f t="shared" si="84"/>
        <v xml:space="preserve"> </v>
      </c>
      <c r="CA67" s="124">
        <f t="array" aca="1" ref="CA6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7" t="str">
        <f>IF(CB66&gt;=1,BW66,0)</f>
        <v xml:space="preserve"> </v>
      </c>
      <c r="CC67" s="125" t="str">
        <f t="shared" si="5"/>
        <v xml:space="preserve"> </v>
      </c>
      <c r="CD67" s="51">
        <f t="array" aca="1" ref="CD67" ca="1">IF(ROW()-ROW(Н4кр)+1&gt;ROWS(Е4кр)-COUNTBLANK(Е4кр)," ",INDIRECT(ADDRESS(SMALL((IF(Е4кр&lt;&gt;" ",ROW(Е4кр),ROW()+ROWS(Е4кр))),ROW()-ROW(Н4кр)+1),COLUMN(Е4кр),4)))</f>
        <v>0</v>
      </c>
      <c r="CF67" s="377"/>
      <c r="CG67" s="377"/>
      <c r="CH67" s="125" t="str">
        <f>IF(CH66&gt;=1,CG66,0)</f>
        <v xml:space="preserve"> </v>
      </c>
      <c r="CI67" t="str">
        <f t="shared" si="12"/>
        <v xml:space="preserve"> </v>
      </c>
      <c r="CJ67" s="51">
        <f t="array" aca="1" ref="CJ67" ca="1">IF(ROW()-ROW(Н5кр)+1&gt;ROWS(Е5кр)-COUNTBLANK(Е5кр)," ",INDIRECT(ADDRESS(SMALL((IF(Е5кр&lt;&gt;" ",ROW(Е5кр),ROW()+ROWS(Е5кр))),ROW()-ROW(Н5кр)+1),COLUMN(Е5кр),4)))</f>
        <v>0</v>
      </c>
      <c r="CL67" s="377"/>
      <c r="CM67" s="377"/>
      <c r="CN67" t="str">
        <f>IF(CN66&gt;=1,CM66,0)</f>
        <v xml:space="preserve"> </v>
      </c>
      <c r="CO67" t="str">
        <f t="shared" si="6"/>
        <v xml:space="preserve"> </v>
      </c>
      <c r="CP67">
        <f t="array" aca="1" ref="CP67" ca="1">IF(ROW()-ROW(Н6кр)+1&gt;ROWS(Е6кр)-COUNTBLANK(Е6кр)," ",INDIRECT(ADDRESS(SMALL((IF(Е6кр&lt;&gt;" ",ROW(Е6кр),ROW()+ROWS(Е6кр))),ROW()-ROW(Н6кр)+1),COLUMN(Е6кр),4)))</f>
        <v>0</v>
      </c>
      <c r="CR67" s="377"/>
      <c r="CS67" s="377"/>
      <c r="CT67" t="str">
        <f>IF(CT66&gt;=1,CS66,0)</f>
        <v xml:space="preserve"> </v>
      </c>
      <c r="CU67" t="str">
        <f t="shared" si="7"/>
        <v xml:space="preserve"> </v>
      </c>
      <c r="CV67">
        <f t="array" aca="1" ref="CV67" ca="1">IF(ROW()-ROW(Н7кр)+1&gt;ROWS(Е7кр)-COUNTBLANK(Е7кр)," ",INDIRECT(ADDRESS(SMALL((IF(Е7кр&lt;&gt;" ",ROW(Е7кр),ROW()+ROWS(Е7кр))),ROW()-ROW(Н7кр)+1),COLUMN(Е7кр),4)))</f>
        <v>0</v>
      </c>
    </row>
    <row r="68" spans="1:100" ht="12" hidden="1" customHeight="1" thickTop="1">
      <c r="A68" s="201"/>
      <c r="B68" s="423">
        <v>31</v>
      </c>
      <c r="C68" s="425" t="e">
        <f>(VLOOKUP(B68,пр.взв!$B$7:$H$76,2,0))</f>
        <v>#N/A</v>
      </c>
      <c r="D68" s="427" t="e">
        <f>(VLOOKUP(B68,пр.взв!$B$7:$H$76,3,0))</f>
        <v>#N/A</v>
      </c>
      <c r="E68" s="429" t="e">
        <f>(VLOOKUP(B68,пр.взв!$B$7:$H$76,5,0))</f>
        <v>#N/A</v>
      </c>
      <c r="F68" s="445">
        <f t="shared" si="41"/>
        <v>0</v>
      </c>
      <c r="G68" s="41"/>
      <c r="H68" s="444"/>
      <c r="I68" s="41"/>
      <c r="J68" s="444" t="str">
        <f t="shared" si="0"/>
        <v xml:space="preserve"> </v>
      </c>
      <c r="K68" s="41"/>
      <c r="L68" s="438" t="str">
        <f>IF(J68="Х","Х",IF(K68&lt;2.5," ",IF(K68&gt;=2.5,IF(G68+I68+K68&gt;=6,"Х",IF(AA68&lt;6," "," ")))))</f>
        <v xml:space="preserve"> </v>
      </c>
      <c r="M68" s="41"/>
      <c r="N68" s="438" t="str">
        <f>IF(L68="Х","Х",IF(M68&lt;2.5," ",IF(M68&gt;=2.5,IF(G68+I68+K68+M68&gt;=6,"Х",IF(AA68&lt;6," "," ")))))</f>
        <v xml:space="preserve"> </v>
      </c>
      <c r="O68" s="41"/>
      <c r="P68" s="438" t="str">
        <f>IF(N68="Х","Х",IF(O68&lt;2.5," ",IF(O68&gt;=2.5,IF(G68+I68+K68+M68+O68&gt;=6,"Х",IF(AA68&lt;6," "," ")))))</f>
        <v xml:space="preserve"> </v>
      </c>
      <c r="Q68" s="41"/>
      <c r="R68" s="438" t="str">
        <f>IF(P68="Х","Х",IF(Q68&lt;2.5," ",IF(Q68&gt;=2.5,IF(G68+I68+K68+M68+O68+Q68&gt;=6,"Х",IF(AA68&lt;6," "," ")))))</f>
        <v xml:space="preserve"> </v>
      </c>
      <c r="S68" s="41"/>
      <c r="T68" s="438" t="str">
        <f>IF(R68="Х","Х",IF(S68&lt;2.5," ",IF(S68&gt;=2.5,IF(G68+I68+K68+M68+O68+Q68+S68&gt;=6,"Х",IF(AA68&lt;6," "," ")))))</f>
        <v xml:space="preserve"> </v>
      </c>
      <c r="U68" s="45"/>
      <c r="V68" s="438" t="str">
        <f>IF(T68="А1",$AX$7,IF(T68="Б2",$AX$6,IF(T68="Б1",$AY$7,IF(T68="А2",$AY$6,IF(T68="Х","Х",IF(T68&lt;6," "," "))))))</f>
        <v xml:space="preserve"> </v>
      </c>
      <c r="W68" s="41"/>
      <c r="X68" s="438" t="str">
        <f t="shared" ref="X68" si="177">IF(T68="Х","Х",IF(ISBLANK(W68),"",IF(W68&gt;2.5," ",IF(B68=AZ$6,AZ$7,AZ$6))))</f>
        <v/>
      </c>
      <c r="Y68" s="41"/>
      <c r="Z68" s="466" t="b">
        <f>IF(H68="Х","1",IF(J68="Х","2",IF(L68="Х","3",IF(N68="Х","4",IF(P68="Х","5",IF(R68="Х","6",IF(T68="Х","7",IF(V68="Х","8"))))))))</f>
        <v>0</v>
      </c>
      <c r="AA68" s="464">
        <f>SUM(G68+I68+K68+M68+O68+Q68+S68+U68+W68+Y68)</f>
        <v>0</v>
      </c>
      <c r="AB68" s="431">
        <f t="shared" ref="AB68" si="178">AD68+0</f>
        <v>20576</v>
      </c>
      <c r="AC68" s="386">
        <f>AB68</f>
        <v>20576</v>
      </c>
      <c r="AD68" s="387" t="str">
        <f>COUNTIF(AE$6:AE$119,"&gt;"&amp;AE$6:AE$119)+1&amp;REPT("-"&amp;COUNTIF(AE$6:AE$119,"&gt;="&amp;AE$6:AE$119),COUNTIF(AE$6:AE$119,AE68)&gt;1)</f>
        <v>5-56</v>
      </c>
      <c r="AE68" s="388">
        <f t="shared" si="45"/>
        <v>80</v>
      </c>
      <c r="AF68" s="390" t="str">
        <f>IF(OR(F68="Х",F68="св")," ",IF(AND(G68&gt;=0,G68&lt;3),"1"," "))</f>
        <v>1</v>
      </c>
      <c r="AG68" s="390" t="str">
        <f>IF(OR(H68="Х",H68="св")," ",IF(AND(I68&gt;=0,I68&lt;3),"1"," "))</f>
        <v>1</v>
      </c>
      <c r="AH68" s="390" t="str">
        <f>IF(OR(J68="Х",J68="св")," ",IF(AND(K68&gt;=0,K68&lt;3),"1"," "))</f>
        <v>1</v>
      </c>
      <c r="AI68" s="390" t="str">
        <f>IF(OR(L68="Х",L68="св")," ",IF(AND(M68&gt;=0,M68&lt;3),"1"," "))</f>
        <v>1</v>
      </c>
      <c r="AJ68" s="390" t="str">
        <f>IF(OR(N68="Х",N68="св")," ",IF(AND(O68&gt;=0,O68&lt;3),"1"," "))</f>
        <v>1</v>
      </c>
      <c r="AK68" s="390" t="str">
        <f>IF(OR(P68="Х",P68="св")," ",IF(AND(Q68&gt;=0,Q68&lt;3),"1"," "))</f>
        <v>1</v>
      </c>
      <c r="AL68" s="390" t="str">
        <f>IF(OR(R68="Х",R68="св")," ",IF(AND(S68&gt;=0,S68&lt;3),"1"," "))</f>
        <v>1</v>
      </c>
      <c r="AM68" s="390" t="str">
        <f>IF(OR(T68="Х",T68="св")," ",IF(AND(U68&gt;=0,U68&lt;3),"1"," "))</f>
        <v>1</v>
      </c>
      <c r="AN68" s="391">
        <f>COUNTIF(AF68:AM69,1)</f>
        <v>8</v>
      </c>
      <c r="AO68" s="393">
        <f>AE68-AA68</f>
        <v>80</v>
      </c>
      <c r="AP68" s="394">
        <f t="shared" si="10"/>
        <v>0</v>
      </c>
      <c r="AQ68" s="387" t="str">
        <f>COUNTIF(AE$6:AE$119,"&gt;"&amp;AE$6:AE$119)+1&amp;REPT("-"&amp;COUNTIF(AE$6:AE$119,"&gt;="&amp;AE$6:AE$119),COUNTIF(AE$6:AE$119,AE68)&gt;1)</f>
        <v>5-56</v>
      </c>
      <c r="AR68" s="395"/>
      <c r="AS68" s="183"/>
      <c r="AT68" s="183"/>
      <c r="AU68" s="183"/>
      <c r="AV68" s="386">
        <f t="shared" si="65"/>
        <v>31</v>
      </c>
      <c r="AW68" s="19"/>
      <c r="AX68" s="19"/>
      <c r="AY68" s="19"/>
      <c r="AZ68" s="19"/>
      <c r="BU68" s="377">
        <f>IF(J68="х"," ",B68)</f>
        <v>31</v>
      </c>
      <c r="BV68" s="377">
        <f>IF(L68="х"," ",B68)</f>
        <v>31</v>
      </c>
      <c r="BW68" s="377" t="str">
        <f>IF(BV68=" "," ",L68)</f>
        <v xml:space="preserve"> </v>
      </c>
      <c r="BX68" s="377" t="str">
        <f>IF(BU68=" "," ",J68)</f>
        <v xml:space="preserve"> </v>
      </c>
      <c r="BY68" s="61">
        <f>IF(BU68&lt;BX68,BU68,0)</f>
        <v>31</v>
      </c>
      <c r="BZ68" s="61">
        <f t="shared" si="84"/>
        <v>31</v>
      </c>
      <c r="CA68" s="124">
        <f t="array" aca="1" ref="CA6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8">
        <f>IF(BV68&lt;BW68,BV68,0)</f>
        <v>31</v>
      </c>
      <c r="CC68" s="125">
        <f t="shared" si="5"/>
        <v>31</v>
      </c>
      <c r="CD68" s="51">
        <f t="array" aca="1" ref="CD68" ca="1">IF(ROW()-ROW(Н4кр)+1&gt;ROWS(Е4кр)-COUNTBLANK(Е4кр)," ",INDIRECT(ADDRESS(SMALL((IF(Е4кр&lt;&gt;" ",ROW(Е4кр),ROW()+ROWS(Е4кр))),ROW()-ROW(Н4кр)+1),COLUMN(Е4кр),4)))</f>
        <v>0</v>
      </c>
      <c r="CF68" s="377">
        <f>IF(N68="х"," ",B68)</f>
        <v>31</v>
      </c>
      <c r="CG68" s="377" t="str">
        <f>IF(CF68=" "," ",N68)</f>
        <v xml:space="preserve"> </v>
      </c>
      <c r="CH68" s="125">
        <f>IF(CF68&lt;CG68,CF68,0)</f>
        <v>31</v>
      </c>
      <c r="CI68">
        <f t="shared" si="12"/>
        <v>31</v>
      </c>
      <c r="CJ68" s="51">
        <f t="array" aca="1" ref="CJ68" ca="1">IF(ROW()-ROW(Н5кр)+1&gt;ROWS(Е5кр)-COUNTBLANK(Е5кр)," ",INDIRECT(ADDRESS(SMALL((IF(Е5кр&lt;&gt;" ",ROW(Е5кр),ROW()+ROWS(Е5кр))),ROW()-ROW(Н5кр)+1),COLUMN(Е5кр),4)))</f>
        <v>0</v>
      </c>
      <c r="CL68" s="377">
        <f>IF(P68="х"," ",B68)</f>
        <v>31</v>
      </c>
      <c r="CM68" s="377" t="str">
        <f>IF(CL68=" "," ",P68)</f>
        <v xml:space="preserve"> </v>
      </c>
      <c r="CN68">
        <f>IF(CL68&lt;CM68,CL68,0)</f>
        <v>31</v>
      </c>
      <c r="CO68">
        <f t="shared" si="6"/>
        <v>31</v>
      </c>
      <c r="CP68">
        <f t="array" aca="1" ref="CP68" ca="1">IF(ROW()-ROW(Н6кр)+1&gt;ROWS(Е6кр)-COUNTBLANK(Е6кр)," ",INDIRECT(ADDRESS(SMALL((IF(Е6кр&lt;&gt;" ",ROW(Е6кр),ROW()+ROWS(Е6кр))),ROW()-ROW(Н6кр)+1),COLUMN(Е6кр),4)))</f>
        <v>0</v>
      </c>
      <c r="CR68" s="377">
        <f t="shared" ref="CR68" si="179">IF(R68="х"," ",B68)</f>
        <v>31</v>
      </c>
      <c r="CS68" s="377" t="str">
        <f t="shared" ref="CS68" si="180">IF(CR68=" "," ",R68)</f>
        <v xml:space="preserve"> </v>
      </c>
      <c r="CT68">
        <f>IF(CR68&lt;CS68,CR68,0)</f>
        <v>31</v>
      </c>
      <c r="CU68">
        <f t="shared" si="7"/>
        <v>31</v>
      </c>
      <c r="CV68">
        <f t="array" aca="1" ref="CV68" ca="1">IF(ROW()-ROW(Н7кр)+1&gt;ROWS(Е7кр)-COUNTBLANK(Е7кр)," ",INDIRECT(ADDRESS(SMALL((IF(Е7кр&lt;&gt;" ",ROW(Е7кр),ROW()+ROWS(Е7кр))),ROW()-ROW(Н7кр)+1),COLUMN(Е7кр),4)))</f>
        <v>0</v>
      </c>
    </row>
    <row r="69" spans="1:100" ht="12" hidden="1" customHeight="1" thickBot="1">
      <c r="A69" s="201"/>
      <c r="B69" s="424"/>
      <c r="C69" s="426"/>
      <c r="D69" s="428"/>
      <c r="E69" s="430"/>
      <c r="F69" s="442"/>
      <c r="G69" s="43"/>
      <c r="H69" s="439"/>
      <c r="I69" s="43"/>
      <c r="J69" s="439"/>
      <c r="K69" s="44"/>
      <c r="L69" s="439"/>
      <c r="M69" s="44"/>
      <c r="N69" s="439"/>
      <c r="O69" s="44"/>
      <c r="P69" s="439"/>
      <c r="Q69" s="44"/>
      <c r="R69" s="439"/>
      <c r="S69" s="44"/>
      <c r="T69" s="439"/>
      <c r="U69" s="47"/>
      <c r="V69" s="439"/>
      <c r="W69" s="44"/>
      <c r="X69" s="439"/>
      <c r="Y69" s="43"/>
      <c r="Z69" s="422"/>
      <c r="AA69" s="465"/>
      <c r="AB69" s="432"/>
      <c r="AC69" s="386"/>
      <c r="AD69" s="387"/>
      <c r="AE69" s="389"/>
      <c r="AF69" s="390"/>
      <c r="AG69" s="390"/>
      <c r="AH69" s="390"/>
      <c r="AI69" s="390"/>
      <c r="AJ69" s="390"/>
      <c r="AK69" s="390"/>
      <c r="AL69" s="390"/>
      <c r="AM69" s="390"/>
      <c r="AN69" s="392"/>
      <c r="AO69" s="387"/>
      <c r="AP69" s="394"/>
      <c r="AQ69" s="387"/>
      <c r="AR69" s="395"/>
      <c r="AS69" s="183"/>
      <c r="AT69" s="183"/>
      <c r="AU69" s="183"/>
      <c r="AV69" s="386"/>
      <c r="AW69" s="19"/>
      <c r="AX69" s="19"/>
      <c r="AY69" s="19"/>
      <c r="AZ69" s="19"/>
      <c r="BU69" s="377"/>
      <c r="BV69" s="377"/>
      <c r="BW69" s="377"/>
      <c r="BX69" s="377"/>
      <c r="BY69" s="61" t="str">
        <f>IF(BY68&gt;=1,BX68,0)</f>
        <v xml:space="preserve"> </v>
      </c>
      <c r="BZ69" s="61" t="str">
        <f t="shared" si="84"/>
        <v xml:space="preserve"> </v>
      </c>
      <c r="CA69" s="124">
        <f t="array" aca="1" ref="CA6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9" t="str">
        <f>IF(CB68&gt;=1,BW68,0)</f>
        <v xml:space="preserve"> </v>
      </c>
      <c r="CC69" s="125" t="str">
        <f t="shared" si="5"/>
        <v xml:space="preserve"> </v>
      </c>
      <c r="CD69" s="51">
        <f t="array" aca="1" ref="CD69" ca="1">IF(ROW()-ROW(Н4кр)+1&gt;ROWS(Е4кр)-COUNTBLANK(Е4кр)," ",INDIRECT(ADDRESS(SMALL((IF(Е4кр&lt;&gt;" ",ROW(Е4кр),ROW()+ROWS(Е4кр))),ROW()-ROW(Н4кр)+1),COLUMN(Е4кр),4)))</f>
        <v>0</v>
      </c>
      <c r="CF69" s="377"/>
      <c r="CG69" s="377"/>
      <c r="CH69" s="125" t="str">
        <f>IF(CH68&gt;=1,CG68,0)</f>
        <v xml:space="preserve"> </v>
      </c>
      <c r="CI69" t="str">
        <f t="shared" si="12"/>
        <v xml:space="preserve"> </v>
      </c>
      <c r="CJ69" s="51">
        <f t="array" aca="1" ref="CJ69" ca="1">IF(ROW()-ROW(Н5кр)+1&gt;ROWS(Е5кр)-COUNTBLANK(Е5кр)," ",INDIRECT(ADDRESS(SMALL((IF(Е5кр&lt;&gt;" ",ROW(Е5кр),ROW()+ROWS(Е5кр))),ROW()-ROW(Н5кр)+1),COLUMN(Е5кр),4)))</f>
        <v>0</v>
      </c>
      <c r="CL69" s="377"/>
      <c r="CM69" s="377"/>
      <c r="CN69" t="str">
        <f>IF(CN68&gt;=1,CM68,0)</f>
        <v xml:space="preserve"> </v>
      </c>
      <c r="CO69" t="str">
        <f t="shared" si="6"/>
        <v xml:space="preserve"> </v>
      </c>
      <c r="CP69">
        <f t="array" aca="1" ref="CP69" ca="1">IF(ROW()-ROW(Н6кр)+1&gt;ROWS(Е6кр)-COUNTBLANK(Е6кр)," ",INDIRECT(ADDRESS(SMALL((IF(Е6кр&lt;&gt;" ",ROW(Е6кр),ROW()+ROWS(Е6кр))),ROW()-ROW(Н6кр)+1),COLUMN(Е6кр),4)))</f>
        <v>0</v>
      </c>
      <c r="CR69" s="377"/>
      <c r="CS69" s="377"/>
      <c r="CT69" t="str">
        <f>IF(CT68&gt;=1,CS68,0)</f>
        <v xml:space="preserve"> </v>
      </c>
      <c r="CU69" t="str">
        <f t="shared" si="7"/>
        <v xml:space="preserve"> </v>
      </c>
      <c r="CV69">
        <f t="array" aca="1" ref="CV69" ca="1">IF(ROW()-ROW(Н7кр)+1&gt;ROWS(Е7кр)-COUNTBLANK(Е7кр)," ",INDIRECT(ADDRESS(SMALL((IF(Е7кр&lt;&gt;" ",ROW(Е7кр),ROW()+ROWS(Е7кр))),ROW()-ROW(Н7кр)+1),COLUMN(Е7кр),4)))</f>
        <v>0</v>
      </c>
    </row>
    <row r="70" spans="1:100" ht="12" hidden="1" customHeight="1" thickTop="1">
      <c r="A70" s="201"/>
      <c r="B70" s="423">
        <v>32</v>
      </c>
      <c r="C70" s="425" t="e">
        <f>(VLOOKUP(B70,пр.взв!$B$7:$H$76,2,0))</f>
        <v>#N/A</v>
      </c>
      <c r="D70" s="427" t="e">
        <f>(VLOOKUP(B70,пр.взв!$B$7:$H$76,3,0))</f>
        <v>#N/A</v>
      </c>
      <c r="E70" s="429" t="e">
        <f>(VLOOKUP(B70,пр.взв!$B$7:$H$76,5,0))</f>
        <v>#N/A</v>
      </c>
      <c r="F70" s="443">
        <f t="shared" si="50"/>
        <v>0</v>
      </c>
      <c r="G70" s="42"/>
      <c r="H70" s="440"/>
      <c r="I70" s="42"/>
      <c r="J70" s="444" t="str">
        <f t="shared" si="0"/>
        <v xml:space="preserve"> </v>
      </c>
      <c r="K70" s="41"/>
      <c r="L70" s="438" t="str">
        <f>IF(J70="Х","Х",IF(K70&lt;2.5," ",IF(K70&gt;=2.5,IF(G70+I70+K70&gt;=6,"Х",IF(AA70&lt;6," "," ")))))</f>
        <v xml:space="preserve"> </v>
      </c>
      <c r="M70" s="41"/>
      <c r="N70" s="438" t="str">
        <f>IF(L70="Х","Х",IF(M70&lt;2.5," ",IF(M70&gt;=2.5,IF(G70+I70+K70+M70&gt;=6,"Х",IF(AA70&lt;6," "," ")))))</f>
        <v xml:space="preserve"> </v>
      </c>
      <c r="O70" s="41"/>
      <c r="P70" s="438" t="str">
        <f>IF(N70="Х","Х",IF(O70&lt;2.5," ",IF(O70&gt;=2.5,IF(G70+I70+K70+M70+O70&gt;=6,"Х",IF(AA70&lt;6," "," ")))))</f>
        <v xml:space="preserve"> </v>
      </c>
      <c r="Q70" s="41"/>
      <c r="R70" s="438" t="str">
        <f>IF(P70="Х","Х",IF(Q70&lt;2.5," ",IF(Q70&gt;=2.5,IF(G70+I70+K70+M70+O70+Q70&gt;=6,"Х",IF(AA70&lt;6," "," ")))))</f>
        <v xml:space="preserve"> </v>
      </c>
      <c r="S70" s="41"/>
      <c r="T70" s="438" t="str">
        <f>IF(R70="Х","Х",IF(S70&lt;2.5," ",IF(S70&gt;=2.5,IF(G70+I70+K70+M70+O70+Q70+S70&gt;=6,"Х",IF(AA70&lt;6," "," ")))))</f>
        <v xml:space="preserve"> </v>
      </c>
      <c r="U70" s="45"/>
      <c r="V70" s="438" t="str">
        <f>IF(T70="А1",$AX$7,IF(T70="Б2",$AX$6,IF(T70="Б1",$AY$7,IF(T70="А2",$AY$6,IF(T70="Х","Х",IF(T70&lt;6," "," "))))))</f>
        <v xml:space="preserve"> </v>
      </c>
      <c r="W70" s="41"/>
      <c r="X70" s="438" t="str">
        <f t="shared" ref="X70" si="181">IF(T70="Х","Х",IF(ISBLANK(W70),"",IF(W70&gt;2.5," ",IF(B70=AZ$6,AZ$7,AZ$6))))</f>
        <v/>
      </c>
      <c r="Y70" s="42"/>
      <c r="Z70" s="466" t="b">
        <f>IF(H70="Х","1",IF(J70="Х","2",IF(L70="Х","3",IF(N70="Х","4",IF(P70="Х","5",IF(R70="Х","6",IF(T70="Х","7",IF(V70="Х","8"))))))))</f>
        <v>0</v>
      </c>
      <c r="AA70" s="464">
        <f>SUM(G70+I70+K70+M70+O70+Q70+S70+U70+W70+Y70)</f>
        <v>0</v>
      </c>
      <c r="AB70" s="431">
        <f t="shared" ref="AB70" si="182">AD70+0</f>
        <v>20576</v>
      </c>
      <c r="AC70" s="386">
        <f>AB70</f>
        <v>20576</v>
      </c>
      <c r="AD70" s="387" t="str">
        <f>COUNTIF(AE$6:AE$119,"&gt;"&amp;AE$6:AE$119)+1&amp;REPT("-"&amp;COUNTIF(AE$6:AE$119,"&gt;="&amp;AE$6:AE$119),COUNTIF(AE$6:AE$119,AE70)&gt;1)</f>
        <v>5-56</v>
      </c>
      <c r="AE70" s="388">
        <f t="shared" si="45"/>
        <v>80</v>
      </c>
      <c r="AF70" s="390" t="str">
        <f>IF(OR(F70="Х",F70="св")," ",IF(AND(G70&gt;=0,G70&lt;3),"1"," "))</f>
        <v>1</v>
      </c>
      <c r="AG70" s="390" t="str">
        <f>IF(OR(H70="Х",H70="св")," ",IF(AND(I70&gt;=0,I70&lt;3),"1"," "))</f>
        <v>1</v>
      </c>
      <c r="AH70" s="390" t="str">
        <f>IF(OR(J70="Х",J70="св")," ",IF(AND(K70&gt;=0,K70&lt;3),"1"," "))</f>
        <v>1</v>
      </c>
      <c r="AI70" s="390" t="str">
        <f>IF(OR(L70="Х",L70="св")," ",IF(AND(M70&gt;=0,M70&lt;3),"1"," "))</f>
        <v>1</v>
      </c>
      <c r="AJ70" s="390" t="str">
        <f>IF(OR(N70="Х",N70="св")," ",IF(AND(O70&gt;=0,O70&lt;3),"1"," "))</f>
        <v>1</v>
      </c>
      <c r="AK70" s="390" t="str">
        <f>IF(OR(P70="Х",P70="св")," ",IF(AND(Q70&gt;=0,Q70&lt;3),"1"," "))</f>
        <v>1</v>
      </c>
      <c r="AL70" s="390" t="str">
        <f>IF(OR(R70="Х",R70="св")," ",IF(AND(S70&gt;=0,S70&lt;3),"1"," "))</f>
        <v>1</v>
      </c>
      <c r="AM70" s="390" t="str">
        <f>IF(OR(T70="Х",T70="св")," ",IF(AND(U70&gt;=0,U70&lt;3),"1"," "))</f>
        <v>1</v>
      </c>
      <c r="AN70" s="391">
        <f>COUNTIF(AF70:AM71,1)</f>
        <v>8</v>
      </c>
      <c r="AO70" s="393">
        <f>AE70-AA70</f>
        <v>80</v>
      </c>
      <c r="AP70" s="394">
        <f t="shared" si="10"/>
        <v>0</v>
      </c>
      <c r="AQ70" s="387" t="str">
        <f>COUNTIF(AE$6:AE$119,"&gt;"&amp;AE$6:AE$119)+1&amp;REPT("-"&amp;COUNTIF(AE$6:AE$119,"&gt;="&amp;AE$6:AE$119),COUNTIF(AE$6:AE$119,AE70)&gt;1)</f>
        <v>5-56</v>
      </c>
      <c r="AR70" s="395"/>
      <c r="AS70" s="183"/>
      <c r="AT70" s="183"/>
      <c r="AU70" s="183"/>
      <c r="AV70" s="386">
        <f t="shared" si="65"/>
        <v>32</v>
      </c>
      <c r="AW70" s="19"/>
      <c r="AX70" s="19"/>
      <c r="AY70" s="19"/>
      <c r="AZ70" s="19"/>
      <c r="BU70" s="377">
        <f>IF(J70="х"," ",B70)</f>
        <v>32</v>
      </c>
      <c r="BV70" s="377">
        <f>IF(L70="х"," ",B70)</f>
        <v>32</v>
      </c>
      <c r="BW70" s="377" t="str">
        <f>IF(BV70=" "," ",L70)</f>
        <v xml:space="preserve"> </v>
      </c>
      <c r="BX70" s="377" t="str">
        <f>IF(BU70=" "," ",J70)</f>
        <v xml:space="preserve"> </v>
      </c>
      <c r="BY70" s="61">
        <f>IF(BU70&lt;BX70,BU70,0)</f>
        <v>32</v>
      </c>
      <c r="BZ70" s="61">
        <f t="shared" si="84"/>
        <v>32</v>
      </c>
      <c r="CA70" s="124">
        <f t="array" aca="1" ref="CA7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0">
        <f>IF(BV70&lt;BW70,BV70,0)</f>
        <v>32</v>
      </c>
      <c r="CC70" s="125">
        <f t="shared" si="5"/>
        <v>32</v>
      </c>
      <c r="CD70" s="51">
        <f t="array" aca="1" ref="CD70" ca="1">IF(ROW()-ROW(Н4кр)+1&gt;ROWS(Е4кр)-COUNTBLANK(Е4кр)," ",INDIRECT(ADDRESS(SMALL((IF(Е4кр&lt;&gt;" ",ROW(Е4кр),ROW()+ROWS(Е4кр))),ROW()-ROW(Н4кр)+1),COLUMN(Е4кр),4)))</f>
        <v>0</v>
      </c>
      <c r="CF70" s="377">
        <f>IF(N70="х"," ",B70)</f>
        <v>32</v>
      </c>
      <c r="CG70" s="377" t="str">
        <f>IF(CF70=" "," ",N70)</f>
        <v xml:space="preserve"> </v>
      </c>
      <c r="CH70" s="125">
        <f>IF(CF70&lt;CG70,CF70,0)</f>
        <v>32</v>
      </c>
      <c r="CI70">
        <f t="shared" si="12"/>
        <v>32</v>
      </c>
      <c r="CJ70" s="51">
        <f t="array" aca="1" ref="CJ70" ca="1">IF(ROW()-ROW(Н5кр)+1&gt;ROWS(Е5кр)-COUNTBLANK(Е5кр)," ",INDIRECT(ADDRESS(SMALL((IF(Е5кр&lt;&gt;" ",ROW(Е5кр),ROW()+ROWS(Е5кр))),ROW()-ROW(Н5кр)+1),COLUMN(Е5кр),4)))</f>
        <v>0</v>
      </c>
      <c r="CL70" s="377">
        <f>IF(P70="х"," ",B70)</f>
        <v>32</v>
      </c>
      <c r="CM70" s="377" t="str">
        <f>IF(CL70=" "," ",P70)</f>
        <v xml:space="preserve"> </v>
      </c>
      <c r="CN70">
        <f>IF(CL70&lt;CM70,CL70,0)</f>
        <v>32</v>
      </c>
      <c r="CO70">
        <f t="shared" si="6"/>
        <v>32</v>
      </c>
      <c r="CP70">
        <f t="array" aca="1" ref="CP70" ca="1">IF(ROW()-ROW(Н6кр)+1&gt;ROWS(Е6кр)-COUNTBLANK(Е6кр)," ",INDIRECT(ADDRESS(SMALL((IF(Е6кр&lt;&gt;" ",ROW(Е6кр),ROW()+ROWS(Е6кр))),ROW()-ROW(Н6кр)+1),COLUMN(Е6кр),4)))</f>
        <v>0</v>
      </c>
      <c r="CR70" s="377">
        <f t="shared" ref="CR70" si="183">IF(R70="х"," ",B70)</f>
        <v>32</v>
      </c>
      <c r="CS70" s="377" t="str">
        <f t="shared" ref="CS70" si="184">IF(CR70=" "," ",R70)</f>
        <v xml:space="preserve"> </v>
      </c>
      <c r="CT70">
        <f>IF(CR70&lt;CS70,CR70,0)</f>
        <v>32</v>
      </c>
      <c r="CU70">
        <f t="shared" si="7"/>
        <v>32</v>
      </c>
      <c r="CV70">
        <f t="array" aca="1" ref="CV70" ca="1">IF(ROW()-ROW(Н7кр)+1&gt;ROWS(Е7кр)-COUNTBLANK(Е7кр)," ",INDIRECT(ADDRESS(SMALL((IF(Е7кр&lt;&gt;" ",ROW(Е7кр),ROW()+ROWS(Е7кр))),ROW()-ROW(Н7кр)+1),COLUMN(Е7кр),4)))</f>
        <v>0</v>
      </c>
    </row>
    <row r="71" spans="1:100" ht="12" hidden="1" customHeight="1" thickBot="1">
      <c r="A71" s="201"/>
      <c r="B71" s="424"/>
      <c r="C71" s="426"/>
      <c r="D71" s="428"/>
      <c r="E71" s="430"/>
      <c r="F71" s="442"/>
      <c r="G71" s="44"/>
      <c r="H71" s="439"/>
      <c r="I71" s="44"/>
      <c r="J71" s="439"/>
      <c r="K71" s="44"/>
      <c r="L71" s="439"/>
      <c r="M71" s="44"/>
      <c r="N71" s="439"/>
      <c r="O71" s="44"/>
      <c r="P71" s="439"/>
      <c r="Q71" s="44"/>
      <c r="R71" s="439"/>
      <c r="S71" s="44"/>
      <c r="T71" s="439"/>
      <c r="U71" s="47"/>
      <c r="V71" s="439"/>
      <c r="W71" s="44"/>
      <c r="X71" s="439"/>
      <c r="Y71" s="44"/>
      <c r="Z71" s="422"/>
      <c r="AA71" s="465"/>
      <c r="AB71" s="432"/>
      <c r="AC71" s="386"/>
      <c r="AD71" s="387"/>
      <c r="AE71" s="389"/>
      <c r="AF71" s="390"/>
      <c r="AG71" s="390"/>
      <c r="AH71" s="390"/>
      <c r="AI71" s="390"/>
      <c r="AJ71" s="390"/>
      <c r="AK71" s="390"/>
      <c r="AL71" s="390"/>
      <c r="AM71" s="390"/>
      <c r="AN71" s="392"/>
      <c r="AO71" s="387"/>
      <c r="AP71" s="394"/>
      <c r="AQ71" s="387"/>
      <c r="AR71" s="395"/>
      <c r="AS71" s="183"/>
      <c r="AT71" s="183"/>
      <c r="AU71" s="183"/>
      <c r="AV71" s="386"/>
      <c r="AW71" s="19"/>
      <c r="AX71" s="19"/>
      <c r="AY71" s="19"/>
      <c r="AZ71" s="19"/>
      <c r="BU71" s="377"/>
      <c r="BV71" s="377"/>
      <c r="BW71" s="377"/>
      <c r="BX71" s="377"/>
      <c r="BY71" s="61" t="str">
        <f>IF(BY70&gt;=1,BX70,0)</f>
        <v xml:space="preserve"> </v>
      </c>
      <c r="BZ71" s="61" t="str">
        <f t="shared" si="84"/>
        <v xml:space="preserve"> </v>
      </c>
      <c r="CA71" s="124">
        <f t="array" aca="1" ref="CA7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1" t="str">
        <f>IF(CB70&gt;=1,BW70,0)</f>
        <v xml:space="preserve"> </v>
      </c>
      <c r="CC71" s="125" t="str">
        <f t="shared" si="5"/>
        <v xml:space="preserve"> </v>
      </c>
      <c r="CD71" s="51">
        <f t="array" aca="1" ref="CD71" ca="1">IF(ROW()-ROW(Н4кр)+1&gt;ROWS(Е4кр)-COUNTBLANK(Е4кр)," ",INDIRECT(ADDRESS(SMALL((IF(Е4кр&lt;&gt;" ",ROW(Е4кр),ROW()+ROWS(Е4кр))),ROW()-ROW(Н4кр)+1),COLUMN(Е4кр),4)))</f>
        <v>0</v>
      </c>
      <c r="CF71" s="377"/>
      <c r="CG71" s="377"/>
      <c r="CH71" s="125" t="str">
        <f>IF(CH70&gt;=1,CG70,0)</f>
        <v xml:space="preserve"> </v>
      </c>
      <c r="CI71" t="str">
        <f t="shared" si="12"/>
        <v xml:space="preserve"> </v>
      </c>
      <c r="CJ71" s="51">
        <f t="array" aca="1" ref="CJ71" ca="1">IF(ROW()-ROW(Н5кр)+1&gt;ROWS(Е5кр)-COUNTBLANK(Е5кр)," ",INDIRECT(ADDRESS(SMALL((IF(Е5кр&lt;&gt;" ",ROW(Е5кр),ROW()+ROWS(Е5кр))),ROW()-ROW(Н5кр)+1),COLUMN(Е5кр),4)))</f>
        <v>0</v>
      </c>
      <c r="CL71" s="377"/>
      <c r="CM71" s="377"/>
      <c r="CN71" t="str">
        <f>IF(CN70&gt;=1,CM70,0)</f>
        <v xml:space="preserve"> </v>
      </c>
      <c r="CO71" t="str">
        <f t="shared" si="6"/>
        <v xml:space="preserve"> </v>
      </c>
      <c r="CP71">
        <f t="array" aca="1" ref="CP71" ca="1">IF(ROW()-ROW(Н6кр)+1&gt;ROWS(Е6кр)-COUNTBLANK(Е6кр)," ",INDIRECT(ADDRESS(SMALL((IF(Е6кр&lt;&gt;" ",ROW(Е6кр),ROW()+ROWS(Е6кр))),ROW()-ROW(Н6кр)+1),COLUMN(Е6кр),4)))</f>
        <v>0</v>
      </c>
      <c r="CR71" s="377"/>
      <c r="CS71" s="377"/>
      <c r="CT71" t="str">
        <f>IF(CT70&gt;=1,CS70,0)</f>
        <v xml:space="preserve"> </v>
      </c>
      <c r="CU71" t="str">
        <f t="shared" si="7"/>
        <v xml:space="preserve"> </v>
      </c>
      <c r="CV71">
        <f t="array" aca="1" ref="CV71" ca="1">IF(ROW()-ROW(Н7кр)+1&gt;ROWS(Е7кр)-COUNTBLANK(Е7кр)," ",INDIRECT(ADDRESS(SMALL((IF(Е7кр&lt;&gt;" ",ROW(Е7кр),ROW()+ROWS(Е7кр))),ROW()-ROW(Н7кр)+1),COLUMN(Е7кр),4)))</f>
        <v>0</v>
      </c>
    </row>
    <row r="72" spans="1:100" ht="12" hidden="1" customHeight="1" thickTop="1">
      <c r="A72" s="201"/>
      <c r="B72" s="423">
        <v>33</v>
      </c>
      <c r="C72" s="425" t="e">
        <f>(VLOOKUP(B72,пр.взв!$B$7:$H$76,2,0))</f>
        <v>#N/A</v>
      </c>
      <c r="D72" s="427" t="e">
        <f>(VLOOKUP(B72,пр.взв!$B$7:$H$76,3,0))</f>
        <v>#N/A</v>
      </c>
      <c r="E72" s="429" t="e">
        <f>(VLOOKUP(B72,пр.взв!$B$7:$H$76,5,0))</f>
        <v>#N/A</v>
      </c>
      <c r="F72" s="445">
        <f t="shared" ref="F72" si="185">IF(ISERROR(C72),0,B74)</f>
        <v>0</v>
      </c>
      <c r="G72" s="42"/>
      <c r="H72" s="440"/>
      <c r="I72" s="42"/>
      <c r="J72" s="444" t="str">
        <f>IF(H72="Х","Х",IF(I72+G72&lt;6," ",IF(I72+G72&gt;=6,IF(AA72&gt;=6,"Х",IF(AA72&lt;6," "," ")))))</f>
        <v xml:space="preserve"> </v>
      </c>
      <c r="K72" s="41"/>
      <c r="L72" s="438" t="str">
        <f>IF(J72="Х","Х",IF(K72&lt;2.5," ",IF(K72&gt;=2.5,IF(G72+I72+K72&gt;=6,"Х",IF(AA72&lt;6," "," ")))))</f>
        <v xml:space="preserve"> </v>
      </c>
      <c r="M72" s="41"/>
      <c r="N72" s="438" t="str">
        <f>IF(L72="Х","Х",IF(M72&lt;2.5," ",IF(M72&gt;=2.5,IF(G72+I72+K72+M72&gt;=6,"Х",IF(AA72&lt;6," "," ")))))</f>
        <v xml:space="preserve"> </v>
      </c>
      <c r="O72" s="41"/>
      <c r="P72" s="438" t="str">
        <f>IF(N72="Х","Х",IF(O72&lt;2.5," ",IF(O72&gt;=2.5,IF(G72+I72+K72+M72+O72&gt;=6,"Х",IF(AA72&lt;6," "," ")))))</f>
        <v xml:space="preserve"> </v>
      </c>
      <c r="Q72" s="41"/>
      <c r="R72" s="438" t="str">
        <f>IF(P72="Х","Х",IF(Q72&lt;2.5," ",IF(Q72&gt;=2.5,IF(G72+I72+K72+M72+O72+Q72&gt;=6,"Х",IF(AA72&lt;6," "," ")))))</f>
        <v xml:space="preserve"> </v>
      </c>
      <c r="S72" s="41"/>
      <c r="T72" s="438" t="str">
        <f>IF(R72="Х","Х",IF(S72&lt;2.5," ",IF(S72&gt;=2.5,IF(G72+I72+K72+M72+O72+Q72+S72&gt;=6,"Х",IF(AA72&lt;6," "," ")))))</f>
        <v xml:space="preserve"> </v>
      </c>
      <c r="U72" s="45"/>
      <c r="V72" s="438" t="str">
        <f>IF(T72="А1",$AX$7,IF(T72="Б2",$AX$6,IF(T72="Б1",$AY$7,IF(T72="А2",$AY$6,IF(T72="Х","Х",IF(T72&lt;6," "," "))))))</f>
        <v xml:space="preserve"> </v>
      </c>
      <c r="W72" s="41"/>
      <c r="X72" s="438" t="str">
        <f t="shared" ref="X72" si="186">IF(T72="Х","Х",IF(ISBLANK(W72),"",IF(W72&gt;2.5," ",IF(B72=AZ$6,AZ$7,AZ$6))))</f>
        <v/>
      </c>
      <c r="Y72" s="42"/>
      <c r="Z72" s="466" t="b">
        <f>IF(H72="Х","1",IF(J72="Х","2",IF(L72="Х","3",IF(N72="Х","4",IF(P72="Х","5",IF(R72="Х","6",IF(T72="Х","7",IF(V72="Х","8"))))))))</f>
        <v>0</v>
      </c>
      <c r="AA72" s="464">
        <f>SUM(G72+I72+K72+M72+O72+Q72+S72+U72+W72+Y72)</f>
        <v>0</v>
      </c>
      <c r="AB72" s="431">
        <f t="shared" ref="AB72" si="187">AD72+0</f>
        <v>20576</v>
      </c>
      <c r="AC72" s="386">
        <f>AB72</f>
        <v>20576</v>
      </c>
      <c r="AD72" s="387" t="str">
        <f>COUNTIF(AE$6:AE$119,"&gt;"&amp;AE$6:AE$119)+1&amp;REPT("-"&amp;COUNTIF(AE$6:AE$119,"&gt;="&amp;AE$6:AE$119),COUNTIF(AE$6:AE$119,AE72)&gt;1)</f>
        <v>5-56</v>
      </c>
      <c r="AE72" s="388">
        <f t="shared" si="45"/>
        <v>80</v>
      </c>
      <c r="AF72" s="390" t="str">
        <f>IF(OR(F72="Х",F72="св")," ",IF(AND(G72&gt;=0,G72&lt;3),"1"," "))</f>
        <v>1</v>
      </c>
      <c r="AG72" s="390" t="str">
        <f>IF(OR(H72="Х",H72="св")," ",IF(AND(I72&gt;=0,I72&lt;3),"1"," "))</f>
        <v>1</v>
      </c>
      <c r="AH72" s="390" t="str">
        <f>IF(OR(J72="Х",J72="св")," ",IF(AND(K72&gt;=0,K72&lt;3),"1"," "))</f>
        <v>1</v>
      </c>
      <c r="AI72" s="390" t="str">
        <f>IF(OR(L72="Х",L72="св")," ",IF(AND(M72&gt;=0,M72&lt;3),"1"," "))</f>
        <v>1</v>
      </c>
      <c r="AJ72" s="390" t="str">
        <f>IF(OR(N72="Х",N72="св")," ",IF(AND(O72&gt;=0,O72&lt;3),"1"," "))</f>
        <v>1</v>
      </c>
      <c r="AK72" s="390" t="str">
        <f>IF(OR(P72="Х",P72="св")," ",IF(AND(Q72&gt;=0,Q72&lt;3),"1"," "))</f>
        <v>1</v>
      </c>
      <c r="AL72" s="390" t="str">
        <f>IF(OR(R72="Х",R72="св")," ",IF(AND(S72&gt;=0,S72&lt;3),"1"," "))</f>
        <v>1</v>
      </c>
      <c r="AM72" s="390" t="str">
        <f>IF(OR(T72="Х",T72="св")," ",IF(AND(U72&gt;=0,U72&lt;3),"1"," "))</f>
        <v>1</v>
      </c>
      <c r="AN72" s="391">
        <f>COUNTIF(AF72:AM73,1)</f>
        <v>8</v>
      </c>
      <c r="AO72" s="393">
        <f>AE72-AA72</f>
        <v>80</v>
      </c>
      <c r="AP72" s="394">
        <f t="shared" si="10"/>
        <v>0</v>
      </c>
      <c r="AQ72" s="387" t="str">
        <f>COUNTIF(AE$6:AE$119,"&gt;"&amp;AE$6:AE$119)+1&amp;REPT("-"&amp;COUNTIF(AE$6:AE$119,"&gt;="&amp;AE$6:AE$119),COUNTIF(AE$6:AE$119,AE72)&gt;1)</f>
        <v>5-56</v>
      </c>
      <c r="AR72" s="395"/>
      <c r="AS72" s="183"/>
      <c r="AT72" s="183"/>
      <c r="AU72" s="183"/>
      <c r="AV72" s="386">
        <f t="shared" si="65"/>
        <v>33</v>
      </c>
      <c r="AW72" s="19"/>
      <c r="AX72" s="19"/>
      <c r="AY72" s="19"/>
      <c r="AZ72" s="19"/>
      <c r="BU72" s="377">
        <f>IF(J72="х"," ",B72)</f>
        <v>33</v>
      </c>
      <c r="BV72" s="377">
        <f>IF(L72="х"," ",B72)</f>
        <v>33</v>
      </c>
      <c r="BW72" s="377" t="str">
        <f>IF(BV72=" "," ",L72)</f>
        <v xml:space="preserve"> </v>
      </c>
      <c r="BX72" s="377" t="str">
        <f>IF(BU72=" "," ",J72)</f>
        <v xml:space="preserve"> </v>
      </c>
      <c r="BY72" s="61">
        <f>IF(BU72&lt;BX72,BU72,0)</f>
        <v>33</v>
      </c>
      <c r="BZ72" s="61">
        <f t="shared" si="84"/>
        <v>33</v>
      </c>
      <c r="CA72" s="124">
        <f t="array" aca="1" ref="CA7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2">
        <f>IF(BV72&lt;BW72,BV72,0)</f>
        <v>33</v>
      </c>
      <c r="CC72" s="125">
        <f t="shared" si="5"/>
        <v>33</v>
      </c>
      <c r="CD72" s="51">
        <f t="array" aca="1" ref="CD72" ca="1">IF(ROW()-ROW(Н4кр)+1&gt;ROWS(Е4кр)-COUNTBLANK(Е4кр)," ",INDIRECT(ADDRESS(SMALL((IF(Е4кр&lt;&gt;" ",ROW(Е4кр),ROW()+ROWS(Е4кр))),ROW()-ROW(Н4кр)+1),COLUMN(Е4кр),4)))</f>
        <v>0</v>
      </c>
      <c r="CF72" s="377">
        <f>IF(N72="х"," ",B72)</f>
        <v>33</v>
      </c>
      <c r="CG72" s="377" t="str">
        <f>IF(CF72=" "," ",N72)</f>
        <v xml:space="preserve"> </v>
      </c>
      <c r="CH72" s="125">
        <f>IF(CF72&lt;CG72,CF72,0)</f>
        <v>33</v>
      </c>
      <c r="CI72">
        <f t="shared" si="12"/>
        <v>33</v>
      </c>
      <c r="CJ72" s="51">
        <f t="array" aca="1" ref="CJ72" ca="1">IF(ROW()-ROW(Н5кр)+1&gt;ROWS(Е5кр)-COUNTBLANK(Е5кр)," ",INDIRECT(ADDRESS(SMALL((IF(Е5кр&lt;&gt;" ",ROW(Е5кр),ROW()+ROWS(Е5кр))),ROW()-ROW(Н5кр)+1),COLUMN(Е5кр),4)))</f>
        <v>0</v>
      </c>
      <c r="CL72" s="377">
        <f>IF(P72="х"," ",B72)</f>
        <v>33</v>
      </c>
      <c r="CM72" s="377" t="str">
        <f>IF(CL72=" "," ",P72)</f>
        <v xml:space="preserve"> </v>
      </c>
      <c r="CN72">
        <f>IF(CL72&lt;CM72,CL72,0)</f>
        <v>33</v>
      </c>
      <c r="CO72">
        <f t="shared" si="6"/>
        <v>33</v>
      </c>
      <c r="CP72">
        <f t="array" aca="1" ref="CP72" ca="1">IF(ROW()-ROW(Н6кр)+1&gt;ROWS(Е6кр)-COUNTBLANK(Е6кр)," ",INDIRECT(ADDRESS(SMALL((IF(Е6кр&lt;&gt;" ",ROW(Е6кр),ROW()+ROWS(Е6кр))),ROW()-ROW(Н6кр)+1),COLUMN(Е6кр),4)))</f>
        <v>0</v>
      </c>
      <c r="CR72" s="377">
        <f t="shared" ref="CR72" si="188">IF(R72="х"," ",B72)</f>
        <v>33</v>
      </c>
      <c r="CS72" s="377" t="str">
        <f t="shared" ref="CS72" si="189">IF(CR72=" "," ",R72)</f>
        <v xml:space="preserve"> </v>
      </c>
      <c r="CT72">
        <f>IF(CR72&lt;CS72,CR72,0)</f>
        <v>33</v>
      </c>
      <c r="CU72">
        <f t="shared" si="7"/>
        <v>33</v>
      </c>
      <c r="CV72">
        <f t="array" aca="1" ref="CV72" ca="1">IF(ROW()-ROW(Н7кр)+1&gt;ROWS(Е7кр)-COUNTBLANK(Е7кр)," ",INDIRECT(ADDRESS(SMALL((IF(Е7кр&lt;&gt;" ",ROW(Е7кр),ROW()+ROWS(Е7кр))),ROW()-ROW(Н7кр)+1),COLUMN(Е7кр),4)))</f>
        <v>0</v>
      </c>
    </row>
    <row r="73" spans="1:100" ht="12" hidden="1" customHeight="1" thickBot="1">
      <c r="A73" s="201"/>
      <c r="B73" s="424"/>
      <c r="C73" s="426"/>
      <c r="D73" s="428"/>
      <c r="E73" s="430"/>
      <c r="F73" s="442"/>
      <c r="G73" s="44"/>
      <c r="H73" s="439"/>
      <c r="I73" s="44"/>
      <c r="J73" s="439"/>
      <c r="K73" s="44"/>
      <c r="L73" s="439"/>
      <c r="M73" s="44"/>
      <c r="N73" s="439"/>
      <c r="O73" s="44"/>
      <c r="P73" s="439"/>
      <c r="Q73" s="44"/>
      <c r="R73" s="439"/>
      <c r="S73" s="44"/>
      <c r="T73" s="439"/>
      <c r="U73" s="47"/>
      <c r="V73" s="439"/>
      <c r="W73" s="44"/>
      <c r="X73" s="439"/>
      <c r="Y73" s="44"/>
      <c r="Z73" s="422"/>
      <c r="AA73" s="465"/>
      <c r="AB73" s="432"/>
      <c r="AC73" s="386"/>
      <c r="AD73" s="387"/>
      <c r="AE73" s="389"/>
      <c r="AF73" s="390"/>
      <c r="AG73" s="390"/>
      <c r="AH73" s="390"/>
      <c r="AI73" s="390"/>
      <c r="AJ73" s="390"/>
      <c r="AK73" s="390"/>
      <c r="AL73" s="390"/>
      <c r="AM73" s="390"/>
      <c r="AN73" s="392"/>
      <c r="AO73" s="387"/>
      <c r="AP73" s="394"/>
      <c r="AQ73" s="387"/>
      <c r="AR73" s="395"/>
      <c r="AS73" s="183"/>
      <c r="AT73" s="183"/>
      <c r="AU73" s="183"/>
      <c r="AV73" s="386"/>
      <c r="AW73" s="19"/>
      <c r="AX73" s="19"/>
      <c r="AY73" s="19"/>
      <c r="AZ73" s="19"/>
      <c r="BU73" s="377"/>
      <c r="BV73" s="377"/>
      <c r="BW73" s="377"/>
      <c r="BX73" s="377"/>
      <c r="BY73" s="61" t="str">
        <f>IF(BY72&gt;=1,BX72,0)</f>
        <v xml:space="preserve"> </v>
      </c>
      <c r="BZ73" s="61" t="str">
        <f t="shared" si="84"/>
        <v xml:space="preserve"> </v>
      </c>
      <c r="CA73" s="124">
        <f t="array" aca="1" ref="CA7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3" t="str">
        <f>IF(CB72&gt;=1,BW72,0)</f>
        <v xml:space="preserve"> </v>
      </c>
      <c r="CC73" s="125" t="str">
        <f t="shared" ref="CC73:CC119" si="190">IF(CB73=0," ",CB73)</f>
        <v xml:space="preserve"> </v>
      </c>
      <c r="CD73" s="51">
        <f t="array" aca="1" ref="CD73" ca="1">IF(ROW()-ROW(Н4кр)+1&gt;ROWS(Е4кр)-COUNTBLANK(Е4кр)," ",INDIRECT(ADDRESS(SMALL((IF(Е4кр&lt;&gt;" ",ROW(Е4кр),ROW()+ROWS(Е4кр))),ROW()-ROW(Н4кр)+1),COLUMN(Е4кр),4)))</f>
        <v>0</v>
      </c>
      <c r="CF73" s="377"/>
      <c r="CG73" s="377"/>
      <c r="CH73" s="125" t="str">
        <f>IF(CH72&gt;=1,CG72,0)</f>
        <v xml:space="preserve"> </v>
      </c>
      <c r="CI73" t="str">
        <f t="shared" si="12"/>
        <v xml:space="preserve"> </v>
      </c>
      <c r="CJ73" s="51">
        <f t="array" aca="1" ref="CJ73" ca="1">IF(ROW()-ROW(Н5кр)+1&gt;ROWS(Е5кр)-COUNTBLANK(Е5кр)," ",INDIRECT(ADDRESS(SMALL((IF(Е5кр&lt;&gt;" ",ROW(Е5кр),ROW()+ROWS(Е5кр))),ROW()-ROW(Н5кр)+1),COLUMN(Е5кр),4)))</f>
        <v>0</v>
      </c>
      <c r="CL73" s="377"/>
      <c r="CM73" s="377"/>
      <c r="CN73" t="str">
        <f>IF(CN72&gt;=1,CM72,0)</f>
        <v xml:space="preserve"> </v>
      </c>
      <c r="CO73" t="str">
        <f t="shared" ref="CO73:CO119" si="191">IF(CN73=0," ",CN73)</f>
        <v xml:space="preserve"> </v>
      </c>
      <c r="CP73">
        <f t="array" aca="1" ref="CP73" ca="1">IF(ROW()-ROW(Н6кр)+1&gt;ROWS(Е6кр)-COUNTBLANK(Е6кр)," ",INDIRECT(ADDRESS(SMALL((IF(Е6кр&lt;&gt;" ",ROW(Е6кр),ROW()+ROWS(Е6кр))),ROW()-ROW(Н6кр)+1),COLUMN(Е6кр),4)))</f>
        <v>0</v>
      </c>
      <c r="CR73" s="377"/>
      <c r="CS73" s="377"/>
      <c r="CT73" t="str">
        <f>IF(CT72&gt;=1,CS72,0)</f>
        <v xml:space="preserve"> </v>
      </c>
      <c r="CU73" t="str">
        <f t="shared" ref="CU73:CU119" si="192">IF(CT73=0," ",CT73)</f>
        <v xml:space="preserve"> </v>
      </c>
      <c r="CV73">
        <f t="array" aca="1" ref="CV73" ca="1">IF(ROW()-ROW(Н7кр)+1&gt;ROWS(Е7кр)-COUNTBLANK(Е7кр)," ",INDIRECT(ADDRESS(SMALL((IF(Е7кр&lt;&gt;" ",ROW(Е7кр),ROW()+ROWS(Е7кр))),ROW()-ROW(Н7кр)+1),COLUMN(Е7кр),4)))</f>
        <v>0</v>
      </c>
    </row>
    <row r="74" spans="1:100" ht="12" hidden="1" customHeight="1" thickTop="1">
      <c r="A74" s="198"/>
      <c r="B74" s="423">
        <v>34</v>
      </c>
      <c r="C74" s="425" t="e">
        <f>(VLOOKUP(B74,пр.взв!$B$7:$H$76,2,0))</f>
        <v>#N/A</v>
      </c>
      <c r="D74" s="427" t="e">
        <f>(VLOOKUP(B74,пр.взв!$B$7:$H$76,3,0))</f>
        <v>#N/A</v>
      </c>
      <c r="E74" s="429" t="e">
        <f>(VLOOKUP(B74,пр.взв!$B$7:$H$76,5,0))</f>
        <v>#N/A</v>
      </c>
      <c r="F74" s="443">
        <f t="shared" ref="F74" si="193">IF(ISERROR(C74),0,B72)</f>
        <v>0</v>
      </c>
      <c r="G74" s="42"/>
      <c r="H74" s="440"/>
      <c r="I74" s="42"/>
      <c r="J74" s="444" t="str">
        <f>IF(H74="Х","Х",IF(I74+G74&lt;6," ",IF(I74+G74&gt;=6,IF(AA74&gt;=6,"Х",IF(AA74&lt;6," "," ")))))</f>
        <v xml:space="preserve"> </v>
      </c>
      <c r="K74" s="41"/>
      <c r="L74" s="438" t="str">
        <f>IF(J74="Х","Х",IF(K74&lt;2.5," ",IF(K74&gt;=2.5,IF(G74+I74+K74&gt;=6,"Х",IF(AA74&lt;6," "," ")))))</f>
        <v xml:space="preserve"> </v>
      </c>
      <c r="M74" s="41"/>
      <c r="N74" s="438" t="str">
        <f>IF(L74="Х","Х",IF(M74&lt;2.5," ",IF(M74&gt;=2.5,IF(G74+I74+K74+M74&gt;=6,"Х",IF(AA74&lt;6," "," ")))))</f>
        <v xml:space="preserve"> </v>
      </c>
      <c r="O74" s="41"/>
      <c r="P74" s="438" t="str">
        <f>IF(N74="Х","Х",IF(O74&lt;2.5," ",IF(O74&gt;=2.5,IF(G74+I74+K74+M74+O74&gt;=6,"Х",IF(AA74&lt;6," "," ")))))</f>
        <v xml:space="preserve"> </v>
      </c>
      <c r="Q74" s="41"/>
      <c r="R74" s="438" t="str">
        <f>IF(P74="Х","Х",IF(Q74&lt;2.5," ",IF(Q74&gt;=2.5,IF(G74+I74+K74+M74+O74+Q74&gt;=6,"Х",IF(AA74&lt;6," "," ")))))</f>
        <v xml:space="preserve"> </v>
      </c>
      <c r="S74" s="41"/>
      <c r="T74" s="438" t="str">
        <f>IF(R74="Х","Х",IF(S74&lt;2.5," ",IF(S74&gt;=2.5,IF(G74+I74+K74+M74+O74+Q74+S74&gt;=6,"Х",IF(AA74&lt;6," "," ")))))</f>
        <v xml:space="preserve"> </v>
      </c>
      <c r="U74" s="45"/>
      <c r="V74" s="438" t="str">
        <f>IF(T74="А1",$AX$7,IF(T74="Б2",$AX$6,IF(T74="Б1",$AY$7,IF(T74="А2",$AY$6,IF(T74="Х","Х",IF(T74&lt;6," "," "))))))</f>
        <v xml:space="preserve"> </v>
      </c>
      <c r="W74" s="41"/>
      <c r="X74" s="438" t="str">
        <f t="shared" ref="X74" si="194">IF(T74="Х","Х",IF(ISBLANK(W74),"",IF(W74&gt;2.5," ",IF(B74=AZ$6,AZ$7,AZ$6))))</f>
        <v/>
      </c>
      <c r="Y74" s="42"/>
      <c r="Z74" s="466" t="b">
        <f>IF(H74="Х","1",IF(J74="Х","2",IF(L74="Х","3",IF(N74="Х","4",IF(P74="Х","5",IF(R74="Х","6",IF(T74="Х","7",IF(V74="Х","8"))))))))</f>
        <v>0</v>
      </c>
      <c r="AA74" s="464">
        <f>SUM(G74+I74+K74+M74+O74+Q74+S74+U74+W74+Y74)</f>
        <v>0</v>
      </c>
      <c r="AB74" s="431">
        <f t="shared" ref="AB74" si="195">AD74+0</f>
        <v>20576</v>
      </c>
      <c r="AC74" s="386">
        <f>AB74</f>
        <v>20576</v>
      </c>
      <c r="AD74" s="387" t="str">
        <f>COUNTIF(AE$6:AE$119,"&gt;"&amp;AE$6:AE$119)+1&amp;REPT("-"&amp;COUNTIF(AE$6:AE$119,"&gt;="&amp;AE$6:AE$119),COUNTIF(AE$6:AE$119,AE74)&gt;1)</f>
        <v>5-56</v>
      </c>
      <c r="AE74" s="388">
        <f t="shared" si="45"/>
        <v>80</v>
      </c>
      <c r="AF74" s="390" t="str">
        <f>IF(OR(F74="Х",F74="св")," ",IF(AND(G74&gt;=0,G74&lt;3),"1"," "))</f>
        <v>1</v>
      </c>
      <c r="AG74" s="390" t="str">
        <f>IF(OR(H74="Х",H74="св")," ",IF(AND(I74&gt;=0,I74&lt;3),"1"," "))</f>
        <v>1</v>
      </c>
      <c r="AH74" s="390" t="str">
        <f>IF(OR(J74="Х",J74="св")," ",IF(AND(K74&gt;=0,K74&lt;3),"1"," "))</f>
        <v>1</v>
      </c>
      <c r="AI74" s="390" t="str">
        <f>IF(OR(L74="Х",L74="св")," ",IF(AND(M74&gt;=0,M74&lt;3),"1"," "))</f>
        <v>1</v>
      </c>
      <c r="AJ74" s="390" t="str">
        <f>IF(OR(N74="Х",N74="св")," ",IF(AND(O74&gt;=0,O74&lt;3),"1"," "))</f>
        <v>1</v>
      </c>
      <c r="AK74" s="390" t="str">
        <f>IF(OR(P74="Х",P74="св")," ",IF(AND(Q74&gt;=0,Q74&lt;3),"1"," "))</f>
        <v>1</v>
      </c>
      <c r="AL74" s="390" t="str">
        <f>IF(OR(R74="Х",R74="св")," ",IF(AND(S74&gt;=0,S74&lt;3),"1"," "))</f>
        <v>1</v>
      </c>
      <c r="AM74" s="390" t="str">
        <f>IF(OR(T74="Х",T74="св")," ",IF(AND(U74&gt;=0,U74&lt;3),"1"," "))</f>
        <v>1</v>
      </c>
      <c r="AN74" s="391">
        <f>COUNTIF(AF74:AM75,1)</f>
        <v>8</v>
      </c>
      <c r="AO74" s="393">
        <f>AE74-AA74</f>
        <v>80</v>
      </c>
      <c r="AP74" s="394">
        <f t="shared" ref="AP74:AP118" si="196">IF(F74=0,0,IF(F74="Х",1,IF(H74="Х",2,IF(J74="Х",3,IF(L74="Х",4,IF(N74="Х",5,IF(P74="Х",6,IF(R74="Х",7,IF(T74="Х",8,IF(W74&gt;2.5,9,IF(Y74&gt;2.5,10,IF(Y74&gt;=0,11,IF(Y74=" ",0,)))))))))))))</f>
        <v>0</v>
      </c>
      <c r="AQ74" s="387" t="str">
        <f>COUNTIF(AE$6:AE$119,"&gt;"&amp;AE$6:AE$119)+1&amp;REPT("-"&amp;COUNTIF(AE$6:AE$119,"&gt;="&amp;AE$6:AE$119),COUNTIF(AE$6:AE$119,AE74)&gt;1)</f>
        <v>5-56</v>
      </c>
      <c r="AR74" s="395"/>
      <c r="AS74" s="183"/>
      <c r="AT74" s="183"/>
      <c r="AU74" s="183"/>
      <c r="AV74" s="386">
        <f t="shared" si="65"/>
        <v>34</v>
      </c>
      <c r="AW74" s="19"/>
      <c r="AX74" s="19"/>
      <c r="AY74" s="19"/>
      <c r="AZ74" s="19"/>
      <c r="BU74" s="377">
        <f>IF(J74="х"," ",B74)</f>
        <v>34</v>
      </c>
      <c r="BV74" s="377">
        <f>IF(L74="х"," ",B74)</f>
        <v>34</v>
      </c>
      <c r="BW74" s="377" t="str">
        <f>IF(BV74=" "," ",L74)</f>
        <v xml:space="preserve"> </v>
      </c>
      <c r="BX74" s="377" t="str">
        <f>IF(BU74=" "," ",J74)</f>
        <v xml:space="preserve"> </v>
      </c>
      <c r="BY74" s="61">
        <f>IF(BU74&lt;BX74,BU74,0)</f>
        <v>34</v>
      </c>
      <c r="BZ74" s="61">
        <f t="shared" si="84"/>
        <v>34</v>
      </c>
      <c r="CA74" s="124">
        <f t="array" aca="1" ref="CA7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4">
        <f>IF(BV74&lt;BW74,BV74,0)</f>
        <v>34</v>
      </c>
      <c r="CC74" s="125">
        <f t="shared" si="190"/>
        <v>34</v>
      </c>
      <c r="CD74" s="51">
        <f t="array" aca="1" ref="CD74" ca="1">IF(ROW()-ROW(Н4кр)+1&gt;ROWS(Е4кр)-COUNTBLANK(Е4кр)," ",INDIRECT(ADDRESS(SMALL((IF(Е4кр&lt;&gt;" ",ROW(Е4кр),ROW()+ROWS(Е4кр))),ROW()-ROW(Н4кр)+1),COLUMN(Е4кр),4)))</f>
        <v>0</v>
      </c>
      <c r="CF74" s="377">
        <f>IF(N74="х"," ",B74)</f>
        <v>34</v>
      </c>
      <c r="CG74" s="377" t="str">
        <f>IF(CF74=" "," ",N74)</f>
        <v xml:space="preserve"> </v>
      </c>
      <c r="CH74" s="125">
        <f>IF(CF74&lt;CG74,CF74,0)</f>
        <v>34</v>
      </c>
      <c r="CI74">
        <f t="shared" ref="CI74:CI119" si="197">IF(CH74=0," ",CH74)</f>
        <v>34</v>
      </c>
      <c r="CJ74" s="51">
        <f t="array" aca="1" ref="CJ74" ca="1">IF(ROW()-ROW(Н5кр)+1&gt;ROWS(Е5кр)-COUNTBLANK(Е5кр)," ",INDIRECT(ADDRESS(SMALL((IF(Е5кр&lt;&gt;" ",ROW(Е5кр),ROW()+ROWS(Е5кр))),ROW()-ROW(Н5кр)+1),COLUMN(Е5кр),4)))</f>
        <v>0</v>
      </c>
      <c r="CL74" s="377">
        <f>IF(P74="х"," ",B74)</f>
        <v>34</v>
      </c>
      <c r="CM74" s="377" t="str">
        <f>IF(CL74=" "," ",P74)</f>
        <v xml:space="preserve"> </v>
      </c>
      <c r="CN74">
        <f>IF(CL74&lt;CM74,CL74,0)</f>
        <v>34</v>
      </c>
      <c r="CO74">
        <f t="shared" si="191"/>
        <v>34</v>
      </c>
      <c r="CP74">
        <f t="array" aca="1" ref="CP74" ca="1">IF(ROW()-ROW(Н6кр)+1&gt;ROWS(Е6кр)-COUNTBLANK(Е6кр)," ",INDIRECT(ADDRESS(SMALL((IF(Е6кр&lt;&gt;" ",ROW(Е6кр),ROW()+ROWS(Е6кр))),ROW()-ROW(Н6кр)+1),COLUMN(Е6кр),4)))</f>
        <v>0</v>
      </c>
      <c r="CR74" s="377">
        <f t="shared" ref="CR74" si="198">IF(R74="х"," ",B74)</f>
        <v>34</v>
      </c>
      <c r="CS74" s="377" t="str">
        <f t="shared" ref="CS74" si="199">IF(CR74=" "," ",R74)</f>
        <v xml:space="preserve"> </v>
      </c>
      <c r="CT74">
        <f>IF(CR74&lt;CS74,CR74,0)</f>
        <v>34</v>
      </c>
      <c r="CU74">
        <f t="shared" si="192"/>
        <v>34</v>
      </c>
      <c r="CV74">
        <f t="array" aca="1" ref="CV74" ca="1">IF(ROW()-ROW(Н7кр)+1&gt;ROWS(Е7кр)-COUNTBLANK(Е7кр)," ",INDIRECT(ADDRESS(SMALL((IF(Е7кр&lt;&gt;" ",ROW(Е7кр),ROW()+ROWS(Е7кр))),ROW()-ROW(Н7кр)+1),COLUMN(Е7кр),4)))</f>
        <v>0</v>
      </c>
    </row>
    <row r="75" spans="1:100" ht="12" hidden="1" customHeight="1" thickBot="1">
      <c r="A75" s="198"/>
      <c r="B75" s="424"/>
      <c r="C75" s="426"/>
      <c r="D75" s="428"/>
      <c r="E75" s="430"/>
      <c r="F75" s="442"/>
      <c r="G75" s="44"/>
      <c r="H75" s="439"/>
      <c r="I75" s="44"/>
      <c r="J75" s="439"/>
      <c r="K75" s="44"/>
      <c r="L75" s="439"/>
      <c r="M75" s="44"/>
      <c r="N75" s="439"/>
      <c r="O75" s="44"/>
      <c r="P75" s="439"/>
      <c r="Q75" s="44"/>
      <c r="R75" s="439"/>
      <c r="S75" s="44"/>
      <c r="T75" s="439"/>
      <c r="U75" s="47"/>
      <c r="V75" s="439"/>
      <c r="W75" s="44"/>
      <c r="X75" s="439"/>
      <c r="Y75" s="44"/>
      <c r="Z75" s="422"/>
      <c r="AA75" s="465"/>
      <c r="AB75" s="432"/>
      <c r="AC75" s="386"/>
      <c r="AD75" s="387"/>
      <c r="AE75" s="389"/>
      <c r="AF75" s="390"/>
      <c r="AG75" s="390"/>
      <c r="AH75" s="390"/>
      <c r="AI75" s="390"/>
      <c r="AJ75" s="390"/>
      <c r="AK75" s="390"/>
      <c r="AL75" s="390"/>
      <c r="AM75" s="390"/>
      <c r="AN75" s="392"/>
      <c r="AO75" s="387"/>
      <c r="AP75" s="394"/>
      <c r="AQ75" s="387"/>
      <c r="AR75" s="395"/>
      <c r="AS75" s="183"/>
      <c r="AT75" s="183"/>
      <c r="AU75" s="183"/>
      <c r="AV75" s="386"/>
      <c r="AW75" s="19"/>
      <c r="AX75" s="19"/>
      <c r="AY75" s="19"/>
      <c r="AZ75" s="19"/>
      <c r="BU75" s="377"/>
      <c r="BV75" s="377"/>
      <c r="BW75" s="377"/>
      <c r="BX75" s="377"/>
      <c r="BY75" s="61" t="str">
        <f>IF(BY74&gt;=1,BX74,0)</f>
        <v xml:space="preserve"> </v>
      </c>
      <c r="BZ75" s="61" t="str">
        <f t="shared" si="84"/>
        <v xml:space="preserve"> </v>
      </c>
      <c r="CA75" s="124">
        <f t="array" aca="1" ref="CA7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5" t="str">
        <f>IF(CB74&gt;=1,BW74,0)</f>
        <v xml:space="preserve"> </v>
      </c>
      <c r="CC75" s="125" t="str">
        <f t="shared" si="190"/>
        <v xml:space="preserve"> </v>
      </c>
      <c r="CD75" s="51">
        <f t="array" aca="1" ref="CD75" ca="1">IF(ROW()-ROW(Н4кр)+1&gt;ROWS(Е4кр)-COUNTBLANK(Е4кр)," ",INDIRECT(ADDRESS(SMALL((IF(Е4кр&lt;&gt;" ",ROW(Е4кр),ROW()+ROWS(Е4кр))),ROW()-ROW(Н4кр)+1),COLUMN(Е4кр),4)))</f>
        <v>0</v>
      </c>
      <c r="CF75" s="377"/>
      <c r="CG75" s="377"/>
      <c r="CH75" s="125" t="str">
        <f>IF(CH74&gt;=1,CG74,0)</f>
        <v xml:space="preserve"> </v>
      </c>
      <c r="CI75" t="str">
        <f t="shared" si="197"/>
        <v xml:space="preserve"> </v>
      </c>
      <c r="CJ75" s="51">
        <f t="array" aca="1" ref="CJ75" ca="1">IF(ROW()-ROW(Н5кр)+1&gt;ROWS(Е5кр)-COUNTBLANK(Е5кр)," ",INDIRECT(ADDRESS(SMALL((IF(Е5кр&lt;&gt;" ",ROW(Е5кр),ROW()+ROWS(Е5кр))),ROW()-ROW(Н5кр)+1),COLUMN(Е5кр),4)))</f>
        <v>0</v>
      </c>
      <c r="CL75" s="377"/>
      <c r="CM75" s="377"/>
      <c r="CN75" t="str">
        <f>IF(CN74&gt;=1,CM74,0)</f>
        <v xml:space="preserve"> </v>
      </c>
      <c r="CO75" t="str">
        <f t="shared" si="191"/>
        <v xml:space="preserve"> </v>
      </c>
      <c r="CP75">
        <f t="array" aca="1" ref="CP75" ca="1">IF(ROW()-ROW(Н6кр)+1&gt;ROWS(Е6кр)-COUNTBLANK(Е6кр)," ",INDIRECT(ADDRESS(SMALL((IF(Е6кр&lt;&gt;" ",ROW(Е6кр),ROW()+ROWS(Е6кр))),ROW()-ROW(Н6кр)+1),COLUMN(Е6кр),4)))</f>
        <v>0</v>
      </c>
      <c r="CR75" s="377"/>
      <c r="CS75" s="377"/>
      <c r="CT75" t="str">
        <f>IF(CT74&gt;=1,CS74,0)</f>
        <v xml:space="preserve"> </v>
      </c>
      <c r="CU75" t="str">
        <f t="shared" si="192"/>
        <v xml:space="preserve"> </v>
      </c>
      <c r="CV75">
        <f t="array" aca="1" ref="CV75" ca="1">IF(ROW()-ROW(Н7кр)+1&gt;ROWS(Е7кр)-COUNTBLANK(Е7кр)," ",INDIRECT(ADDRESS(SMALL((IF(Е7кр&lt;&gt;" ",ROW(Е7кр),ROW()+ROWS(Е7кр))),ROW()-ROW(Н7кр)+1),COLUMN(Е7кр),4)))</f>
        <v>0</v>
      </c>
    </row>
    <row r="76" spans="1:100" ht="12" hidden="1" customHeight="1" thickTop="1">
      <c r="A76" s="198"/>
      <c r="B76" s="423">
        <v>35</v>
      </c>
      <c r="C76" s="425" t="e">
        <f>(VLOOKUP(B76,пр.взв!$B$7:$H$76,2,0))</f>
        <v>#N/A</v>
      </c>
      <c r="D76" s="427" t="e">
        <f>(VLOOKUP(B76,пр.взв!$B$7:$H$76,3,0))</f>
        <v>#N/A</v>
      </c>
      <c r="E76" s="429" t="e">
        <f>(VLOOKUP(B76,пр.взв!$B$7:$H$76,5,0))</f>
        <v>#N/A</v>
      </c>
      <c r="F76" s="445">
        <f t="shared" si="41"/>
        <v>0</v>
      </c>
      <c r="G76" s="42"/>
      <c r="H76" s="440"/>
      <c r="I76" s="42"/>
      <c r="J76" s="444" t="str">
        <f>IF(H76="Х","Х",IF(I76+G76&lt;6," ",IF(I76+G76&gt;=6,IF(AA76&gt;=6,"Х",IF(AA76&lt;6," "," ")))))</f>
        <v xml:space="preserve"> </v>
      </c>
      <c r="K76" s="41"/>
      <c r="L76" s="438" t="str">
        <f>IF(J76="Х","Х",IF(K76&lt;2.5," ",IF(K76&gt;=2.5,IF(G76+I76+K76&gt;=6,"Х",IF(AA76&lt;6," "," ")))))</f>
        <v xml:space="preserve"> </v>
      </c>
      <c r="M76" s="41"/>
      <c r="N76" s="438" t="str">
        <f>IF(L76="Х","Х",IF(M76&lt;2.5," ",IF(M76&gt;=2.5,IF(G76+I76+K76+M76&gt;=6,"Х",IF(AA76&lt;6," "," ")))))</f>
        <v xml:space="preserve"> </v>
      </c>
      <c r="O76" s="41"/>
      <c r="P76" s="438" t="str">
        <f>IF(N76="Х","Х",IF(O76&lt;2.5," ",IF(O76&gt;=2.5,IF(G76+I76+K76+M76+O76&gt;=6,"Х",IF(AA76&lt;6," "," ")))))</f>
        <v xml:space="preserve"> </v>
      </c>
      <c r="Q76" s="41"/>
      <c r="R76" s="438" t="str">
        <f>IF(P76="Х","Х",IF(Q76&lt;2.5," ",IF(Q76&gt;=2.5,IF(G76+I76+K76+M76+O76+Q76&gt;=6,"Х",IF(AA76&lt;6," "," ")))))</f>
        <v xml:space="preserve"> </v>
      </c>
      <c r="S76" s="41"/>
      <c r="T76" s="438" t="str">
        <f>IF(R76="Х","Х",IF(S76&lt;2.5," ",IF(S76&gt;=2.5,IF(G76+I76+K76+M76+O76+Q76+S76&gt;=6,"Х",IF(AA76&lt;6," "," ")))))</f>
        <v xml:space="preserve"> </v>
      </c>
      <c r="U76" s="45"/>
      <c r="V76" s="438" t="str">
        <f>IF(T76="А1",$AX$7,IF(T76="Б2",$AX$6,IF(T76="Б1",$AY$7,IF(T76="А2",$AY$6,IF(T76="Х","Х",IF(T76&lt;6," "," "))))))</f>
        <v xml:space="preserve"> </v>
      </c>
      <c r="W76" s="41"/>
      <c r="X76" s="438" t="str">
        <f t="shared" ref="X76" si="200">IF(T76="Х","Х",IF(ISBLANK(W76),"",IF(W76&gt;2.5," ",IF(B76=AZ$6,AZ$7,AZ$6))))</f>
        <v/>
      </c>
      <c r="Y76" s="42"/>
      <c r="Z76" s="466" t="b">
        <f>IF(H76="Х","1",IF(J76="Х","2",IF(L76="Х","3",IF(N76="Х","4",IF(P76="Х","5",IF(R76="Х","6",IF(T76="Х","7",IF(V76="Х","8"))))))))</f>
        <v>0</v>
      </c>
      <c r="AA76" s="464">
        <f>SUM(G76+I76+K76+M76+O76+Q76+S76+U76+W76+Y76)</f>
        <v>0</v>
      </c>
      <c r="AB76" s="431">
        <f t="shared" ref="AB76" si="201">AD76+0</f>
        <v>20576</v>
      </c>
      <c r="AC76" s="386">
        <f>AB76</f>
        <v>20576</v>
      </c>
      <c r="AD76" s="387" t="str">
        <f>COUNTIF(AE$6:AE$119,"&gt;"&amp;AE$6:AE$119)+1&amp;REPT("-"&amp;COUNTIF(AE$6:AE$119,"&gt;="&amp;AE$6:AE$119),COUNTIF(AE$6:AE$119,AE76)&gt;1)</f>
        <v>5-56</v>
      </c>
      <c r="AE76" s="388">
        <f t="shared" si="45"/>
        <v>80</v>
      </c>
      <c r="AF76" s="390" t="str">
        <f>IF(OR(F76="Х",F76="св")," ",IF(AND(G76&gt;=0,G76&lt;3),"1"," "))</f>
        <v>1</v>
      </c>
      <c r="AG76" s="390" t="str">
        <f>IF(OR(H76="Х",H76="св")," ",IF(AND(I76&gt;=0,I76&lt;3),"1"," "))</f>
        <v>1</v>
      </c>
      <c r="AH76" s="390" t="str">
        <f>IF(OR(J76="Х",J76="св")," ",IF(AND(K76&gt;=0,K76&lt;3),"1"," "))</f>
        <v>1</v>
      </c>
      <c r="AI76" s="390" t="str">
        <f>IF(OR(L76="Х",L76="св")," ",IF(AND(M76&gt;=0,M76&lt;3),"1"," "))</f>
        <v>1</v>
      </c>
      <c r="AJ76" s="390" t="str">
        <f>IF(OR(N76="Х",N76="св")," ",IF(AND(O76&gt;=0,O76&lt;3),"1"," "))</f>
        <v>1</v>
      </c>
      <c r="AK76" s="390" t="str">
        <f>IF(OR(P76="Х",P76="св")," ",IF(AND(Q76&gt;=0,Q76&lt;3),"1"," "))</f>
        <v>1</v>
      </c>
      <c r="AL76" s="390" t="str">
        <f>IF(OR(R76="Х",R76="св")," ",IF(AND(S76&gt;=0,S76&lt;3),"1"," "))</f>
        <v>1</v>
      </c>
      <c r="AM76" s="390" t="str">
        <f>IF(OR(T76="Х",T76="св")," ",IF(AND(U76&gt;=0,U76&lt;3),"1"," "))</f>
        <v>1</v>
      </c>
      <c r="AN76" s="391">
        <f>COUNTIF(AF76:AM77,1)</f>
        <v>8</v>
      </c>
      <c r="AO76" s="393">
        <f>AE76-AA76</f>
        <v>80</v>
      </c>
      <c r="AP76" s="394">
        <f t="shared" si="196"/>
        <v>0</v>
      </c>
      <c r="AQ76" s="387" t="str">
        <f>COUNTIF(AE$6:AE$119,"&gt;"&amp;AE$6:AE$119)+1&amp;REPT("-"&amp;COUNTIF(AE$6:AE$119,"&gt;="&amp;AE$6:AE$119),COUNTIF(AE$6:AE$119,AE76)&gt;1)</f>
        <v>5-56</v>
      </c>
      <c r="AR76" s="395"/>
      <c r="AS76" s="183"/>
      <c r="AT76" s="183"/>
      <c r="AU76" s="183"/>
      <c r="AV76" s="386">
        <f t="shared" si="65"/>
        <v>35</v>
      </c>
      <c r="AW76" s="19"/>
      <c r="AX76" s="19"/>
      <c r="AY76" s="19"/>
      <c r="AZ76" s="19"/>
      <c r="BU76" s="377">
        <f>IF(J76="х"," ",B76)</f>
        <v>35</v>
      </c>
      <c r="BV76" s="377">
        <f>IF(L76="х"," ",B76)</f>
        <v>35</v>
      </c>
      <c r="BW76" s="377" t="str">
        <f>IF(BV76=" "," ",L76)</f>
        <v xml:space="preserve"> </v>
      </c>
      <c r="BX76" s="377" t="str">
        <f>IF(BU76=" "," ",J76)</f>
        <v xml:space="preserve"> </v>
      </c>
      <c r="BY76" s="61">
        <f>IF(BU76&lt;BX76,BU76,0)</f>
        <v>35</v>
      </c>
      <c r="BZ76" s="61">
        <f t="shared" si="84"/>
        <v>35</v>
      </c>
      <c r="CA76" s="124">
        <f t="array" aca="1" ref="CA7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6">
        <f>IF(BV76&lt;BW76,BV76,0)</f>
        <v>35</v>
      </c>
      <c r="CC76" s="125">
        <f t="shared" si="190"/>
        <v>35</v>
      </c>
      <c r="CD76" s="51">
        <f t="array" aca="1" ref="CD76" ca="1">IF(ROW()-ROW(Н4кр)+1&gt;ROWS(Е4кр)-COUNTBLANK(Е4кр)," ",INDIRECT(ADDRESS(SMALL((IF(Е4кр&lt;&gt;" ",ROW(Е4кр),ROW()+ROWS(Е4кр))),ROW()-ROW(Н4кр)+1),COLUMN(Е4кр),4)))</f>
        <v>0</v>
      </c>
      <c r="CF76" s="377">
        <f>IF(N76="х"," ",B76)</f>
        <v>35</v>
      </c>
      <c r="CG76" s="377" t="str">
        <f>IF(CF76=" "," ",N76)</f>
        <v xml:space="preserve"> </v>
      </c>
      <c r="CH76" s="125">
        <f>IF(CF76&lt;CG76,CF76,0)</f>
        <v>35</v>
      </c>
      <c r="CI76">
        <f t="shared" si="197"/>
        <v>35</v>
      </c>
      <c r="CJ76" s="51">
        <f t="array" aca="1" ref="CJ76" ca="1">IF(ROW()-ROW(Н5кр)+1&gt;ROWS(Е5кр)-COUNTBLANK(Е5кр)," ",INDIRECT(ADDRESS(SMALL((IF(Е5кр&lt;&gt;" ",ROW(Е5кр),ROW()+ROWS(Е5кр))),ROW()-ROW(Н5кр)+1),COLUMN(Е5кр),4)))</f>
        <v>0</v>
      </c>
      <c r="CL76" s="377">
        <f>IF(P76="х"," ",B76)</f>
        <v>35</v>
      </c>
      <c r="CM76" s="377" t="str">
        <f>IF(CL76=" "," ",P76)</f>
        <v xml:space="preserve"> </v>
      </c>
      <c r="CN76">
        <f>IF(CL76&lt;CM76,CL76,0)</f>
        <v>35</v>
      </c>
      <c r="CO76">
        <f t="shared" si="191"/>
        <v>35</v>
      </c>
      <c r="CP76">
        <f t="array" aca="1" ref="CP76" ca="1">IF(ROW()-ROW(Н6кр)+1&gt;ROWS(Е6кр)-COUNTBLANK(Е6кр)," ",INDIRECT(ADDRESS(SMALL((IF(Е6кр&lt;&gt;" ",ROW(Е6кр),ROW()+ROWS(Е6кр))),ROW()-ROW(Н6кр)+1),COLUMN(Е6кр),4)))</f>
        <v>0</v>
      </c>
      <c r="CR76" s="377">
        <f t="shared" ref="CR76" si="202">IF(R76="х"," ",B76)</f>
        <v>35</v>
      </c>
      <c r="CS76" s="377" t="str">
        <f t="shared" ref="CS76" si="203">IF(CR76=" "," ",R76)</f>
        <v xml:space="preserve"> </v>
      </c>
      <c r="CT76">
        <f>IF(CR76&lt;CS76,CR76,0)</f>
        <v>35</v>
      </c>
      <c r="CU76">
        <f t="shared" si="192"/>
        <v>35</v>
      </c>
      <c r="CV76">
        <f t="array" aca="1" ref="CV76" ca="1">IF(ROW()-ROW(Н7кр)+1&gt;ROWS(Е7кр)-COUNTBLANK(Е7кр)," ",INDIRECT(ADDRESS(SMALL((IF(Е7кр&lt;&gt;" ",ROW(Е7кр),ROW()+ROWS(Е7кр))),ROW()-ROW(Н7кр)+1),COLUMN(Е7кр),4)))</f>
        <v>0</v>
      </c>
    </row>
    <row r="77" spans="1:100" ht="12" hidden="1" customHeight="1" thickBot="1">
      <c r="A77" s="198"/>
      <c r="B77" s="424"/>
      <c r="C77" s="426"/>
      <c r="D77" s="428"/>
      <c r="E77" s="430"/>
      <c r="F77" s="442"/>
      <c r="G77" s="44"/>
      <c r="H77" s="439"/>
      <c r="I77" s="44"/>
      <c r="J77" s="439"/>
      <c r="K77" s="44"/>
      <c r="L77" s="439"/>
      <c r="M77" s="44"/>
      <c r="N77" s="439"/>
      <c r="O77" s="44"/>
      <c r="P77" s="439"/>
      <c r="Q77" s="44"/>
      <c r="R77" s="439"/>
      <c r="S77" s="44"/>
      <c r="T77" s="439"/>
      <c r="U77" s="47"/>
      <c r="V77" s="439"/>
      <c r="W77" s="44"/>
      <c r="X77" s="439"/>
      <c r="Y77" s="44"/>
      <c r="Z77" s="422"/>
      <c r="AA77" s="465"/>
      <c r="AB77" s="432"/>
      <c r="AC77" s="386"/>
      <c r="AD77" s="387"/>
      <c r="AE77" s="389"/>
      <c r="AF77" s="390"/>
      <c r="AG77" s="390"/>
      <c r="AH77" s="390"/>
      <c r="AI77" s="390"/>
      <c r="AJ77" s="390"/>
      <c r="AK77" s="390"/>
      <c r="AL77" s="390"/>
      <c r="AM77" s="390"/>
      <c r="AN77" s="392"/>
      <c r="AO77" s="387"/>
      <c r="AP77" s="394"/>
      <c r="AQ77" s="387"/>
      <c r="AR77" s="395"/>
      <c r="AS77" s="183"/>
      <c r="AT77" s="183"/>
      <c r="AU77" s="183"/>
      <c r="AV77" s="386"/>
      <c r="AW77" s="19"/>
      <c r="AX77" s="19"/>
      <c r="AY77" s="19"/>
      <c r="AZ77" s="19"/>
      <c r="BU77" s="377"/>
      <c r="BV77" s="377"/>
      <c r="BW77" s="377"/>
      <c r="BX77" s="377"/>
      <c r="BY77" s="61" t="str">
        <f>IF(BY76&gt;=1,BX76,0)</f>
        <v xml:space="preserve"> </v>
      </c>
      <c r="BZ77" s="61" t="str">
        <f t="shared" si="84"/>
        <v xml:space="preserve"> </v>
      </c>
      <c r="CA77" s="124">
        <f t="array" aca="1" ref="CA7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7" t="str">
        <f>IF(CB76&gt;=1,BW76,0)</f>
        <v xml:space="preserve"> </v>
      </c>
      <c r="CC77" s="125" t="str">
        <f t="shared" si="190"/>
        <v xml:space="preserve"> </v>
      </c>
      <c r="CD77" s="51">
        <f t="array" aca="1" ref="CD77" ca="1">IF(ROW()-ROW(Н4кр)+1&gt;ROWS(Е4кр)-COUNTBLANK(Е4кр)," ",INDIRECT(ADDRESS(SMALL((IF(Е4кр&lt;&gt;" ",ROW(Е4кр),ROW()+ROWS(Е4кр))),ROW()-ROW(Н4кр)+1),COLUMN(Е4кр),4)))</f>
        <v>0</v>
      </c>
      <c r="CF77" s="377"/>
      <c r="CG77" s="377"/>
      <c r="CH77" s="125" t="str">
        <f>IF(CH76&gt;=1,CG76,0)</f>
        <v xml:space="preserve"> </v>
      </c>
      <c r="CI77" t="str">
        <f t="shared" si="197"/>
        <v xml:space="preserve"> </v>
      </c>
      <c r="CJ77" s="51">
        <f t="array" aca="1" ref="CJ77" ca="1">IF(ROW()-ROW(Н5кр)+1&gt;ROWS(Е5кр)-COUNTBLANK(Е5кр)," ",INDIRECT(ADDRESS(SMALL((IF(Е5кр&lt;&gt;" ",ROW(Е5кр),ROW()+ROWS(Е5кр))),ROW()-ROW(Н5кр)+1),COLUMN(Е5кр),4)))</f>
        <v>0</v>
      </c>
      <c r="CL77" s="377"/>
      <c r="CM77" s="377"/>
      <c r="CN77" t="str">
        <f>IF(CN76&gt;=1,CM76,0)</f>
        <v xml:space="preserve"> </v>
      </c>
      <c r="CO77" t="str">
        <f t="shared" si="191"/>
        <v xml:space="preserve"> </v>
      </c>
      <c r="CP77">
        <f t="array" aca="1" ref="CP77" ca="1">IF(ROW()-ROW(Н6кр)+1&gt;ROWS(Е6кр)-COUNTBLANK(Е6кр)," ",INDIRECT(ADDRESS(SMALL((IF(Е6кр&lt;&gt;" ",ROW(Е6кр),ROW()+ROWS(Е6кр))),ROW()-ROW(Н6кр)+1),COLUMN(Е6кр),4)))</f>
        <v>0</v>
      </c>
      <c r="CR77" s="377"/>
      <c r="CS77" s="377"/>
      <c r="CT77" t="str">
        <f>IF(CT76&gt;=1,CS76,0)</f>
        <v xml:space="preserve"> </v>
      </c>
      <c r="CU77" t="str">
        <f t="shared" si="192"/>
        <v xml:space="preserve"> </v>
      </c>
      <c r="CV77">
        <f t="array" aca="1" ref="CV77" ca="1">IF(ROW()-ROW(Н7кр)+1&gt;ROWS(Е7кр)-COUNTBLANK(Е7кр)," ",INDIRECT(ADDRESS(SMALL((IF(Е7кр&lt;&gt;" ",ROW(Е7кр),ROW()+ROWS(Е7кр))),ROW()-ROW(Н7кр)+1),COLUMN(Е7кр),4)))</f>
        <v>0</v>
      </c>
    </row>
    <row r="78" spans="1:100" ht="12" hidden="1" customHeight="1" thickTop="1">
      <c r="A78" s="198"/>
      <c r="B78" s="423">
        <v>36</v>
      </c>
      <c r="C78" s="425" t="e">
        <f>(VLOOKUP(B78,пр.взв!$B$7:$H$76,2,0))</f>
        <v>#N/A</v>
      </c>
      <c r="D78" s="427" t="e">
        <f>(VLOOKUP(B78,пр.взв!$B$7:$H$76,3,0))</f>
        <v>#N/A</v>
      </c>
      <c r="E78" s="429" t="e">
        <f>(VLOOKUP(B78,пр.взв!$B$7:$H$76,5,0))</f>
        <v>#N/A</v>
      </c>
      <c r="F78" s="443">
        <f t="shared" si="50"/>
        <v>0</v>
      </c>
      <c r="G78" s="42"/>
      <c r="H78" s="440"/>
      <c r="I78" s="42"/>
      <c r="J78" s="444" t="str">
        <f>IF(H78="Х","Х",IF(I78+G78&lt;6," ",IF(I78+G78&gt;=6,IF(AA78&gt;=6,"Х",IF(AA78&lt;6," "," ")))))</f>
        <v xml:space="preserve"> </v>
      </c>
      <c r="K78" s="41"/>
      <c r="L78" s="438" t="str">
        <f>IF(J78="Х","Х",IF(K78&lt;2.5," ",IF(K78&gt;=2.5,IF(G78+I78+K78&gt;=6,"Х",IF(AA78&lt;6," "," ")))))</f>
        <v xml:space="preserve"> </v>
      </c>
      <c r="M78" s="41"/>
      <c r="N78" s="438" t="str">
        <f>IF(L78="Х","Х",IF(M78&lt;2.5," ",IF(M78&gt;=2.5,IF(G78+I78+K78+M78&gt;=6,"Х",IF(AA78&lt;6," "," ")))))</f>
        <v xml:space="preserve"> </v>
      </c>
      <c r="O78" s="41"/>
      <c r="P78" s="438" t="str">
        <f>IF(N78="Х","Х",IF(O78&lt;2.5," ",IF(O78&gt;=2.5,IF(G78+I78+K78+M78+O78&gt;=6,"Х",IF(AA78&lt;6," "," ")))))</f>
        <v xml:space="preserve"> </v>
      </c>
      <c r="Q78" s="41"/>
      <c r="R78" s="438" t="str">
        <f>IF(P78="Х","Х",IF(Q78&lt;2.5," ",IF(Q78&gt;=2.5,IF(G78+I78+K78+M78+O78+Q78&gt;=6,"Х",IF(AA78&lt;6," "," ")))))</f>
        <v xml:space="preserve"> </v>
      </c>
      <c r="S78" s="41"/>
      <c r="T78" s="438" t="str">
        <f>IF(R78="Х","Х",IF(S78&lt;2.5," ",IF(S78&gt;=2.5,IF(G78+I78+K78+M78+O78+Q78+S78&gt;=6,"Х",IF(AA78&lt;6," "," ")))))</f>
        <v xml:space="preserve"> </v>
      </c>
      <c r="U78" s="45"/>
      <c r="V78" s="438" t="str">
        <f>IF(T78="А1",$AX$7,IF(T78="Б2",$AX$6,IF(T78="Б1",$AY$7,IF(T78="А2",$AY$6,IF(T78="Х","Х",IF(T78&lt;6," "," "))))))</f>
        <v xml:space="preserve"> </v>
      </c>
      <c r="W78" s="41"/>
      <c r="X78" s="438" t="str">
        <f t="shared" ref="X78" si="204">IF(T78="Х","Х",IF(ISBLANK(W78),"",IF(W78&gt;2.5," ",IF(B78=AZ$6,AZ$7,AZ$6))))</f>
        <v/>
      </c>
      <c r="Y78" s="42"/>
      <c r="Z78" s="466" t="b">
        <f>IF(H78="Х","1",IF(J78="Х","2",IF(L78="Х","3",IF(N78="Х","4",IF(P78="Х","5",IF(R78="Х","6",IF(T78="Х","7",IF(V78="Х","8"))))))))</f>
        <v>0</v>
      </c>
      <c r="AA78" s="464">
        <f>SUM(G78+I78+K78+M78+O78+Q78+S78+U78+W78+Y78)</f>
        <v>0</v>
      </c>
      <c r="AB78" s="431">
        <f t="shared" ref="AB78" si="205">AD78+0</f>
        <v>20576</v>
      </c>
      <c r="AC78" s="386">
        <f>AB78</f>
        <v>20576</v>
      </c>
      <c r="AD78" s="387" t="str">
        <f>COUNTIF(AE$6:AE$119,"&gt;"&amp;AE$6:AE$119)+1&amp;REPT("-"&amp;COUNTIF(AE$6:AE$119,"&gt;="&amp;AE$6:AE$119),COUNTIF(AE$6:AE$119,AE78)&gt;1)</f>
        <v>5-56</v>
      </c>
      <c r="AE78" s="388">
        <f t="shared" si="45"/>
        <v>80</v>
      </c>
      <c r="AF78" s="390" t="str">
        <f>IF(OR(F78="Х",F78="св")," ",IF(AND(G78&gt;=0,G78&lt;3),"1"," "))</f>
        <v>1</v>
      </c>
      <c r="AG78" s="390" t="str">
        <f>IF(OR(H78="Х",H78="св")," ",IF(AND(I78&gt;=0,I78&lt;3),"1"," "))</f>
        <v>1</v>
      </c>
      <c r="AH78" s="390" t="str">
        <f>IF(OR(J78="Х",J78="св")," ",IF(AND(K78&gt;=0,K78&lt;3),"1"," "))</f>
        <v>1</v>
      </c>
      <c r="AI78" s="390" t="str">
        <f>IF(OR(L78="Х",L78="св")," ",IF(AND(M78&gt;=0,M78&lt;3),"1"," "))</f>
        <v>1</v>
      </c>
      <c r="AJ78" s="390" t="str">
        <f>IF(OR(N78="Х",N78="св")," ",IF(AND(O78&gt;=0,O78&lt;3),"1"," "))</f>
        <v>1</v>
      </c>
      <c r="AK78" s="390" t="str">
        <f>IF(OR(P78="Х",P78="св")," ",IF(AND(Q78&gt;=0,Q78&lt;3),"1"," "))</f>
        <v>1</v>
      </c>
      <c r="AL78" s="390" t="str">
        <f>IF(OR(R78="Х",R78="св")," ",IF(AND(S78&gt;=0,S78&lt;3),"1"," "))</f>
        <v>1</v>
      </c>
      <c r="AM78" s="390" t="str">
        <f>IF(OR(T78="Х",T78="св")," ",IF(AND(U78&gt;=0,U78&lt;3),"1"," "))</f>
        <v>1</v>
      </c>
      <c r="AN78" s="391">
        <f>COUNTIF(AF78:AM79,1)</f>
        <v>8</v>
      </c>
      <c r="AO78" s="393">
        <f>AE78-AA78</f>
        <v>80</v>
      </c>
      <c r="AP78" s="394">
        <f t="shared" si="196"/>
        <v>0</v>
      </c>
      <c r="AQ78" s="387" t="str">
        <f>COUNTIF(AE$6:AE$119,"&gt;"&amp;AE$6:AE$119)+1&amp;REPT("-"&amp;COUNTIF(AE$6:AE$119,"&gt;="&amp;AE$6:AE$119),COUNTIF(AE$6:AE$119,AE78)&gt;1)</f>
        <v>5-56</v>
      </c>
      <c r="AR78" s="395"/>
      <c r="AS78" s="183"/>
      <c r="AT78" s="183"/>
      <c r="AU78" s="183"/>
      <c r="AV78" s="386">
        <f t="shared" si="65"/>
        <v>36</v>
      </c>
      <c r="AW78" s="19"/>
      <c r="AX78" s="19"/>
      <c r="AY78" s="19"/>
      <c r="AZ78" s="19"/>
      <c r="BU78" s="377">
        <f>IF(J78="х"," ",B78)</f>
        <v>36</v>
      </c>
      <c r="BV78" s="377">
        <f>IF(L78="х"," ",B78)</f>
        <v>36</v>
      </c>
      <c r="BW78" s="377" t="str">
        <f>IF(BV78=" "," ",L78)</f>
        <v xml:space="preserve"> </v>
      </c>
      <c r="BX78" s="377" t="str">
        <f>IF(BU78=" "," ",J78)</f>
        <v xml:space="preserve"> </v>
      </c>
      <c r="BY78" s="61">
        <f>IF(BU78&lt;BX78,BU78,0)</f>
        <v>36</v>
      </c>
      <c r="BZ78" s="61">
        <f t="shared" si="84"/>
        <v>36</v>
      </c>
      <c r="CA78" s="124">
        <f t="array" aca="1" ref="CA7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8">
        <f>IF(BV78&lt;BW78,BV78,0)</f>
        <v>36</v>
      </c>
      <c r="CC78" s="125">
        <f t="shared" si="190"/>
        <v>36</v>
      </c>
      <c r="CD78" s="51">
        <f t="array" aca="1" ref="CD78" ca="1">IF(ROW()-ROW(Н4кр)+1&gt;ROWS(Е4кр)-COUNTBLANK(Е4кр)," ",INDIRECT(ADDRESS(SMALL((IF(Е4кр&lt;&gt;" ",ROW(Е4кр),ROW()+ROWS(Е4кр))),ROW()-ROW(Н4кр)+1),COLUMN(Е4кр),4)))</f>
        <v>0</v>
      </c>
      <c r="CF78" s="377">
        <f>IF(N78="х"," ",B78)</f>
        <v>36</v>
      </c>
      <c r="CG78" s="377" t="str">
        <f>IF(CF78=" "," ",N78)</f>
        <v xml:space="preserve"> </v>
      </c>
      <c r="CH78" s="125">
        <f>IF(CF78&lt;CG78,CF78,0)</f>
        <v>36</v>
      </c>
      <c r="CI78">
        <f t="shared" si="197"/>
        <v>36</v>
      </c>
      <c r="CJ78" s="51">
        <f t="array" aca="1" ref="CJ78" ca="1">IF(ROW()-ROW(Н5кр)+1&gt;ROWS(Е5кр)-COUNTBLANK(Е5кр)," ",INDIRECT(ADDRESS(SMALL((IF(Е5кр&lt;&gt;" ",ROW(Е5кр),ROW()+ROWS(Е5кр))),ROW()-ROW(Н5кр)+1),COLUMN(Е5кр),4)))</f>
        <v>0</v>
      </c>
      <c r="CL78" s="377">
        <f>IF(P78="х"," ",B78)</f>
        <v>36</v>
      </c>
      <c r="CM78" s="377" t="str">
        <f>IF(CL78=" "," ",P78)</f>
        <v xml:space="preserve"> </v>
      </c>
      <c r="CN78">
        <f>IF(CL78&lt;CM78,CL78,0)</f>
        <v>36</v>
      </c>
      <c r="CO78">
        <f t="shared" si="191"/>
        <v>36</v>
      </c>
      <c r="CP78">
        <f t="array" aca="1" ref="CP78" ca="1">IF(ROW()-ROW(Н6кр)+1&gt;ROWS(Е6кр)-COUNTBLANK(Е6кр)," ",INDIRECT(ADDRESS(SMALL((IF(Е6кр&lt;&gt;" ",ROW(Е6кр),ROW()+ROWS(Е6кр))),ROW()-ROW(Н6кр)+1),COLUMN(Е6кр),4)))</f>
        <v>0</v>
      </c>
      <c r="CR78" s="377">
        <f t="shared" ref="CR78" si="206">IF(R78="х"," ",B78)</f>
        <v>36</v>
      </c>
      <c r="CS78" s="377" t="str">
        <f t="shared" ref="CS78" si="207">IF(CR78=" "," ",R78)</f>
        <v xml:space="preserve"> </v>
      </c>
      <c r="CT78">
        <f>IF(CR78&lt;CS78,CR78,0)</f>
        <v>36</v>
      </c>
      <c r="CU78">
        <f t="shared" si="192"/>
        <v>36</v>
      </c>
      <c r="CV78">
        <f t="array" aca="1" ref="CV78" ca="1">IF(ROW()-ROW(Н7кр)+1&gt;ROWS(Е7кр)-COUNTBLANK(Е7кр)," ",INDIRECT(ADDRESS(SMALL((IF(Е7кр&lt;&gt;" ",ROW(Е7кр),ROW()+ROWS(Е7кр))),ROW()-ROW(Н7кр)+1),COLUMN(Е7кр),4)))</f>
        <v>0</v>
      </c>
    </row>
    <row r="79" spans="1:100" ht="12" hidden="1" customHeight="1" thickBot="1">
      <c r="A79" s="198"/>
      <c r="B79" s="424"/>
      <c r="C79" s="426"/>
      <c r="D79" s="428"/>
      <c r="E79" s="430"/>
      <c r="F79" s="442"/>
      <c r="G79" s="44"/>
      <c r="H79" s="439"/>
      <c r="I79" s="44"/>
      <c r="J79" s="439"/>
      <c r="K79" s="44"/>
      <c r="L79" s="439"/>
      <c r="M79" s="44"/>
      <c r="N79" s="439"/>
      <c r="O79" s="44"/>
      <c r="P79" s="439"/>
      <c r="Q79" s="44"/>
      <c r="R79" s="439"/>
      <c r="S79" s="44"/>
      <c r="T79" s="439"/>
      <c r="U79" s="47"/>
      <c r="V79" s="439"/>
      <c r="W79" s="44"/>
      <c r="X79" s="439"/>
      <c r="Y79" s="44"/>
      <c r="Z79" s="422"/>
      <c r="AA79" s="465"/>
      <c r="AB79" s="432"/>
      <c r="AC79" s="386"/>
      <c r="AD79" s="387"/>
      <c r="AE79" s="389"/>
      <c r="AF79" s="390"/>
      <c r="AG79" s="390"/>
      <c r="AH79" s="390"/>
      <c r="AI79" s="390"/>
      <c r="AJ79" s="390"/>
      <c r="AK79" s="390"/>
      <c r="AL79" s="390"/>
      <c r="AM79" s="390"/>
      <c r="AN79" s="392"/>
      <c r="AO79" s="387"/>
      <c r="AP79" s="394"/>
      <c r="AQ79" s="387"/>
      <c r="AR79" s="395"/>
      <c r="AS79" s="183"/>
      <c r="AT79" s="183"/>
      <c r="AU79" s="183"/>
      <c r="AV79" s="386"/>
      <c r="AW79" s="19"/>
      <c r="AX79" s="19"/>
      <c r="AY79" s="19"/>
      <c r="AZ79" s="19"/>
      <c r="BU79" s="377"/>
      <c r="BV79" s="377"/>
      <c r="BW79" s="377"/>
      <c r="BX79" s="377"/>
      <c r="BY79" s="61" t="str">
        <f>IF(BY78&gt;=1,BX78,0)</f>
        <v xml:space="preserve"> </v>
      </c>
      <c r="BZ79" s="61" t="str">
        <f t="shared" si="84"/>
        <v xml:space="preserve"> </v>
      </c>
      <c r="CA79" s="124">
        <f t="array" aca="1" ref="CA7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9" t="str">
        <f>IF(CB78&gt;=1,BW78,0)</f>
        <v xml:space="preserve"> </v>
      </c>
      <c r="CC79" s="125" t="str">
        <f t="shared" si="190"/>
        <v xml:space="preserve"> </v>
      </c>
      <c r="CD79" s="51">
        <f t="array" aca="1" ref="CD79" ca="1">IF(ROW()-ROW(Н4кр)+1&gt;ROWS(Е4кр)-COUNTBLANK(Е4кр)," ",INDIRECT(ADDRESS(SMALL((IF(Е4кр&lt;&gt;" ",ROW(Е4кр),ROW()+ROWS(Е4кр))),ROW()-ROW(Н4кр)+1),COLUMN(Е4кр),4)))</f>
        <v>0</v>
      </c>
      <c r="CF79" s="377"/>
      <c r="CG79" s="377"/>
      <c r="CH79" s="125" t="str">
        <f>IF(CH78&gt;=1,CG78,0)</f>
        <v xml:space="preserve"> </v>
      </c>
      <c r="CI79" t="str">
        <f t="shared" si="197"/>
        <v xml:space="preserve"> </v>
      </c>
      <c r="CJ79" s="51">
        <f t="array" aca="1" ref="CJ79" ca="1">IF(ROW()-ROW(Н5кр)+1&gt;ROWS(Е5кр)-COUNTBLANK(Е5кр)," ",INDIRECT(ADDRESS(SMALL((IF(Е5кр&lt;&gt;" ",ROW(Е5кр),ROW()+ROWS(Е5кр))),ROW()-ROW(Н5кр)+1),COLUMN(Е5кр),4)))</f>
        <v>0</v>
      </c>
      <c r="CL79" s="377"/>
      <c r="CM79" s="377"/>
      <c r="CN79" t="str">
        <f>IF(CN78&gt;=1,CM78,0)</f>
        <v xml:space="preserve"> </v>
      </c>
      <c r="CO79" t="str">
        <f t="shared" si="191"/>
        <v xml:space="preserve"> </v>
      </c>
      <c r="CP79">
        <f t="array" aca="1" ref="CP79" ca="1">IF(ROW()-ROW(Н6кр)+1&gt;ROWS(Е6кр)-COUNTBLANK(Е6кр)," ",INDIRECT(ADDRESS(SMALL((IF(Е6кр&lt;&gt;" ",ROW(Е6кр),ROW()+ROWS(Е6кр))),ROW()-ROW(Н6кр)+1),COLUMN(Е6кр),4)))</f>
        <v>0</v>
      </c>
      <c r="CR79" s="377"/>
      <c r="CS79" s="377"/>
      <c r="CT79" t="str">
        <f>IF(CT78&gt;=1,CS78,0)</f>
        <v xml:space="preserve"> </v>
      </c>
      <c r="CU79" t="str">
        <f t="shared" si="192"/>
        <v xml:space="preserve"> </v>
      </c>
      <c r="CV79">
        <f t="array" aca="1" ref="CV79" ca="1">IF(ROW()-ROW(Н7кр)+1&gt;ROWS(Е7кр)-COUNTBLANK(Е7кр)," ",INDIRECT(ADDRESS(SMALL((IF(Е7кр&lt;&gt;" ",ROW(Е7кр),ROW()+ROWS(Е7кр))),ROW()-ROW(Н7кр)+1),COLUMN(Е7кр),4)))</f>
        <v>0</v>
      </c>
    </row>
    <row r="80" spans="1:100" ht="12" hidden="1" customHeight="1" thickTop="1">
      <c r="A80" s="198"/>
      <c r="B80" s="423">
        <v>37</v>
      </c>
      <c r="C80" s="425" t="e">
        <f>(VLOOKUP(B80,пр.взв!$B$7:$H$76,2,0))</f>
        <v>#N/A</v>
      </c>
      <c r="D80" s="427" t="e">
        <f>(VLOOKUP(B80,пр.взв!$B$7:$H$76,3,0))</f>
        <v>#N/A</v>
      </c>
      <c r="E80" s="429" t="e">
        <f>(VLOOKUP(B80,пр.взв!$B$7:$H$76,5,0))</f>
        <v>#N/A</v>
      </c>
      <c r="F80" s="445">
        <f t="shared" ref="F80" si="208">IF(ISERROR(C80),0,B82)</f>
        <v>0</v>
      </c>
      <c r="G80" s="42"/>
      <c r="H80" s="440"/>
      <c r="I80" s="42"/>
      <c r="J80" s="444" t="str">
        <f>IF(H80="Х","Х",IF(I80+G80&lt;6," ",IF(I80+G80&gt;=6,IF(AA80&gt;=6,"Х",IF(AA80&lt;6," "," ")))))</f>
        <v xml:space="preserve"> </v>
      </c>
      <c r="K80" s="41"/>
      <c r="L80" s="438" t="str">
        <f>IF(J80="Х","Х",IF(K80&lt;2.5," ",IF(K80&gt;=2.5,IF(G80+I80+K80&gt;=6,"Х",IF(AA80&lt;6," "," ")))))</f>
        <v xml:space="preserve"> </v>
      </c>
      <c r="M80" s="41"/>
      <c r="N80" s="438" t="str">
        <f>IF(L80="Х","Х",IF(M80&lt;2.5," ",IF(M80&gt;=2.5,IF(G80+I80+K80+M80&gt;=6,"Х",IF(AA80&lt;6," "," ")))))</f>
        <v xml:space="preserve"> </v>
      </c>
      <c r="O80" s="41"/>
      <c r="P80" s="438" t="str">
        <f>IF(N80="Х","Х",IF(O80&lt;2.5," ",IF(O80&gt;=2.5,IF(G80+I80+K80+M80+O80&gt;=6,"Х",IF(AA80&lt;6," "," ")))))</f>
        <v xml:space="preserve"> </v>
      </c>
      <c r="Q80" s="41"/>
      <c r="R80" s="438" t="str">
        <f>IF(P80="Х","Х",IF(Q80&lt;2.5," ",IF(Q80&gt;=2.5,IF(G80+I80+K80+M80+O80+Q80&gt;=6,"Х",IF(AA80&lt;6," "," ")))))</f>
        <v xml:space="preserve"> </v>
      </c>
      <c r="S80" s="41"/>
      <c r="T80" s="438" t="str">
        <f>IF(R80="Х","Х",IF(S80&lt;2.5," ",IF(S80&gt;=2.5,IF(G80+I80+K80+M80+O80+Q80+S80&gt;=6,"Х",IF(AA80&lt;6," "," ")))))</f>
        <v xml:space="preserve"> </v>
      </c>
      <c r="U80" s="45"/>
      <c r="V80" s="438" t="str">
        <f>IF(T80="А1",$AX$7,IF(T80="Б2",$AX$6,IF(T80="Б1",$AY$7,IF(T80="А2",$AY$6,IF(T80="Х","Х",IF(T80&lt;6," "," "))))))</f>
        <v xml:space="preserve"> </v>
      </c>
      <c r="W80" s="41"/>
      <c r="X80" s="438" t="str">
        <f t="shared" ref="X80" si="209">IF(T80="Х","Х",IF(ISBLANK(W80),"",IF(W80&gt;2.5," ",IF(B80=AZ$6,AZ$7,AZ$6))))</f>
        <v/>
      </c>
      <c r="Y80" s="42"/>
      <c r="Z80" s="466" t="b">
        <f>IF(H80="Х","1",IF(J80="Х","2",IF(L80="Х","3",IF(N80="Х","4",IF(P80="Х","5",IF(R80="Х","6",IF(T80="Х","7",IF(V80="Х","8"))))))))</f>
        <v>0</v>
      </c>
      <c r="AA80" s="464">
        <f>SUM(G80+I80+K80+M80+O80+Q80+S80+U80+W80+Y80)</f>
        <v>0</v>
      </c>
      <c r="AB80" s="431">
        <f t="shared" ref="AB80" si="210">AD80+0</f>
        <v>20576</v>
      </c>
      <c r="AC80" s="386">
        <f>AB80</f>
        <v>20576</v>
      </c>
      <c r="AD80" s="387" t="str">
        <f>COUNTIF(AE$6:AE$119,"&gt;"&amp;AE$6:AE$119)+1&amp;REPT("-"&amp;COUNTIF(AE$6:AE$119,"&gt;="&amp;AE$6:AE$119),COUNTIF(AE$6:AE$119,AE80)&gt;1)</f>
        <v>5-56</v>
      </c>
      <c r="AE80" s="388">
        <f t="shared" si="45"/>
        <v>80</v>
      </c>
      <c r="AF80" s="390" t="str">
        <f>IF(OR(F80="Х",F80="св")," ",IF(AND(G80&gt;=0,G80&lt;3),"1"," "))</f>
        <v>1</v>
      </c>
      <c r="AG80" s="390" t="str">
        <f>IF(OR(H80="Х",H80="св")," ",IF(AND(I80&gt;=0,I80&lt;3),"1"," "))</f>
        <v>1</v>
      </c>
      <c r="AH80" s="390" t="str">
        <f>IF(OR(J80="Х",J80="св")," ",IF(AND(K80&gt;=0,K80&lt;3),"1"," "))</f>
        <v>1</v>
      </c>
      <c r="AI80" s="390" t="str">
        <f>IF(OR(L80="Х",L80="св")," ",IF(AND(M80&gt;=0,M80&lt;3),"1"," "))</f>
        <v>1</v>
      </c>
      <c r="AJ80" s="390" t="str">
        <f>IF(OR(N80="Х",N80="св")," ",IF(AND(O80&gt;=0,O80&lt;3),"1"," "))</f>
        <v>1</v>
      </c>
      <c r="AK80" s="390" t="str">
        <f>IF(OR(P80="Х",P80="св")," ",IF(AND(Q80&gt;=0,Q80&lt;3),"1"," "))</f>
        <v>1</v>
      </c>
      <c r="AL80" s="390" t="str">
        <f>IF(OR(R80="Х",R80="св")," ",IF(AND(S80&gt;=0,S80&lt;3),"1"," "))</f>
        <v>1</v>
      </c>
      <c r="AM80" s="390" t="str">
        <f>IF(OR(T80="Х",T80="св")," ",IF(AND(U80&gt;=0,U80&lt;3),"1"," "))</f>
        <v>1</v>
      </c>
      <c r="AN80" s="391">
        <f>COUNTIF(AF80:AM81,1)</f>
        <v>8</v>
      </c>
      <c r="AO80" s="393">
        <f>AE80-AA80</f>
        <v>80</v>
      </c>
      <c r="AP80" s="394">
        <f t="shared" si="196"/>
        <v>0</v>
      </c>
      <c r="AQ80" s="387" t="str">
        <f>COUNTIF(AE$6:AE$119,"&gt;"&amp;AE$6:AE$119)+1&amp;REPT("-"&amp;COUNTIF(AE$6:AE$119,"&gt;="&amp;AE$6:AE$119),COUNTIF(AE$6:AE$119,AE80)&gt;1)</f>
        <v>5-56</v>
      </c>
      <c r="AR80" s="395"/>
      <c r="AS80" s="183"/>
      <c r="AT80" s="183"/>
      <c r="AU80" s="183"/>
      <c r="AV80" s="386">
        <f t="shared" si="65"/>
        <v>37</v>
      </c>
      <c r="AW80" s="19"/>
      <c r="AX80" s="19"/>
      <c r="AY80" s="19"/>
      <c r="AZ80" s="19"/>
      <c r="BU80" s="377">
        <f>IF(J80="х"," ",B80)</f>
        <v>37</v>
      </c>
      <c r="BV80" s="377">
        <f>IF(L80="х"," ",B80)</f>
        <v>37</v>
      </c>
      <c r="BW80" s="377" t="str">
        <f>IF(BV80=" "," ",L80)</f>
        <v xml:space="preserve"> </v>
      </c>
      <c r="BX80" s="377" t="str">
        <f>IF(BU80=" "," ",J80)</f>
        <v xml:space="preserve"> </v>
      </c>
      <c r="BY80" s="61">
        <f>IF(BU80&lt;BX80,BU80,0)</f>
        <v>37</v>
      </c>
      <c r="BZ80" s="61">
        <f t="shared" si="84"/>
        <v>37</v>
      </c>
      <c r="CA80" s="124">
        <f t="array" aca="1" ref="CA8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0">
        <f>IF(BV80&lt;BW80,BV80,0)</f>
        <v>37</v>
      </c>
      <c r="CC80" s="125">
        <f t="shared" si="190"/>
        <v>37</v>
      </c>
      <c r="CD80" s="51">
        <f t="array" aca="1" ref="CD80" ca="1">IF(ROW()-ROW(Н4кр)+1&gt;ROWS(Е4кр)-COUNTBLANK(Е4кр)," ",INDIRECT(ADDRESS(SMALL((IF(Е4кр&lt;&gt;" ",ROW(Е4кр),ROW()+ROWS(Е4кр))),ROW()-ROW(Н4кр)+1),COLUMN(Е4кр),4)))</f>
        <v>0</v>
      </c>
      <c r="CF80" s="377">
        <f>IF(N80="х"," ",B80)</f>
        <v>37</v>
      </c>
      <c r="CG80" s="377" t="str">
        <f>IF(CF80=" "," ",N80)</f>
        <v xml:space="preserve"> </v>
      </c>
      <c r="CH80" s="125">
        <f>IF(CF80&lt;CG80,CF80,0)</f>
        <v>37</v>
      </c>
      <c r="CI80">
        <f t="shared" si="197"/>
        <v>37</v>
      </c>
      <c r="CJ80" s="51">
        <f t="array" aca="1" ref="CJ80" ca="1">IF(ROW()-ROW(Н5кр)+1&gt;ROWS(Е5кр)-COUNTBLANK(Е5кр)," ",INDIRECT(ADDRESS(SMALL((IF(Е5кр&lt;&gt;" ",ROW(Е5кр),ROW()+ROWS(Е5кр))),ROW()-ROW(Н5кр)+1),COLUMN(Е5кр),4)))</f>
        <v>0</v>
      </c>
      <c r="CL80" s="377">
        <f>IF(P80="х"," ",B80)</f>
        <v>37</v>
      </c>
      <c r="CM80" s="377" t="str">
        <f>IF(CL80=" "," ",P80)</f>
        <v xml:space="preserve"> </v>
      </c>
      <c r="CN80">
        <f>IF(CL80&lt;CM80,CL80,0)</f>
        <v>37</v>
      </c>
      <c r="CO80">
        <f t="shared" si="191"/>
        <v>37</v>
      </c>
      <c r="CP80">
        <f t="array" aca="1" ref="CP80" ca="1">IF(ROW()-ROW(Н6кр)+1&gt;ROWS(Е6кр)-COUNTBLANK(Е6кр)," ",INDIRECT(ADDRESS(SMALL((IF(Е6кр&lt;&gt;" ",ROW(Е6кр),ROW()+ROWS(Е6кр))),ROW()-ROW(Н6кр)+1),COLUMN(Е6кр),4)))</f>
        <v>0</v>
      </c>
      <c r="CR80" s="377">
        <f t="shared" ref="CR80" si="211">IF(R80="х"," ",B80)</f>
        <v>37</v>
      </c>
      <c r="CS80" s="377" t="str">
        <f t="shared" ref="CS80" si="212">IF(CR80=" "," ",R80)</f>
        <v xml:space="preserve"> </v>
      </c>
      <c r="CT80">
        <f>IF(CR80&lt;CS80,CR80,0)</f>
        <v>37</v>
      </c>
      <c r="CU80">
        <f t="shared" si="192"/>
        <v>37</v>
      </c>
      <c r="CV80">
        <f t="array" aca="1" ref="CV80" ca="1">IF(ROW()-ROW(Н7кр)+1&gt;ROWS(Е7кр)-COUNTBLANK(Е7кр)," ",INDIRECT(ADDRESS(SMALL((IF(Е7кр&lt;&gt;" ",ROW(Е7кр),ROW()+ROWS(Е7кр))),ROW()-ROW(Н7кр)+1),COLUMN(Е7кр),4)))</f>
        <v>0</v>
      </c>
    </row>
    <row r="81" spans="1:100" ht="12" hidden="1" customHeight="1" thickBot="1">
      <c r="A81" s="198"/>
      <c r="B81" s="424"/>
      <c r="C81" s="426"/>
      <c r="D81" s="428"/>
      <c r="E81" s="430"/>
      <c r="F81" s="442"/>
      <c r="G81" s="44"/>
      <c r="H81" s="439"/>
      <c r="I81" s="44"/>
      <c r="J81" s="439"/>
      <c r="K81" s="44"/>
      <c r="L81" s="439"/>
      <c r="M81" s="44"/>
      <c r="N81" s="439"/>
      <c r="O81" s="44"/>
      <c r="P81" s="439"/>
      <c r="Q81" s="44"/>
      <c r="R81" s="439"/>
      <c r="S81" s="44"/>
      <c r="T81" s="439"/>
      <c r="U81" s="47"/>
      <c r="V81" s="439"/>
      <c r="W81" s="44"/>
      <c r="X81" s="439"/>
      <c r="Y81" s="44"/>
      <c r="Z81" s="422"/>
      <c r="AA81" s="465"/>
      <c r="AB81" s="432"/>
      <c r="AC81" s="386"/>
      <c r="AD81" s="387"/>
      <c r="AE81" s="389"/>
      <c r="AF81" s="390"/>
      <c r="AG81" s="390"/>
      <c r="AH81" s="390"/>
      <c r="AI81" s="390"/>
      <c r="AJ81" s="390"/>
      <c r="AK81" s="390"/>
      <c r="AL81" s="390"/>
      <c r="AM81" s="390"/>
      <c r="AN81" s="392"/>
      <c r="AO81" s="387"/>
      <c r="AP81" s="394"/>
      <c r="AQ81" s="387"/>
      <c r="AR81" s="395"/>
      <c r="AS81" s="183"/>
      <c r="AT81" s="183"/>
      <c r="AU81" s="183"/>
      <c r="AV81" s="386"/>
      <c r="AW81" s="19"/>
      <c r="AX81" s="19"/>
      <c r="AY81" s="19"/>
      <c r="AZ81" s="19"/>
      <c r="BU81" s="377"/>
      <c r="BV81" s="377"/>
      <c r="BW81" s="377"/>
      <c r="BX81" s="377"/>
      <c r="BY81" s="61" t="str">
        <f>IF(BY80&gt;=1,BX80,0)</f>
        <v xml:space="preserve"> </v>
      </c>
      <c r="BZ81" s="61" t="str">
        <f t="shared" si="84"/>
        <v xml:space="preserve"> </v>
      </c>
      <c r="CA81" s="124">
        <f t="array" aca="1" ref="CA8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1" t="str">
        <f>IF(CB80&gt;=1,BW80,0)</f>
        <v xml:space="preserve"> </v>
      </c>
      <c r="CC81" s="125" t="str">
        <f t="shared" si="190"/>
        <v xml:space="preserve"> </v>
      </c>
      <c r="CD81" s="51">
        <f t="array" aca="1" ref="CD81" ca="1">IF(ROW()-ROW(Н4кр)+1&gt;ROWS(Е4кр)-COUNTBLANK(Е4кр)," ",INDIRECT(ADDRESS(SMALL((IF(Е4кр&lt;&gt;" ",ROW(Е4кр),ROW()+ROWS(Е4кр))),ROW()-ROW(Н4кр)+1),COLUMN(Е4кр),4)))</f>
        <v>0</v>
      </c>
      <c r="CF81" s="377"/>
      <c r="CG81" s="377"/>
      <c r="CH81" s="125" t="str">
        <f>IF(CH80&gt;=1,CG80,0)</f>
        <v xml:space="preserve"> </v>
      </c>
      <c r="CI81" t="str">
        <f t="shared" si="197"/>
        <v xml:space="preserve"> </v>
      </c>
      <c r="CJ81" s="51">
        <f t="array" aca="1" ref="CJ81" ca="1">IF(ROW()-ROW(Н5кр)+1&gt;ROWS(Е5кр)-COUNTBLANK(Е5кр)," ",INDIRECT(ADDRESS(SMALL((IF(Е5кр&lt;&gt;" ",ROW(Е5кр),ROW()+ROWS(Е5кр))),ROW()-ROW(Н5кр)+1),COLUMN(Е5кр),4)))</f>
        <v>0</v>
      </c>
      <c r="CL81" s="377"/>
      <c r="CM81" s="377"/>
      <c r="CN81" t="str">
        <f>IF(CN80&gt;=1,CM80,0)</f>
        <v xml:space="preserve"> </v>
      </c>
      <c r="CO81" t="str">
        <f t="shared" si="191"/>
        <v xml:space="preserve"> </v>
      </c>
      <c r="CP81">
        <f t="array" aca="1" ref="CP81" ca="1">IF(ROW()-ROW(Н6кр)+1&gt;ROWS(Е6кр)-COUNTBLANK(Е6кр)," ",INDIRECT(ADDRESS(SMALL((IF(Е6кр&lt;&gt;" ",ROW(Е6кр),ROW()+ROWS(Е6кр))),ROW()-ROW(Н6кр)+1),COLUMN(Е6кр),4)))</f>
        <v>0</v>
      </c>
      <c r="CR81" s="377"/>
      <c r="CS81" s="377"/>
      <c r="CT81" t="str">
        <f>IF(CT80&gt;=1,CS80,0)</f>
        <v xml:space="preserve"> </v>
      </c>
      <c r="CU81" t="str">
        <f t="shared" si="192"/>
        <v xml:space="preserve"> </v>
      </c>
      <c r="CV81">
        <f t="array" aca="1" ref="CV81" ca="1">IF(ROW()-ROW(Н7кр)+1&gt;ROWS(Е7кр)-COUNTBLANK(Е7кр)," ",INDIRECT(ADDRESS(SMALL((IF(Е7кр&lt;&gt;" ",ROW(Е7кр),ROW()+ROWS(Е7кр))),ROW()-ROW(Н7кр)+1),COLUMN(Е7кр),4)))</f>
        <v>0</v>
      </c>
    </row>
    <row r="82" spans="1:100" ht="12" hidden="1" customHeight="1" thickTop="1">
      <c r="A82" s="198"/>
      <c r="B82" s="423">
        <v>38</v>
      </c>
      <c r="C82" s="425" t="e">
        <f>(VLOOKUP(B82,пр.взв!$B$7:$H$76,2,0))</f>
        <v>#N/A</v>
      </c>
      <c r="D82" s="427" t="e">
        <f>(VLOOKUP(B82,пр.взв!$B$7:$H$76,3,0))</f>
        <v>#N/A</v>
      </c>
      <c r="E82" s="429" t="e">
        <f>(VLOOKUP(B82,пр.взв!$B$7:$H$76,5,0))</f>
        <v>#N/A</v>
      </c>
      <c r="F82" s="443">
        <f t="shared" ref="F82" si="213">IF(ISERROR(C82),0,B80)</f>
        <v>0</v>
      </c>
      <c r="G82" s="42"/>
      <c r="H82" s="440"/>
      <c r="I82" s="42"/>
      <c r="J82" s="444" t="str">
        <f>IF(H82="Х","Х",IF(I82+G82&lt;6," ",IF(I82+G82&gt;=6,IF(AA82&gt;=6,"Х",IF(AA82&lt;6," "," ")))))</f>
        <v xml:space="preserve"> </v>
      </c>
      <c r="K82" s="41"/>
      <c r="L82" s="438" t="str">
        <f>IF(J82="Х","Х",IF(K82&lt;2.5," ",IF(K82&gt;=2.5,IF(G82+I82+K82&gt;=6,"Х",IF(AA82&lt;6," "," ")))))</f>
        <v xml:space="preserve"> </v>
      </c>
      <c r="M82" s="41"/>
      <c r="N82" s="438" t="str">
        <f>IF(L82="Х","Х",IF(M82&lt;2.5," ",IF(M82&gt;=2.5,IF(G82+I82+K82+M82&gt;=6,"Х",IF(AA82&lt;6," "," ")))))</f>
        <v xml:space="preserve"> </v>
      </c>
      <c r="O82" s="41"/>
      <c r="P82" s="438" t="str">
        <f>IF(N82="Х","Х",IF(O82&lt;2.5," ",IF(O82&gt;=2.5,IF(G82+I82+K82+M82+O82&gt;=6,"Х",IF(AA82&lt;6," "," ")))))</f>
        <v xml:space="preserve"> </v>
      </c>
      <c r="Q82" s="41"/>
      <c r="R82" s="438" t="str">
        <f>IF(P82="Х","Х",IF(Q82&lt;2.5," ",IF(Q82&gt;=2.5,IF(G82+I82+K82+M82+O82+Q82&gt;=6,"Х",IF(AA82&lt;6," "," ")))))</f>
        <v xml:space="preserve"> </v>
      </c>
      <c r="S82" s="41"/>
      <c r="T82" s="438" t="str">
        <f>IF(R82="Х","Х",IF(S82&lt;2.5," ",IF(S82&gt;=2.5,IF(G82+I82+K82+M82+O82+Q82+S82&gt;=6,"Х",IF(AA82&lt;6," "," ")))))</f>
        <v xml:space="preserve"> </v>
      </c>
      <c r="U82" s="45"/>
      <c r="V82" s="438" t="str">
        <f>IF(T82="А1",$AX$7,IF(T82="Б2",$AX$6,IF(T82="Б1",$AY$7,IF(T82="А2",$AY$6,IF(T82="Х","Х",IF(T82&lt;6," "," "))))))</f>
        <v xml:space="preserve"> </v>
      </c>
      <c r="W82" s="41"/>
      <c r="X82" s="438" t="str">
        <f t="shared" ref="X82" si="214">IF(T82="Х","Х",IF(ISBLANK(W82),"",IF(W82&gt;2.5," ",IF(B82=AZ$6,AZ$7,AZ$6))))</f>
        <v/>
      </c>
      <c r="Y82" s="42"/>
      <c r="Z82" s="466" t="b">
        <f>IF(H82="Х","1",IF(J82="Х","2",IF(L82="Х","3",IF(N82="Х","4",IF(P82="Х","5",IF(R82="Х","6",IF(T82="Х","7",IF(V82="Х","8"))))))))</f>
        <v>0</v>
      </c>
      <c r="AA82" s="464">
        <f>SUM(G82+I82+K82+M82+O82+Q82+S82+U82+W82+Y82)</f>
        <v>0</v>
      </c>
      <c r="AB82" s="431">
        <f t="shared" ref="AB82" si="215">AD82+0</f>
        <v>20576</v>
      </c>
      <c r="AC82" s="386">
        <f>AB82</f>
        <v>20576</v>
      </c>
      <c r="AD82" s="387" t="str">
        <f>COUNTIF(AE$6:AE$119,"&gt;"&amp;AE$6:AE$119)+1&amp;REPT("-"&amp;COUNTIF(AE$6:AE$119,"&gt;="&amp;AE$6:AE$119),COUNTIF(AE$6:AE$119,AE82)&gt;1)</f>
        <v>5-56</v>
      </c>
      <c r="AE82" s="388">
        <f t="shared" si="45"/>
        <v>80</v>
      </c>
      <c r="AF82" s="390" t="str">
        <f>IF(OR(F82="Х",F82="св")," ",IF(AND(G82&gt;=0,G82&lt;3),"1"," "))</f>
        <v>1</v>
      </c>
      <c r="AG82" s="390" t="str">
        <f>IF(OR(H82="Х",H82="св")," ",IF(AND(I82&gt;=0,I82&lt;3),"1"," "))</f>
        <v>1</v>
      </c>
      <c r="AH82" s="390" t="str">
        <f>IF(OR(J82="Х",J82="св")," ",IF(AND(K82&gt;=0,K82&lt;3),"1"," "))</f>
        <v>1</v>
      </c>
      <c r="AI82" s="390" t="str">
        <f>IF(OR(L82="Х",L82="св")," ",IF(AND(M82&gt;=0,M82&lt;3),"1"," "))</f>
        <v>1</v>
      </c>
      <c r="AJ82" s="390" t="str">
        <f>IF(OR(N82="Х",N82="св")," ",IF(AND(O82&gt;=0,O82&lt;3),"1"," "))</f>
        <v>1</v>
      </c>
      <c r="AK82" s="390" t="str">
        <f>IF(OR(P82="Х",P82="св")," ",IF(AND(Q82&gt;=0,Q82&lt;3),"1"," "))</f>
        <v>1</v>
      </c>
      <c r="AL82" s="390" t="str">
        <f>IF(OR(R82="Х",R82="св")," ",IF(AND(S82&gt;=0,S82&lt;3),"1"," "))</f>
        <v>1</v>
      </c>
      <c r="AM82" s="390" t="str">
        <f>IF(OR(T82="Х",T82="св")," ",IF(AND(U82&gt;=0,U82&lt;3),"1"," "))</f>
        <v>1</v>
      </c>
      <c r="AN82" s="391">
        <f>COUNTIF(AF82:AM83,1)</f>
        <v>8</v>
      </c>
      <c r="AO82" s="393">
        <f>AE82-AA82</f>
        <v>80</v>
      </c>
      <c r="AP82" s="394">
        <f t="shared" si="196"/>
        <v>0</v>
      </c>
      <c r="AQ82" s="387" t="str">
        <f>COUNTIF(AE$6:AE$119,"&gt;"&amp;AE$6:AE$119)+1&amp;REPT("-"&amp;COUNTIF(AE$6:AE$119,"&gt;="&amp;AE$6:AE$119),COUNTIF(AE$6:AE$119,AE82)&gt;1)</f>
        <v>5-56</v>
      </c>
      <c r="AR82" s="395"/>
      <c r="AS82" s="183"/>
      <c r="AT82" s="183"/>
      <c r="AU82" s="183"/>
      <c r="AV82" s="386">
        <f t="shared" si="65"/>
        <v>38</v>
      </c>
      <c r="AW82" s="19"/>
      <c r="AX82" s="19"/>
      <c r="AY82" s="19"/>
      <c r="AZ82" s="19"/>
      <c r="BU82" s="377">
        <f>IF(J82="х"," ",B82)</f>
        <v>38</v>
      </c>
      <c r="BV82" s="377">
        <f>IF(L82="х"," ",B82)</f>
        <v>38</v>
      </c>
      <c r="BW82" s="377" t="str">
        <f>IF(BV82=" "," ",L82)</f>
        <v xml:space="preserve"> </v>
      </c>
      <c r="BX82" s="377" t="str">
        <f>IF(BU82=" "," ",J82)</f>
        <v xml:space="preserve"> </v>
      </c>
      <c r="BY82" s="61">
        <f>IF(BU82&lt;BX82,BU82,0)</f>
        <v>38</v>
      </c>
      <c r="BZ82" s="61">
        <f t="shared" si="84"/>
        <v>38</v>
      </c>
      <c r="CA82" s="124">
        <f t="array" aca="1" ref="CA8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2">
        <f>IF(BV82&lt;BW82,BV82,0)</f>
        <v>38</v>
      </c>
      <c r="CC82" s="125">
        <f t="shared" si="190"/>
        <v>38</v>
      </c>
      <c r="CD82" s="51">
        <f t="array" aca="1" ref="CD82" ca="1">IF(ROW()-ROW(Н4кр)+1&gt;ROWS(Е4кр)-COUNTBLANK(Е4кр)," ",INDIRECT(ADDRESS(SMALL((IF(Е4кр&lt;&gt;" ",ROW(Е4кр),ROW()+ROWS(Е4кр))),ROW()-ROW(Н4кр)+1),COLUMN(Е4кр),4)))</f>
        <v>0</v>
      </c>
      <c r="CF82" s="377">
        <f>IF(N82="х"," ",B82)</f>
        <v>38</v>
      </c>
      <c r="CG82" s="377" t="str">
        <f>IF(CF82=" "," ",N82)</f>
        <v xml:space="preserve"> </v>
      </c>
      <c r="CH82" s="125">
        <f>IF(CF82&lt;CG82,CF82,0)</f>
        <v>38</v>
      </c>
      <c r="CI82">
        <f t="shared" si="197"/>
        <v>38</v>
      </c>
      <c r="CJ82" s="51">
        <f t="array" aca="1" ref="CJ82" ca="1">IF(ROW()-ROW(Н5кр)+1&gt;ROWS(Е5кр)-COUNTBLANK(Е5кр)," ",INDIRECT(ADDRESS(SMALL((IF(Е5кр&lt;&gt;" ",ROW(Е5кр),ROW()+ROWS(Е5кр))),ROW()-ROW(Н5кр)+1),COLUMN(Е5кр),4)))</f>
        <v>0</v>
      </c>
      <c r="CL82" s="377">
        <f>IF(P82="х"," ",B82)</f>
        <v>38</v>
      </c>
      <c r="CM82" s="377" t="str">
        <f>IF(CL82=" "," ",P82)</f>
        <v xml:space="preserve"> </v>
      </c>
      <c r="CN82">
        <f>IF(CL82&lt;CM82,CL82,0)</f>
        <v>38</v>
      </c>
      <c r="CO82">
        <f t="shared" si="191"/>
        <v>38</v>
      </c>
      <c r="CP82">
        <f t="array" aca="1" ref="CP82" ca="1">IF(ROW()-ROW(Н6кр)+1&gt;ROWS(Е6кр)-COUNTBLANK(Е6кр)," ",INDIRECT(ADDRESS(SMALL((IF(Е6кр&lt;&gt;" ",ROW(Е6кр),ROW()+ROWS(Е6кр))),ROW()-ROW(Н6кр)+1),COLUMN(Е6кр),4)))</f>
        <v>0</v>
      </c>
      <c r="CR82" s="377">
        <f t="shared" ref="CR82" si="216">IF(R82="х"," ",B82)</f>
        <v>38</v>
      </c>
      <c r="CS82" s="377" t="str">
        <f t="shared" ref="CS82" si="217">IF(CR82=" "," ",R82)</f>
        <v xml:space="preserve"> </v>
      </c>
      <c r="CT82">
        <f>IF(CR82&lt;CS82,CR82,0)</f>
        <v>38</v>
      </c>
      <c r="CU82">
        <f t="shared" si="192"/>
        <v>38</v>
      </c>
      <c r="CV82">
        <f t="array" aca="1" ref="CV82" ca="1">IF(ROW()-ROW(Н7кр)+1&gt;ROWS(Е7кр)-COUNTBLANK(Е7кр)," ",INDIRECT(ADDRESS(SMALL((IF(Е7кр&lt;&gt;" ",ROW(Е7кр),ROW()+ROWS(Е7кр))),ROW()-ROW(Н7кр)+1),COLUMN(Е7кр),4)))</f>
        <v>0</v>
      </c>
    </row>
    <row r="83" spans="1:100" ht="12" hidden="1" customHeight="1" thickBot="1">
      <c r="A83" s="198"/>
      <c r="B83" s="424"/>
      <c r="C83" s="426"/>
      <c r="D83" s="428"/>
      <c r="E83" s="430"/>
      <c r="F83" s="442"/>
      <c r="G83" s="44"/>
      <c r="H83" s="439"/>
      <c r="I83" s="44"/>
      <c r="J83" s="439"/>
      <c r="K83" s="44"/>
      <c r="L83" s="439"/>
      <c r="M83" s="44"/>
      <c r="N83" s="439"/>
      <c r="O83" s="44"/>
      <c r="P83" s="439"/>
      <c r="Q83" s="44"/>
      <c r="R83" s="439"/>
      <c r="S83" s="44"/>
      <c r="T83" s="439"/>
      <c r="U83" s="47"/>
      <c r="V83" s="439"/>
      <c r="W83" s="44"/>
      <c r="X83" s="439"/>
      <c r="Y83" s="44"/>
      <c r="Z83" s="422"/>
      <c r="AA83" s="465"/>
      <c r="AB83" s="432"/>
      <c r="AC83" s="386"/>
      <c r="AD83" s="387"/>
      <c r="AE83" s="389"/>
      <c r="AF83" s="390"/>
      <c r="AG83" s="390"/>
      <c r="AH83" s="390"/>
      <c r="AI83" s="390"/>
      <c r="AJ83" s="390"/>
      <c r="AK83" s="390"/>
      <c r="AL83" s="390"/>
      <c r="AM83" s="390"/>
      <c r="AN83" s="392"/>
      <c r="AO83" s="387"/>
      <c r="AP83" s="394"/>
      <c r="AQ83" s="387"/>
      <c r="AR83" s="395"/>
      <c r="AS83" s="183"/>
      <c r="AT83" s="183"/>
      <c r="AU83" s="183"/>
      <c r="AV83" s="386"/>
      <c r="AW83" s="19"/>
      <c r="AX83" s="19"/>
      <c r="AY83" s="19"/>
      <c r="AZ83" s="19"/>
      <c r="BU83" s="377"/>
      <c r="BV83" s="377"/>
      <c r="BW83" s="377"/>
      <c r="BX83" s="377"/>
      <c r="BY83" s="61" t="str">
        <f>IF(BY82&gt;=1,BX82,0)</f>
        <v xml:space="preserve"> </v>
      </c>
      <c r="BZ83" s="61" t="str">
        <f t="shared" si="84"/>
        <v xml:space="preserve"> </v>
      </c>
      <c r="CA83" s="124">
        <f t="array" aca="1" ref="CA8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3" t="str">
        <f>IF(CB82&gt;=1,BW82,0)</f>
        <v xml:space="preserve"> </v>
      </c>
      <c r="CC83" s="125" t="str">
        <f t="shared" si="190"/>
        <v xml:space="preserve"> </v>
      </c>
      <c r="CD83" s="51">
        <f t="array" aca="1" ref="CD83" ca="1">IF(ROW()-ROW(Н4кр)+1&gt;ROWS(Е4кр)-COUNTBLANK(Е4кр)," ",INDIRECT(ADDRESS(SMALL((IF(Е4кр&lt;&gt;" ",ROW(Е4кр),ROW()+ROWS(Е4кр))),ROW()-ROW(Н4кр)+1),COLUMN(Е4кр),4)))</f>
        <v>0</v>
      </c>
      <c r="CF83" s="377"/>
      <c r="CG83" s="377"/>
      <c r="CH83" s="125" t="str">
        <f>IF(CH82&gt;=1,CG82,0)</f>
        <v xml:space="preserve"> </v>
      </c>
      <c r="CI83" t="str">
        <f t="shared" si="197"/>
        <v xml:space="preserve"> </v>
      </c>
      <c r="CJ83" s="51">
        <f t="array" aca="1" ref="CJ83" ca="1">IF(ROW()-ROW(Н5кр)+1&gt;ROWS(Е5кр)-COUNTBLANK(Е5кр)," ",INDIRECT(ADDRESS(SMALL((IF(Е5кр&lt;&gt;" ",ROW(Е5кр),ROW()+ROWS(Е5кр))),ROW()-ROW(Н5кр)+1),COLUMN(Е5кр),4)))</f>
        <v>0</v>
      </c>
      <c r="CL83" s="377"/>
      <c r="CM83" s="377"/>
      <c r="CN83" t="str">
        <f>IF(CN82&gt;=1,CM82,0)</f>
        <v xml:space="preserve"> </v>
      </c>
      <c r="CO83" t="str">
        <f t="shared" si="191"/>
        <v xml:space="preserve"> </v>
      </c>
      <c r="CP83">
        <f t="array" aca="1" ref="CP83" ca="1">IF(ROW()-ROW(Н6кр)+1&gt;ROWS(Е6кр)-COUNTBLANK(Е6кр)," ",INDIRECT(ADDRESS(SMALL((IF(Е6кр&lt;&gt;" ",ROW(Е6кр),ROW()+ROWS(Е6кр))),ROW()-ROW(Н6кр)+1),COLUMN(Е6кр),4)))</f>
        <v>0</v>
      </c>
      <c r="CR83" s="377"/>
      <c r="CS83" s="377"/>
      <c r="CT83" t="str">
        <f>IF(CT82&gt;=1,CS82,0)</f>
        <v xml:space="preserve"> </v>
      </c>
      <c r="CU83" t="str">
        <f t="shared" si="192"/>
        <v xml:space="preserve"> </v>
      </c>
      <c r="CV83">
        <f t="array" aca="1" ref="CV83" ca="1">IF(ROW()-ROW(Н7кр)+1&gt;ROWS(Е7кр)-COUNTBLANK(Е7кр)," ",INDIRECT(ADDRESS(SMALL((IF(Е7кр&lt;&gt;" ",ROW(Е7кр),ROW()+ROWS(Е7кр))),ROW()-ROW(Н7кр)+1),COLUMN(Е7кр),4)))</f>
        <v>0</v>
      </c>
    </row>
    <row r="84" spans="1:100" ht="12" hidden="1" customHeight="1" thickTop="1">
      <c r="A84" s="198"/>
      <c r="B84" s="423">
        <v>39</v>
      </c>
      <c r="C84" s="425" t="e">
        <f>(VLOOKUP(B84,пр.взв!$B$7:$H$76,2,0))</f>
        <v>#N/A</v>
      </c>
      <c r="D84" s="427" t="e">
        <f>(VLOOKUP(B84,пр.взв!$B$7:$H$76,3,0))</f>
        <v>#N/A</v>
      </c>
      <c r="E84" s="429" t="e">
        <f>(VLOOKUP(B84,пр.взв!$B$7:$H$76,5,0))</f>
        <v>#N/A</v>
      </c>
      <c r="F84" s="445">
        <f t="shared" ref="F84:F116" si="218">IF(ISERROR(C84),0,B86)</f>
        <v>0</v>
      </c>
      <c r="G84" s="42"/>
      <c r="H84" s="440"/>
      <c r="I84" s="42"/>
      <c r="J84" s="444" t="str">
        <f>IF(H84="Х","Х",IF(I84+G84&lt;6," ",IF(I84+G84&gt;=6,IF(AA84&gt;=6,"Х",IF(AA84&lt;6," "," ")))))</f>
        <v xml:space="preserve"> </v>
      </c>
      <c r="K84" s="41"/>
      <c r="L84" s="438" t="str">
        <f>IF(J84="Х","Х",IF(K84&lt;2.5," ",IF(K84&gt;=2.5,IF(G84+I84+K84&gt;=6,"Х",IF(AA84&lt;6," "," ")))))</f>
        <v xml:space="preserve"> </v>
      </c>
      <c r="M84" s="41"/>
      <c r="N84" s="438" t="str">
        <f>IF(L84="Х","Х",IF(M84&lt;2.5," ",IF(M84&gt;=2.5,IF(G84+I84+K84+M84&gt;=6,"Х",IF(AA84&lt;6," "," ")))))</f>
        <v xml:space="preserve"> </v>
      </c>
      <c r="O84" s="41"/>
      <c r="P84" s="438" t="str">
        <f>IF(N84="Х","Х",IF(O84&lt;2.5," ",IF(O84&gt;=2.5,IF(G84+I84+K84+M84+O84&gt;=6,"Х",IF(AA84&lt;6," "," ")))))</f>
        <v xml:space="preserve"> </v>
      </c>
      <c r="Q84" s="41"/>
      <c r="R84" s="438" t="str">
        <f>IF(P84="Х","Х",IF(Q84&lt;2.5," ",IF(Q84&gt;=2.5,IF(G84+I84+K84+M84+O84+Q84&gt;=6,"Х",IF(AA84&lt;6," "," ")))))</f>
        <v xml:space="preserve"> </v>
      </c>
      <c r="S84" s="41"/>
      <c r="T84" s="438" t="str">
        <f>IF(R84="Х","Х",IF(S84&lt;2.5," ",IF(S84&gt;=2.5,IF(G84+I84+K84+M84+O84+Q84+S84&gt;=6,"Х",IF(AA84&lt;6," "," ")))))</f>
        <v xml:space="preserve"> </v>
      </c>
      <c r="U84" s="45"/>
      <c r="V84" s="438" t="str">
        <f>IF(T84="А1",$AX$7,IF(T84="Б2",$AX$6,IF(T84="Б1",$AY$7,IF(T84="А2",$AY$6,IF(T84="Х","Х",IF(T84&lt;6," "," "))))))</f>
        <v xml:space="preserve"> </v>
      </c>
      <c r="W84" s="41"/>
      <c r="X84" s="438" t="str">
        <f t="shared" ref="X84" si="219">IF(T84="Х","Х",IF(ISBLANK(W84),"",IF(W84&gt;2.5," ",IF(B84=AZ$6,AZ$7,AZ$6))))</f>
        <v/>
      </c>
      <c r="Y84" s="42"/>
      <c r="Z84" s="466" t="b">
        <f>IF(H84="Х","1",IF(J84="Х","2",IF(L84="Х","3",IF(N84="Х","4",IF(P84="Х","5",IF(R84="Х","6",IF(T84="Х","7",IF(V84="Х","8"))))))))</f>
        <v>0</v>
      </c>
      <c r="AA84" s="464">
        <f>SUM(G84+I84+K84+M84+O84+Q84+S84+U84+W84+Y84)</f>
        <v>0</v>
      </c>
      <c r="AB84" s="431">
        <f t="shared" ref="AB84" si="220">AD84+0</f>
        <v>20576</v>
      </c>
      <c r="AC84" s="386">
        <f>AB84</f>
        <v>20576</v>
      </c>
      <c r="AD84" s="387" t="str">
        <f>COUNTIF(AE$6:AE$119,"&gt;"&amp;AE$6:AE$119)+1&amp;REPT("-"&amp;COUNTIF(AE$6:AE$119,"&gt;="&amp;AE$6:AE$119),COUNTIF(AE$6:AE$119,AE84)&gt;1)</f>
        <v>5-56</v>
      </c>
      <c r="AE84" s="388">
        <f t="shared" ref="AE84:AE118" si="221">(AP84*100)+(AN84*10)-AA84</f>
        <v>80</v>
      </c>
      <c r="AF84" s="390" t="str">
        <f>IF(OR(F84="Х",F84="св")," ",IF(AND(G84&gt;=0,G84&lt;3),"1"," "))</f>
        <v>1</v>
      </c>
      <c r="AG84" s="390" t="str">
        <f>IF(OR(H84="Х",H84="св")," ",IF(AND(I84&gt;=0,I84&lt;3),"1"," "))</f>
        <v>1</v>
      </c>
      <c r="AH84" s="390" t="str">
        <f>IF(OR(J84="Х",J84="св")," ",IF(AND(K84&gt;=0,K84&lt;3),"1"," "))</f>
        <v>1</v>
      </c>
      <c r="AI84" s="390" t="str">
        <f>IF(OR(L84="Х",L84="св")," ",IF(AND(M84&gt;=0,M84&lt;3),"1"," "))</f>
        <v>1</v>
      </c>
      <c r="AJ84" s="390" t="str">
        <f>IF(OR(N84="Х",N84="св")," ",IF(AND(O84&gt;=0,O84&lt;3),"1"," "))</f>
        <v>1</v>
      </c>
      <c r="AK84" s="390" t="str">
        <f>IF(OR(P84="Х",P84="св")," ",IF(AND(Q84&gt;=0,Q84&lt;3),"1"," "))</f>
        <v>1</v>
      </c>
      <c r="AL84" s="390" t="str">
        <f>IF(OR(R84="Х",R84="св")," ",IF(AND(S84&gt;=0,S84&lt;3),"1"," "))</f>
        <v>1</v>
      </c>
      <c r="AM84" s="390" t="str">
        <f>IF(OR(T84="Х",T84="св")," ",IF(AND(U84&gt;=0,U84&lt;3),"1"," "))</f>
        <v>1</v>
      </c>
      <c r="AN84" s="391">
        <f>COUNTIF(AF84:AM85,1)</f>
        <v>8</v>
      </c>
      <c r="AO84" s="393">
        <f>AE84-AA84</f>
        <v>80</v>
      </c>
      <c r="AP84" s="394">
        <f t="shared" si="196"/>
        <v>0</v>
      </c>
      <c r="AQ84" s="387" t="str">
        <f>COUNTIF(AE$6:AE$119,"&gt;"&amp;AE$6:AE$119)+1&amp;REPT("-"&amp;COUNTIF(AE$6:AE$119,"&gt;="&amp;AE$6:AE$119),COUNTIF(AE$6:AE$119,AE84)&gt;1)</f>
        <v>5-56</v>
      </c>
      <c r="AR84" s="395"/>
      <c r="AS84" s="183"/>
      <c r="AT84" s="183"/>
      <c r="AU84" s="183"/>
      <c r="AV84" s="386">
        <f t="shared" si="65"/>
        <v>39</v>
      </c>
      <c r="AW84" s="19"/>
      <c r="AX84" s="19"/>
      <c r="AY84" s="19"/>
      <c r="AZ84" s="19"/>
      <c r="BU84" s="377">
        <f>IF(J84="х"," ",B84)</f>
        <v>39</v>
      </c>
      <c r="BV84" s="377">
        <f>IF(L84="х"," ",B84)</f>
        <v>39</v>
      </c>
      <c r="BW84" s="377" t="str">
        <f>IF(BV84=" "," ",L84)</f>
        <v xml:space="preserve"> </v>
      </c>
      <c r="BX84" s="377" t="str">
        <f>IF(BU84=" "," ",J84)</f>
        <v xml:space="preserve"> </v>
      </c>
      <c r="BY84" s="61">
        <f>IF(BU84&lt;BX84,BU84,0)</f>
        <v>39</v>
      </c>
      <c r="BZ84" s="61">
        <f t="shared" si="84"/>
        <v>39</v>
      </c>
      <c r="CA84" s="124">
        <f t="array" aca="1" ref="CA8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4">
        <f>IF(BV84&lt;BW84,BV84,0)</f>
        <v>39</v>
      </c>
      <c r="CC84" s="125">
        <f t="shared" si="190"/>
        <v>39</v>
      </c>
      <c r="CD84" s="51">
        <f t="array" aca="1" ref="CD84" ca="1">IF(ROW()-ROW(Н4кр)+1&gt;ROWS(Е4кр)-COUNTBLANK(Е4кр)," ",INDIRECT(ADDRESS(SMALL((IF(Е4кр&lt;&gt;" ",ROW(Е4кр),ROW()+ROWS(Е4кр))),ROW()-ROW(Н4кр)+1),COLUMN(Е4кр),4)))</f>
        <v>0</v>
      </c>
      <c r="CF84" s="377">
        <f>IF(N84="х"," ",B84)</f>
        <v>39</v>
      </c>
      <c r="CG84" s="377" t="str">
        <f>IF(CF84=" "," ",N84)</f>
        <v xml:space="preserve"> </v>
      </c>
      <c r="CH84" s="125">
        <f>IF(CF84&lt;CG84,CF84,0)</f>
        <v>39</v>
      </c>
      <c r="CI84">
        <f t="shared" si="197"/>
        <v>39</v>
      </c>
      <c r="CJ84" s="51">
        <f t="array" aca="1" ref="CJ84" ca="1">IF(ROW()-ROW(Н5кр)+1&gt;ROWS(Е5кр)-COUNTBLANK(Е5кр)," ",INDIRECT(ADDRESS(SMALL((IF(Е5кр&lt;&gt;" ",ROW(Е5кр),ROW()+ROWS(Е5кр))),ROW()-ROW(Н5кр)+1),COLUMN(Е5кр),4)))</f>
        <v>0</v>
      </c>
      <c r="CL84" s="377">
        <f>IF(P84="х"," ",B84)</f>
        <v>39</v>
      </c>
      <c r="CM84" s="377" t="str">
        <f>IF(CL84=" "," ",P84)</f>
        <v xml:space="preserve"> </v>
      </c>
      <c r="CN84">
        <f>IF(CL84&lt;CM84,CL84,0)</f>
        <v>39</v>
      </c>
      <c r="CO84">
        <f t="shared" si="191"/>
        <v>39</v>
      </c>
      <c r="CP84">
        <f t="array" aca="1" ref="CP84" ca="1">IF(ROW()-ROW(Н6кр)+1&gt;ROWS(Е6кр)-COUNTBLANK(Е6кр)," ",INDIRECT(ADDRESS(SMALL((IF(Е6кр&lt;&gt;" ",ROW(Е6кр),ROW()+ROWS(Е6кр))),ROW()-ROW(Н6кр)+1),COLUMN(Е6кр),4)))</f>
        <v>0</v>
      </c>
      <c r="CR84" s="377">
        <f t="shared" ref="CR84" si="222">IF(R84="х"," ",B84)</f>
        <v>39</v>
      </c>
      <c r="CS84" s="377" t="str">
        <f t="shared" ref="CS84" si="223">IF(CR84=" "," ",R84)</f>
        <v xml:space="preserve"> </v>
      </c>
      <c r="CT84">
        <f>IF(CR84&lt;CS84,CR84,0)</f>
        <v>39</v>
      </c>
      <c r="CU84">
        <f t="shared" si="192"/>
        <v>39</v>
      </c>
      <c r="CV84">
        <f t="array" aca="1" ref="CV84" ca="1">IF(ROW()-ROW(Н7кр)+1&gt;ROWS(Е7кр)-COUNTBLANK(Е7кр)," ",INDIRECT(ADDRESS(SMALL((IF(Е7кр&lt;&gt;" ",ROW(Е7кр),ROW()+ROWS(Е7кр))),ROW()-ROW(Н7кр)+1),COLUMN(Е7кр),4)))</f>
        <v>0</v>
      </c>
    </row>
    <row r="85" spans="1:100" ht="12" hidden="1" customHeight="1" thickBot="1">
      <c r="A85" s="198"/>
      <c r="B85" s="424"/>
      <c r="C85" s="426"/>
      <c r="D85" s="428"/>
      <c r="E85" s="430"/>
      <c r="F85" s="442"/>
      <c r="G85" s="44"/>
      <c r="H85" s="439"/>
      <c r="I85" s="44"/>
      <c r="J85" s="439"/>
      <c r="K85" s="44"/>
      <c r="L85" s="439"/>
      <c r="M85" s="44"/>
      <c r="N85" s="439"/>
      <c r="O85" s="44"/>
      <c r="P85" s="439"/>
      <c r="Q85" s="44"/>
      <c r="R85" s="439"/>
      <c r="S85" s="44"/>
      <c r="T85" s="439"/>
      <c r="U85" s="47"/>
      <c r="V85" s="439"/>
      <c r="W85" s="44"/>
      <c r="X85" s="439"/>
      <c r="Y85" s="44"/>
      <c r="Z85" s="422"/>
      <c r="AA85" s="465"/>
      <c r="AB85" s="432"/>
      <c r="AC85" s="386"/>
      <c r="AD85" s="387"/>
      <c r="AE85" s="389"/>
      <c r="AF85" s="390"/>
      <c r="AG85" s="390"/>
      <c r="AH85" s="390"/>
      <c r="AI85" s="390"/>
      <c r="AJ85" s="390"/>
      <c r="AK85" s="390"/>
      <c r="AL85" s="390"/>
      <c r="AM85" s="390"/>
      <c r="AN85" s="392"/>
      <c r="AO85" s="387"/>
      <c r="AP85" s="394"/>
      <c r="AQ85" s="387"/>
      <c r="AR85" s="395"/>
      <c r="AS85" s="183"/>
      <c r="AT85" s="183"/>
      <c r="AU85" s="183"/>
      <c r="AV85" s="386"/>
      <c r="AW85" s="19"/>
      <c r="AX85" s="19"/>
      <c r="AY85" s="19"/>
      <c r="AZ85" s="19"/>
      <c r="BU85" s="377"/>
      <c r="BV85" s="377"/>
      <c r="BW85" s="377"/>
      <c r="BX85" s="377"/>
      <c r="BY85" s="61" t="str">
        <f>IF(BY84&gt;=1,BX84,0)</f>
        <v xml:space="preserve"> </v>
      </c>
      <c r="BZ85" s="61" t="str">
        <f t="shared" si="84"/>
        <v xml:space="preserve"> </v>
      </c>
      <c r="CA85" s="124">
        <f t="array" aca="1" ref="CA8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5" t="str">
        <f>IF(CB84&gt;=1,BW84,0)</f>
        <v xml:space="preserve"> </v>
      </c>
      <c r="CC85" s="125" t="str">
        <f t="shared" si="190"/>
        <v xml:space="preserve"> </v>
      </c>
      <c r="CD85" s="51">
        <f t="array" aca="1" ref="CD85" ca="1">IF(ROW()-ROW(Н4кр)+1&gt;ROWS(Е4кр)-COUNTBLANK(Е4кр)," ",INDIRECT(ADDRESS(SMALL((IF(Е4кр&lt;&gt;" ",ROW(Е4кр),ROW()+ROWS(Е4кр))),ROW()-ROW(Н4кр)+1),COLUMN(Е4кр),4)))</f>
        <v>0</v>
      </c>
      <c r="CF85" s="377"/>
      <c r="CG85" s="377"/>
      <c r="CH85" s="125" t="str">
        <f>IF(CH84&gt;=1,CG84,0)</f>
        <v xml:space="preserve"> </v>
      </c>
      <c r="CI85" t="str">
        <f t="shared" si="197"/>
        <v xml:space="preserve"> </v>
      </c>
      <c r="CJ85" s="51">
        <f t="array" aca="1" ref="CJ85" ca="1">IF(ROW()-ROW(Н5кр)+1&gt;ROWS(Е5кр)-COUNTBLANK(Е5кр)," ",INDIRECT(ADDRESS(SMALL((IF(Е5кр&lt;&gt;" ",ROW(Е5кр),ROW()+ROWS(Е5кр))),ROW()-ROW(Н5кр)+1),COLUMN(Е5кр),4)))</f>
        <v>0</v>
      </c>
      <c r="CL85" s="377"/>
      <c r="CM85" s="377"/>
      <c r="CN85" t="str">
        <f>IF(CN84&gt;=1,CM84,0)</f>
        <v xml:space="preserve"> </v>
      </c>
      <c r="CO85" t="str">
        <f t="shared" si="191"/>
        <v xml:space="preserve"> </v>
      </c>
      <c r="CP85">
        <f t="array" aca="1" ref="CP85" ca="1">IF(ROW()-ROW(Н6кр)+1&gt;ROWS(Е6кр)-COUNTBLANK(Е6кр)," ",INDIRECT(ADDRESS(SMALL((IF(Е6кр&lt;&gt;" ",ROW(Е6кр),ROW()+ROWS(Е6кр))),ROW()-ROW(Н6кр)+1),COLUMN(Е6кр),4)))</f>
        <v>0</v>
      </c>
      <c r="CR85" s="377"/>
      <c r="CS85" s="377"/>
      <c r="CT85" t="str">
        <f>IF(CT84&gt;=1,CS84,0)</f>
        <v xml:space="preserve"> </v>
      </c>
      <c r="CU85" t="str">
        <f t="shared" si="192"/>
        <v xml:space="preserve"> </v>
      </c>
      <c r="CV85">
        <f t="array" aca="1" ref="CV85" ca="1">IF(ROW()-ROW(Н7кр)+1&gt;ROWS(Е7кр)-COUNTBLANK(Е7кр)," ",INDIRECT(ADDRESS(SMALL((IF(Е7кр&lt;&gt;" ",ROW(Е7кр),ROW()+ROWS(Е7кр))),ROW()-ROW(Н7кр)+1),COLUMN(Е7кр),4)))</f>
        <v>0</v>
      </c>
    </row>
    <row r="86" spans="1:100" ht="12" hidden="1" customHeight="1" thickTop="1">
      <c r="A86" s="198"/>
      <c r="B86" s="423">
        <v>40</v>
      </c>
      <c r="C86" s="425" t="e">
        <f>(VLOOKUP(B86,пр.взв!$B$7:$H$76,2,0))</f>
        <v>#N/A</v>
      </c>
      <c r="D86" s="427" t="e">
        <f>(VLOOKUP(B86,пр.взв!$B$7:$H$76,3,0))</f>
        <v>#N/A</v>
      </c>
      <c r="E86" s="429" t="e">
        <f>(VLOOKUP(B86,пр.взв!$B$7:$H$76,5,0))</f>
        <v>#N/A</v>
      </c>
      <c r="F86" s="443">
        <f t="shared" ref="F86:F118" si="224">IF(ISERROR(C86),0,B84)</f>
        <v>0</v>
      </c>
      <c r="G86" s="42"/>
      <c r="H86" s="440"/>
      <c r="I86" s="42"/>
      <c r="J86" s="444" t="str">
        <f>IF(H86="Х","Х",IF(I86+G86&lt;6," ",IF(I86+G86&gt;=6,IF(AA86&gt;=6,"Х",IF(AA86&lt;6," "," ")))))</f>
        <v xml:space="preserve"> </v>
      </c>
      <c r="K86" s="41"/>
      <c r="L86" s="438" t="str">
        <f>IF(J86="Х","Х",IF(K86&lt;2.5," ",IF(K86&gt;=2.5,IF(G86+I86+K86&gt;=6,"Х",IF(AA86&lt;6," "," ")))))</f>
        <v xml:space="preserve"> </v>
      </c>
      <c r="M86" s="41"/>
      <c r="N86" s="438" t="str">
        <f>IF(L86="Х","Х",IF(M86&lt;2.5," ",IF(M86&gt;=2.5,IF(G86+I86+K86+M86&gt;=6,"Х",IF(AA86&lt;6," "," ")))))</f>
        <v xml:space="preserve"> </v>
      </c>
      <c r="O86" s="41"/>
      <c r="P86" s="438" t="str">
        <f>IF(N86="Х","Х",IF(O86&lt;2.5," ",IF(O86&gt;=2.5,IF(G86+I86+K86+M86+O86&gt;=6,"Х",IF(AA86&lt;6," "," ")))))</f>
        <v xml:space="preserve"> </v>
      </c>
      <c r="Q86" s="41"/>
      <c r="R86" s="438" t="str">
        <f>IF(P86="Х","Х",IF(Q86&lt;2.5," ",IF(Q86&gt;=2.5,IF(G86+I86+K86+M86+O86+Q86&gt;=6,"Х",IF(AA86&lt;6," "," ")))))</f>
        <v xml:space="preserve"> </v>
      </c>
      <c r="S86" s="41"/>
      <c r="T86" s="438" t="str">
        <f>IF(R86="Х","Х",IF(S86&lt;2.5," ",IF(S86&gt;=2.5,IF(G86+I86+K86+M86+O86+Q86+S86&gt;=6,"Х",IF(AA86&lt;6," "," ")))))</f>
        <v xml:space="preserve"> </v>
      </c>
      <c r="U86" s="45"/>
      <c r="V86" s="438" t="str">
        <f>IF(T86="А1",$AX$7,IF(T86="Б2",$AX$6,IF(T86="Б1",$AY$7,IF(T86="А2",$AY$6,IF(T86="Х","Х",IF(T86&lt;6," "," "))))))</f>
        <v xml:space="preserve"> </v>
      </c>
      <c r="W86" s="41"/>
      <c r="X86" s="438" t="str">
        <f t="shared" ref="X86" si="225">IF(T86="Х","Х",IF(ISBLANK(W86),"",IF(W86&gt;2.5," ",IF(B86=AZ$6,AZ$7,AZ$6))))</f>
        <v/>
      </c>
      <c r="Y86" s="42"/>
      <c r="Z86" s="466" t="b">
        <f>IF(H86="Х","1",IF(J86="Х","2",IF(L86="Х","3",IF(N86="Х","4",IF(P86="Х","5",IF(R86="Х","6",IF(T86="Х","7",IF(V86="Х","8"))))))))</f>
        <v>0</v>
      </c>
      <c r="AA86" s="464">
        <f>SUM(G86+I86+K86+M86+O86+Q86+S86+U86+W86+Y86)</f>
        <v>0</v>
      </c>
      <c r="AB86" s="431">
        <f t="shared" ref="AB86" si="226">AD86+0</f>
        <v>20576</v>
      </c>
      <c r="AC86" s="386">
        <f>AB86</f>
        <v>20576</v>
      </c>
      <c r="AD86" s="387" t="str">
        <f>COUNTIF(AE$6:AE$119,"&gt;"&amp;AE$6:AE$119)+1&amp;REPT("-"&amp;COUNTIF(AE$6:AE$119,"&gt;="&amp;AE$6:AE$119),COUNTIF(AE$6:AE$119,AE86)&gt;1)</f>
        <v>5-56</v>
      </c>
      <c r="AE86" s="388">
        <f t="shared" si="221"/>
        <v>80</v>
      </c>
      <c r="AF86" s="390" t="str">
        <f>IF(OR(F86="Х",F86="св")," ",IF(AND(G86&gt;=0,G86&lt;3),"1"," "))</f>
        <v>1</v>
      </c>
      <c r="AG86" s="390" t="str">
        <f>IF(OR(H86="Х",H86="св")," ",IF(AND(I86&gt;=0,I86&lt;3),"1"," "))</f>
        <v>1</v>
      </c>
      <c r="AH86" s="390" t="str">
        <f>IF(OR(J86="Х",J86="св")," ",IF(AND(K86&gt;=0,K86&lt;3),"1"," "))</f>
        <v>1</v>
      </c>
      <c r="AI86" s="390" t="str">
        <f>IF(OR(L86="Х",L86="св")," ",IF(AND(M86&gt;=0,M86&lt;3),"1"," "))</f>
        <v>1</v>
      </c>
      <c r="AJ86" s="390" t="str">
        <f>IF(OR(N86="Х",N86="св")," ",IF(AND(O86&gt;=0,O86&lt;3),"1"," "))</f>
        <v>1</v>
      </c>
      <c r="AK86" s="390" t="str">
        <f>IF(OR(P86="Х",P86="св")," ",IF(AND(Q86&gt;=0,Q86&lt;3),"1"," "))</f>
        <v>1</v>
      </c>
      <c r="AL86" s="390" t="str">
        <f>IF(OR(R86="Х",R86="св")," ",IF(AND(S86&gt;=0,S86&lt;3),"1"," "))</f>
        <v>1</v>
      </c>
      <c r="AM86" s="390" t="str">
        <f>IF(OR(T86="Х",T86="св")," ",IF(AND(U86&gt;=0,U86&lt;3),"1"," "))</f>
        <v>1</v>
      </c>
      <c r="AN86" s="391">
        <f>COUNTIF(AF86:AM87,1)</f>
        <v>8</v>
      </c>
      <c r="AO86" s="393">
        <f>AE86-AA86</f>
        <v>80</v>
      </c>
      <c r="AP86" s="394">
        <f t="shared" si="196"/>
        <v>0</v>
      </c>
      <c r="AQ86" s="387" t="str">
        <f>COUNTIF(AE$6:AE$119,"&gt;"&amp;AE$6:AE$119)+1&amp;REPT("-"&amp;COUNTIF(AE$6:AE$119,"&gt;="&amp;AE$6:AE$119),COUNTIF(AE$6:AE$119,AE86)&gt;1)</f>
        <v>5-56</v>
      </c>
      <c r="AR86" s="395"/>
      <c r="AS86" s="183"/>
      <c r="AT86" s="183"/>
      <c r="AU86" s="183"/>
      <c r="AV86" s="386">
        <f t="shared" si="65"/>
        <v>40</v>
      </c>
      <c r="AW86" s="19"/>
      <c r="AX86" s="19"/>
      <c r="AY86" s="19"/>
      <c r="AZ86" s="19"/>
      <c r="BU86" s="377">
        <f>IF(J86="х"," ",B86)</f>
        <v>40</v>
      </c>
      <c r="BV86" s="377">
        <f>IF(L86="х"," ",B86)</f>
        <v>40</v>
      </c>
      <c r="BW86" s="377" t="str">
        <f>IF(BV86=" "," ",L86)</f>
        <v xml:space="preserve"> </v>
      </c>
      <c r="BX86" s="377" t="str">
        <f>IF(BU86=" "," ",J86)</f>
        <v xml:space="preserve"> </v>
      </c>
      <c r="BY86" s="61">
        <f>IF(BU86&lt;BX86,BU86,0)</f>
        <v>40</v>
      </c>
      <c r="BZ86" s="61">
        <f t="shared" si="84"/>
        <v>40</v>
      </c>
      <c r="CA86" s="124">
        <f t="array" aca="1" ref="CA8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6">
        <f>IF(BV86&lt;BW86,BV86,0)</f>
        <v>40</v>
      </c>
      <c r="CC86" s="125">
        <f t="shared" si="190"/>
        <v>40</v>
      </c>
      <c r="CD86" s="51">
        <f t="array" aca="1" ref="CD86" ca="1">IF(ROW()-ROW(Н4кр)+1&gt;ROWS(Е4кр)-COUNTBLANK(Е4кр)," ",INDIRECT(ADDRESS(SMALL((IF(Е4кр&lt;&gt;" ",ROW(Е4кр),ROW()+ROWS(Е4кр))),ROW()-ROW(Н4кр)+1),COLUMN(Е4кр),4)))</f>
        <v>0</v>
      </c>
      <c r="CF86" s="377">
        <f>IF(N86="х"," ",B86)</f>
        <v>40</v>
      </c>
      <c r="CG86" s="377" t="str">
        <f>IF(CF86=" "," ",N86)</f>
        <v xml:space="preserve"> </v>
      </c>
      <c r="CH86" s="125">
        <f>IF(CF86&lt;CG86,CF86,0)</f>
        <v>40</v>
      </c>
      <c r="CI86">
        <f t="shared" si="197"/>
        <v>40</v>
      </c>
      <c r="CJ86" s="51">
        <f t="array" aca="1" ref="CJ86" ca="1">IF(ROW()-ROW(Н5кр)+1&gt;ROWS(Е5кр)-COUNTBLANK(Е5кр)," ",INDIRECT(ADDRESS(SMALL((IF(Е5кр&lt;&gt;" ",ROW(Е5кр),ROW()+ROWS(Е5кр))),ROW()-ROW(Н5кр)+1),COLUMN(Е5кр),4)))</f>
        <v>0</v>
      </c>
      <c r="CL86" s="377">
        <f>IF(P86="х"," ",B86)</f>
        <v>40</v>
      </c>
      <c r="CM86" s="377" t="str">
        <f>IF(CL86=" "," ",P86)</f>
        <v xml:space="preserve"> </v>
      </c>
      <c r="CN86">
        <f>IF(CL86&lt;CM86,CL86,0)</f>
        <v>40</v>
      </c>
      <c r="CO86">
        <f t="shared" si="191"/>
        <v>40</v>
      </c>
      <c r="CP86">
        <f t="array" aca="1" ref="CP86" ca="1">IF(ROW()-ROW(Н6кр)+1&gt;ROWS(Е6кр)-COUNTBLANK(Е6кр)," ",INDIRECT(ADDRESS(SMALL((IF(Е6кр&lt;&gt;" ",ROW(Е6кр),ROW()+ROWS(Е6кр))),ROW()-ROW(Н6кр)+1),COLUMN(Е6кр),4)))</f>
        <v>0</v>
      </c>
      <c r="CR86" s="377">
        <f t="shared" ref="CR86" si="227">IF(R86="х"," ",B86)</f>
        <v>40</v>
      </c>
      <c r="CS86" s="377" t="str">
        <f t="shared" ref="CS86" si="228">IF(CR86=" "," ",R86)</f>
        <v xml:space="preserve"> </v>
      </c>
      <c r="CT86">
        <f>IF(CR86&lt;CS86,CR86,0)</f>
        <v>40</v>
      </c>
      <c r="CU86">
        <f t="shared" si="192"/>
        <v>40</v>
      </c>
      <c r="CV86">
        <f t="array" aca="1" ref="CV86" ca="1">IF(ROW()-ROW(Н7кр)+1&gt;ROWS(Е7кр)-COUNTBLANK(Е7кр)," ",INDIRECT(ADDRESS(SMALL((IF(Е7кр&lt;&gt;" ",ROW(Е7кр),ROW()+ROWS(Е7кр))),ROW()-ROW(Н7кр)+1),COLUMN(Е7кр),4)))</f>
        <v>0</v>
      </c>
    </row>
    <row r="87" spans="1:100" ht="12" hidden="1" customHeight="1" thickBot="1">
      <c r="A87" s="198"/>
      <c r="B87" s="424"/>
      <c r="C87" s="426"/>
      <c r="D87" s="428"/>
      <c r="E87" s="430"/>
      <c r="F87" s="442"/>
      <c r="G87" s="44"/>
      <c r="H87" s="439"/>
      <c r="I87" s="44"/>
      <c r="J87" s="439"/>
      <c r="K87" s="44"/>
      <c r="L87" s="439"/>
      <c r="M87" s="44"/>
      <c r="N87" s="439"/>
      <c r="O87" s="44"/>
      <c r="P87" s="439"/>
      <c r="Q87" s="44"/>
      <c r="R87" s="439"/>
      <c r="S87" s="44"/>
      <c r="T87" s="439"/>
      <c r="U87" s="47"/>
      <c r="V87" s="439"/>
      <c r="W87" s="44"/>
      <c r="X87" s="439"/>
      <c r="Y87" s="44"/>
      <c r="Z87" s="422"/>
      <c r="AA87" s="465"/>
      <c r="AB87" s="432"/>
      <c r="AC87" s="386"/>
      <c r="AD87" s="387"/>
      <c r="AE87" s="389"/>
      <c r="AF87" s="390"/>
      <c r="AG87" s="390"/>
      <c r="AH87" s="390"/>
      <c r="AI87" s="390"/>
      <c r="AJ87" s="390"/>
      <c r="AK87" s="390"/>
      <c r="AL87" s="390"/>
      <c r="AM87" s="390"/>
      <c r="AN87" s="392"/>
      <c r="AO87" s="387"/>
      <c r="AP87" s="394"/>
      <c r="AQ87" s="387"/>
      <c r="AR87" s="395"/>
      <c r="AS87" s="183"/>
      <c r="AT87" s="183"/>
      <c r="AU87" s="183"/>
      <c r="AV87" s="386"/>
      <c r="AW87" s="19"/>
      <c r="AX87" s="19"/>
      <c r="AY87" s="19"/>
      <c r="AZ87" s="19"/>
      <c r="BU87" s="377"/>
      <c r="BV87" s="377"/>
      <c r="BW87" s="377"/>
      <c r="BX87" s="377"/>
      <c r="BY87" s="61" t="str">
        <f>IF(BY86&gt;=1,BX86,0)</f>
        <v xml:space="preserve"> </v>
      </c>
      <c r="BZ87" s="61" t="str">
        <f t="shared" si="84"/>
        <v xml:space="preserve"> </v>
      </c>
      <c r="CA87" s="124">
        <f t="array" aca="1" ref="CA8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7" t="str">
        <f>IF(CB86&gt;=1,BW86,0)</f>
        <v xml:space="preserve"> </v>
      </c>
      <c r="CC87" s="125" t="str">
        <f t="shared" si="190"/>
        <v xml:space="preserve"> </v>
      </c>
      <c r="CD87" s="51">
        <f t="array" aca="1" ref="CD87" ca="1">IF(ROW()-ROW(Н4кр)+1&gt;ROWS(Е4кр)-COUNTBLANK(Е4кр)," ",INDIRECT(ADDRESS(SMALL((IF(Е4кр&lt;&gt;" ",ROW(Е4кр),ROW()+ROWS(Е4кр))),ROW()-ROW(Н4кр)+1),COLUMN(Е4кр),4)))</f>
        <v>0</v>
      </c>
      <c r="CF87" s="377"/>
      <c r="CG87" s="377"/>
      <c r="CH87" s="125" t="str">
        <f>IF(CH86&gt;=1,CG86,0)</f>
        <v xml:space="preserve"> </v>
      </c>
      <c r="CI87" t="str">
        <f t="shared" si="197"/>
        <v xml:space="preserve"> </v>
      </c>
      <c r="CJ87" s="51">
        <f t="array" aca="1" ref="CJ87" ca="1">IF(ROW()-ROW(Н5кр)+1&gt;ROWS(Е5кр)-COUNTBLANK(Е5кр)," ",INDIRECT(ADDRESS(SMALL((IF(Е5кр&lt;&gt;" ",ROW(Е5кр),ROW()+ROWS(Е5кр))),ROW()-ROW(Н5кр)+1),COLUMN(Е5кр),4)))</f>
        <v>0</v>
      </c>
      <c r="CL87" s="377"/>
      <c r="CM87" s="377"/>
      <c r="CN87" t="str">
        <f>IF(CN86&gt;=1,CM86,0)</f>
        <v xml:space="preserve"> </v>
      </c>
      <c r="CO87" t="str">
        <f t="shared" si="191"/>
        <v xml:space="preserve"> </v>
      </c>
      <c r="CP87">
        <f t="array" aca="1" ref="CP87" ca="1">IF(ROW()-ROW(Н6кр)+1&gt;ROWS(Е6кр)-COUNTBLANK(Е6кр)," ",INDIRECT(ADDRESS(SMALL((IF(Е6кр&lt;&gt;" ",ROW(Е6кр),ROW()+ROWS(Е6кр))),ROW()-ROW(Н6кр)+1),COLUMN(Е6кр),4)))</f>
        <v>0</v>
      </c>
      <c r="CR87" s="377"/>
      <c r="CS87" s="377"/>
      <c r="CT87" t="str">
        <f>IF(CT86&gt;=1,CS86,0)</f>
        <v xml:space="preserve"> </v>
      </c>
      <c r="CU87" t="str">
        <f t="shared" si="192"/>
        <v xml:space="preserve"> </v>
      </c>
      <c r="CV87">
        <f t="array" aca="1" ref="CV87" ca="1">IF(ROW()-ROW(Н7кр)+1&gt;ROWS(Е7кр)-COUNTBLANK(Е7кр)," ",INDIRECT(ADDRESS(SMALL((IF(Е7кр&lt;&gt;" ",ROW(Е7кр),ROW()+ROWS(Е7кр))),ROW()-ROW(Н7кр)+1),COLUMN(Е7кр),4)))</f>
        <v>0</v>
      </c>
    </row>
    <row r="88" spans="1:100" ht="12" hidden="1" customHeight="1" thickTop="1">
      <c r="A88" s="198"/>
      <c r="B88" s="423">
        <v>41</v>
      </c>
      <c r="C88" s="425" t="e">
        <f>(VLOOKUP(B88,пр.взв!$B$7:$H$76,2,0))</f>
        <v>#N/A</v>
      </c>
      <c r="D88" s="427" t="e">
        <f>(VLOOKUP(B88,пр.взв!$B$7:$H$76,3,0))</f>
        <v>#N/A</v>
      </c>
      <c r="E88" s="429" t="e">
        <f>(VLOOKUP(B88,пр.взв!$B$7:$H$76,5,0))</f>
        <v>#N/A</v>
      </c>
      <c r="F88" s="445">
        <f t="shared" ref="F88" si="229">IF(ISERROR(C88),0,B90)</f>
        <v>0</v>
      </c>
      <c r="G88" s="42"/>
      <c r="H88" s="440"/>
      <c r="I88" s="42"/>
      <c r="J88" s="444" t="str">
        <f>IF(H88="Х","Х",IF(I88+G88&lt;6," ",IF(I88+G88&gt;=6,IF(AA88&gt;=6,"Х",IF(AA88&lt;6," "," ")))))</f>
        <v xml:space="preserve"> </v>
      </c>
      <c r="K88" s="41"/>
      <c r="L88" s="438" t="str">
        <f>IF(J88="Х","Х",IF(K88&lt;2.5," ",IF(K88&gt;=2.5,IF(G88+I88+K88&gt;=6,"Х",IF(AA88&lt;6," "," ")))))</f>
        <v xml:space="preserve"> </v>
      </c>
      <c r="M88" s="41"/>
      <c r="N88" s="438" t="str">
        <f>IF(L88="Х","Х",IF(M88&lt;2.5," ",IF(M88&gt;=2.5,IF(G88+I88+K88+M88&gt;=6,"Х",IF(AA88&lt;6," "," ")))))</f>
        <v xml:space="preserve"> </v>
      </c>
      <c r="O88" s="41"/>
      <c r="P88" s="438" t="str">
        <f>IF(N88="Х","Х",IF(O88&lt;2.5," ",IF(O88&gt;=2.5,IF(G88+I88+K88+M88+O88&gt;=6,"Х",IF(AA88&lt;6," "," ")))))</f>
        <v xml:space="preserve"> </v>
      </c>
      <c r="Q88" s="41"/>
      <c r="R88" s="438" t="str">
        <f>IF(P88="Х","Х",IF(Q88&lt;2.5," ",IF(Q88&gt;=2.5,IF(G88+I88+K88+M88+O88+Q88&gt;=6,"Х",IF(AA88&lt;6," "," ")))))</f>
        <v xml:space="preserve"> </v>
      </c>
      <c r="S88" s="41"/>
      <c r="T88" s="438" t="str">
        <f>IF(R88="Х","Х",IF(S88&lt;2.5," ",IF(S88&gt;=2.5,IF(G88+I88+K88+M88+O88+Q88+S88&gt;=6,"Х",IF(AA88&lt;6," "," ")))))</f>
        <v xml:space="preserve"> </v>
      </c>
      <c r="U88" s="45"/>
      <c r="V88" s="438" t="str">
        <f>IF(T88="А1",$AX$7,IF(T88="Б2",$AX$6,IF(T88="Б1",$AY$7,IF(T88="А2",$AY$6,IF(T88="Х","Х",IF(T88&lt;6," "," "))))))</f>
        <v xml:space="preserve"> </v>
      </c>
      <c r="W88" s="41"/>
      <c r="X88" s="438" t="str">
        <f t="shared" ref="X88" si="230">IF(T88="Х","Х",IF(ISBLANK(W88),"",IF(W88&gt;2.5," ",IF(B88=AZ$6,AZ$7,AZ$6))))</f>
        <v/>
      </c>
      <c r="Y88" s="42"/>
      <c r="Z88" s="466" t="b">
        <f>IF(H88="Х","1",IF(J88="Х","2",IF(L88="Х","3",IF(N88="Х","4",IF(P88="Х","5",IF(R88="Х","6",IF(T88="Х","7",IF(V88="Х","8"))))))))</f>
        <v>0</v>
      </c>
      <c r="AA88" s="464">
        <f>SUM(G88+I88+K88+M88+O88+Q88+S88+U88+W88+Y88)</f>
        <v>0</v>
      </c>
      <c r="AB88" s="431">
        <f t="shared" ref="AB88" si="231">AD88+0</f>
        <v>20576</v>
      </c>
      <c r="AC88" s="386">
        <f>AB88</f>
        <v>20576</v>
      </c>
      <c r="AD88" s="387" t="str">
        <f>COUNTIF(AE$6:AE$119,"&gt;"&amp;AE$6:AE$119)+1&amp;REPT("-"&amp;COUNTIF(AE$6:AE$119,"&gt;="&amp;AE$6:AE$119),COUNTIF(AE$6:AE$119,AE88)&gt;1)</f>
        <v>5-56</v>
      </c>
      <c r="AE88" s="388">
        <f t="shared" si="221"/>
        <v>80</v>
      </c>
      <c r="AF88" s="390" t="str">
        <f>IF(OR(F88="Х",F88="св")," ",IF(AND(G88&gt;=0,G88&lt;3),"1"," "))</f>
        <v>1</v>
      </c>
      <c r="AG88" s="390" t="str">
        <f>IF(OR(H88="Х",H88="св")," ",IF(AND(I88&gt;=0,I88&lt;3),"1"," "))</f>
        <v>1</v>
      </c>
      <c r="AH88" s="390" t="str">
        <f>IF(OR(J88="Х",J88="св")," ",IF(AND(K88&gt;=0,K88&lt;3),"1"," "))</f>
        <v>1</v>
      </c>
      <c r="AI88" s="390" t="str">
        <f>IF(OR(L88="Х",L88="св")," ",IF(AND(M88&gt;=0,M88&lt;3),"1"," "))</f>
        <v>1</v>
      </c>
      <c r="AJ88" s="390" t="str">
        <f>IF(OR(N88="Х",N88="св")," ",IF(AND(O88&gt;=0,O88&lt;3),"1"," "))</f>
        <v>1</v>
      </c>
      <c r="AK88" s="390" t="str">
        <f>IF(OR(P88="Х",P88="св")," ",IF(AND(Q88&gt;=0,Q88&lt;3),"1"," "))</f>
        <v>1</v>
      </c>
      <c r="AL88" s="390" t="str">
        <f>IF(OR(R88="Х",R88="св")," ",IF(AND(S88&gt;=0,S88&lt;3),"1"," "))</f>
        <v>1</v>
      </c>
      <c r="AM88" s="390" t="str">
        <f>IF(OR(T88="Х",T88="св")," ",IF(AND(U88&gt;=0,U88&lt;3),"1"," "))</f>
        <v>1</v>
      </c>
      <c r="AN88" s="391">
        <f>COUNTIF(AF88:AM89,1)</f>
        <v>8</v>
      </c>
      <c r="AO88" s="393">
        <f>AE88-AA88</f>
        <v>80</v>
      </c>
      <c r="AP88" s="394">
        <f t="shared" si="196"/>
        <v>0</v>
      </c>
      <c r="AQ88" s="387" t="str">
        <f>COUNTIF(AE$6:AE$119,"&gt;"&amp;AE$6:AE$119)+1&amp;REPT("-"&amp;COUNTIF(AE$6:AE$119,"&gt;="&amp;AE$6:AE$119),COUNTIF(AE$6:AE$119,AE88)&gt;1)</f>
        <v>5-56</v>
      </c>
      <c r="AR88" s="395"/>
      <c r="AS88" s="183"/>
      <c r="AT88" s="183"/>
      <c r="AU88" s="183"/>
      <c r="AV88" s="386">
        <f t="shared" si="65"/>
        <v>41</v>
      </c>
      <c r="AW88" s="19"/>
      <c r="AX88" s="19"/>
      <c r="AY88" s="19"/>
      <c r="AZ88" s="19"/>
      <c r="BU88" s="377">
        <f>IF(J88="х"," ",B88)</f>
        <v>41</v>
      </c>
      <c r="BV88" s="377">
        <f>IF(L88="х"," ",B88)</f>
        <v>41</v>
      </c>
      <c r="BW88" s="377" t="str">
        <f>IF(BV88=" "," ",L88)</f>
        <v xml:space="preserve"> </v>
      </c>
      <c r="BX88" s="377" t="str">
        <f>IF(BU88=" "," ",J88)</f>
        <v xml:space="preserve"> </v>
      </c>
      <c r="BY88" s="61">
        <f>IF(BU88&lt;BX88,BU88,0)</f>
        <v>41</v>
      </c>
      <c r="BZ88" s="61">
        <f t="shared" si="84"/>
        <v>41</v>
      </c>
      <c r="CA88" s="124">
        <f t="array" aca="1" ref="CA8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8">
        <f>IF(BV88&lt;BW88,BV88,0)</f>
        <v>41</v>
      </c>
      <c r="CC88" s="125">
        <f t="shared" si="190"/>
        <v>41</v>
      </c>
      <c r="CD88" s="51">
        <f t="array" aca="1" ref="CD88" ca="1">IF(ROW()-ROW(Н4кр)+1&gt;ROWS(Е4кр)-COUNTBLANK(Е4кр)," ",INDIRECT(ADDRESS(SMALL((IF(Е4кр&lt;&gt;" ",ROW(Е4кр),ROW()+ROWS(Е4кр))),ROW()-ROW(Н4кр)+1),COLUMN(Е4кр),4)))</f>
        <v>0</v>
      </c>
      <c r="CF88" s="377">
        <f>IF(N88="х"," ",B88)</f>
        <v>41</v>
      </c>
      <c r="CG88" s="377" t="str">
        <f>IF(CF88=" "," ",N88)</f>
        <v xml:space="preserve"> </v>
      </c>
      <c r="CH88" s="125">
        <f>IF(CF88&lt;CG88,CF88,0)</f>
        <v>41</v>
      </c>
      <c r="CI88">
        <f t="shared" si="197"/>
        <v>41</v>
      </c>
      <c r="CJ88" s="51">
        <f t="array" aca="1" ref="CJ88" ca="1">IF(ROW()-ROW(Н5кр)+1&gt;ROWS(Е5кр)-COUNTBLANK(Е5кр)," ",INDIRECT(ADDRESS(SMALL((IF(Е5кр&lt;&gt;" ",ROW(Е5кр),ROW()+ROWS(Е5кр))),ROW()-ROW(Н5кр)+1),COLUMN(Е5кр),4)))</f>
        <v>0</v>
      </c>
      <c r="CL88" s="377">
        <f>IF(P88="х"," ",B88)</f>
        <v>41</v>
      </c>
      <c r="CM88" s="377" t="str">
        <f>IF(CL88=" "," ",P88)</f>
        <v xml:space="preserve"> </v>
      </c>
      <c r="CN88">
        <f>IF(CL88&lt;CM88,CL88,0)</f>
        <v>41</v>
      </c>
      <c r="CO88">
        <f t="shared" si="191"/>
        <v>41</v>
      </c>
      <c r="CP88">
        <f t="array" aca="1" ref="CP88" ca="1">IF(ROW()-ROW(Н6кр)+1&gt;ROWS(Е6кр)-COUNTBLANK(Е6кр)," ",INDIRECT(ADDRESS(SMALL((IF(Е6кр&lt;&gt;" ",ROW(Е6кр),ROW()+ROWS(Е6кр))),ROW()-ROW(Н6кр)+1),COLUMN(Е6кр),4)))</f>
        <v>0</v>
      </c>
      <c r="CR88" s="377">
        <f t="shared" ref="CR88" si="232">IF(R88="х"," ",B88)</f>
        <v>41</v>
      </c>
      <c r="CS88" s="377" t="str">
        <f t="shared" ref="CS88" si="233">IF(CR88=" "," ",R88)</f>
        <v xml:space="preserve"> </v>
      </c>
      <c r="CT88">
        <f>IF(CR88&lt;CS88,CR88,0)</f>
        <v>41</v>
      </c>
      <c r="CU88">
        <f t="shared" si="192"/>
        <v>41</v>
      </c>
      <c r="CV88">
        <f t="array" aca="1" ref="CV88" ca="1">IF(ROW()-ROW(Н7кр)+1&gt;ROWS(Е7кр)-COUNTBLANK(Е7кр)," ",INDIRECT(ADDRESS(SMALL((IF(Е7кр&lt;&gt;" ",ROW(Е7кр),ROW()+ROWS(Е7кр))),ROW()-ROW(Н7кр)+1),COLUMN(Е7кр),4)))</f>
        <v>0</v>
      </c>
    </row>
    <row r="89" spans="1:100" ht="12" hidden="1" customHeight="1" thickBot="1">
      <c r="A89" s="198"/>
      <c r="B89" s="424"/>
      <c r="C89" s="426"/>
      <c r="D89" s="428"/>
      <c r="E89" s="430"/>
      <c r="F89" s="442"/>
      <c r="G89" s="44"/>
      <c r="H89" s="439"/>
      <c r="I89" s="44"/>
      <c r="J89" s="439"/>
      <c r="K89" s="44"/>
      <c r="L89" s="439"/>
      <c r="M89" s="44"/>
      <c r="N89" s="439"/>
      <c r="O89" s="44"/>
      <c r="P89" s="439"/>
      <c r="Q89" s="44"/>
      <c r="R89" s="439"/>
      <c r="S89" s="44"/>
      <c r="T89" s="439"/>
      <c r="U89" s="47"/>
      <c r="V89" s="439"/>
      <c r="W89" s="44"/>
      <c r="X89" s="439"/>
      <c r="Y89" s="44"/>
      <c r="Z89" s="422"/>
      <c r="AA89" s="465"/>
      <c r="AB89" s="432"/>
      <c r="AC89" s="386"/>
      <c r="AD89" s="387"/>
      <c r="AE89" s="389"/>
      <c r="AF89" s="390"/>
      <c r="AG89" s="390"/>
      <c r="AH89" s="390"/>
      <c r="AI89" s="390"/>
      <c r="AJ89" s="390"/>
      <c r="AK89" s="390"/>
      <c r="AL89" s="390"/>
      <c r="AM89" s="390"/>
      <c r="AN89" s="392"/>
      <c r="AO89" s="387"/>
      <c r="AP89" s="394"/>
      <c r="AQ89" s="387"/>
      <c r="AR89" s="395"/>
      <c r="AS89" s="183"/>
      <c r="AT89" s="183"/>
      <c r="AU89" s="183"/>
      <c r="AV89" s="386"/>
      <c r="AW89" s="19"/>
      <c r="AX89" s="19"/>
      <c r="AY89" s="19"/>
      <c r="AZ89" s="19"/>
      <c r="BU89" s="377"/>
      <c r="BV89" s="377"/>
      <c r="BW89" s="377"/>
      <c r="BX89" s="377"/>
      <c r="BY89" s="61" t="str">
        <f>IF(BY88&gt;=1,BX88,0)</f>
        <v xml:space="preserve"> </v>
      </c>
      <c r="BZ89" s="61" t="str">
        <f t="shared" si="84"/>
        <v xml:space="preserve"> </v>
      </c>
      <c r="CA89" s="124">
        <f t="array" aca="1" ref="CA8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9" t="str">
        <f>IF(CB88&gt;=1,BW88,0)</f>
        <v xml:space="preserve"> </v>
      </c>
      <c r="CC89" s="125" t="str">
        <f t="shared" si="190"/>
        <v xml:space="preserve"> </v>
      </c>
      <c r="CD89" s="51">
        <f t="array" aca="1" ref="CD89" ca="1">IF(ROW()-ROW(Н4кр)+1&gt;ROWS(Е4кр)-COUNTBLANK(Е4кр)," ",INDIRECT(ADDRESS(SMALL((IF(Е4кр&lt;&gt;" ",ROW(Е4кр),ROW()+ROWS(Е4кр))),ROW()-ROW(Н4кр)+1),COLUMN(Е4кр),4)))</f>
        <v>0</v>
      </c>
      <c r="CF89" s="377"/>
      <c r="CG89" s="377"/>
      <c r="CH89" s="125" t="str">
        <f>IF(CH88&gt;=1,CG88,0)</f>
        <v xml:space="preserve"> </v>
      </c>
      <c r="CI89" t="str">
        <f t="shared" si="197"/>
        <v xml:space="preserve"> </v>
      </c>
      <c r="CJ89" s="51">
        <f t="array" aca="1" ref="CJ89" ca="1">IF(ROW()-ROW(Н5кр)+1&gt;ROWS(Е5кр)-COUNTBLANK(Е5кр)," ",INDIRECT(ADDRESS(SMALL((IF(Е5кр&lt;&gt;" ",ROW(Е5кр),ROW()+ROWS(Е5кр))),ROW()-ROW(Н5кр)+1),COLUMN(Е5кр),4)))</f>
        <v>0</v>
      </c>
      <c r="CL89" s="377"/>
      <c r="CM89" s="377"/>
      <c r="CN89" t="str">
        <f>IF(CN88&gt;=1,CM88,0)</f>
        <v xml:space="preserve"> </v>
      </c>
      <c r="CO89" t="str">
        <f t="shared" si="191"/>
        <v xml:space="preserve"> </v>
      </c>
      <c r="CP89">
        <f t="array" aca="1" ref="CP89" ca="1">IF(ROW()-ROW(Н6кр)+1&gt;ROWS(Е6кр)-COUNTBLANK(Е6кр)," ",INDIRECT(ADDRESS(SMALL((IF(Е6кр&lt;&gt;" ",ROW(Е6кр),ROW()+ROWS(Е6кр))),ROW()-ROW(Н6кр)+1),COLUMN(Е6кр),4)))</f>
        <v>0</v>
      </c>
      <c r="CR89" s="377"/>
      <c r="CS89" s="377"/>
      <c r="CT89" t="str">
        <f>IF(CT88&gt;=1,CS88,0)</f>
        <v xml:space="preserve"> </v>
      </c>
      <c r="CU89" t="str">
        <f t="shared" si="192"/>
        <v xml:space="preserve"> </v>
      </c>
      <c r="CV89">
        <f t="array" aca="1" ref="CV89" ca="1">IF(ROW()-ROW(Н7кр)+1&gt;ROWS(Е7кр)-COUNTBLANK(Е7кр)," ",INDIRECT(ADDRESS(SMALL((IF(Е7кр&lt;&gt;" ",ROW(Е7кр),ROW()+ROWS(Е7кр))),ROW()-ROW(Н7кр)+1),COLUMN(Е7кр),4)))</f>
        <v>0</v>
      </c>
    </row>
    <row r="90" spans="1:100" ht="12" hidden="1" customHeight="1" thickTop="1">
      <c r="A90" s="198"/>
      <c r="B90" s="423">
        <v>42</v>
      </c>
      <c r="C90" s="425" t="e">
        <f>(VLOOKUP(B90,пр.взв!$B$7:$H$76,2,0))</f>
        <v>#N/A</v>
      </c>
      <c r="D90" s="427" t="e">
        <f>(VLOOKUP(B90,пр.взв!$B$7:$H$76,3,0))</f>
        <v>#N/A</v>
      </c>
      <c r="E90" s="429" t="e">
        <f>(VLOOKUP(B90,пр.взв!$B$7:$H$76,5,0))</f>
        <v>#N/A</v>
      </c>
      <c r="F90" s="443">
        <f t="shared" ref="F90" si="234">IF(ISERROR(C90),0,B88)</f>
        <v>0</v>
      </c>
      <c r="G90" s="42"/>
      <c r="H90" s="440"/>
      <c r="I90" s="42"/>
      <c r="J90" s="444" t="str">
        <f>IF(H90="Х","Х",IF(I90+G90&lt;6," ",IF(I90+G90&gt;=6,IF(AA90&gt;=6,"Х",IF(AA90&lt;6," "," ")))))</f>
        <v xml:space="preserve"> </v>
      </c>
      <c r="K90" s="41"/>
      <c r="L90" s="438" t="str">
        <f>IF(J90="Х","Х",IF(K90&lt;2.5," ",IF(K90&gt;=2.5,IF(G90+I90+K90&gt;=6,"Х",IF(AA90&lt;6," "," ")))))</f>
        <v xml:space="preserve"> </v>
      </c>
      <c r="M90" s="41"/>
      <c r="N90" s="438" t="str">
        <f>IF(L90="Х","Х",IF(M90&lt;2.5," ",IF(M90&gt;=2.5,IF(G90+I90+K90+M90&gt;=6,"Х",IF(AA90&lt;6," "," ")))))</f>
        <v xml:space="preserve"> </v>
      </c>
      <c r="O90" s="41"/>
      <c r="P90" s="438" t="str">
        <f>IF(N90="Х","Х",IF(O90&lt;2.5," ",IF(O90&gt;=2.5,IF(G90+I90+K90+M90+O90&gt;=6,"Х",IF(AA90&lt;6," "," ")))))</f>
        <v xml:space="preserve"> </v>
      </c>
      <c r="Q90" s="41"/>
      <c r="R90" s="438" t="str">
        <f>IF(P90="Х","Х",IF(Q90&lt;2.5," ",IF(Q90&gt;=2.5,IF(G90+I90+K90+M90+O90+Q90&gt;=6,"Х",IF(AA90&lt;6," "," ")))))</f>
        <v xml:space="preserve"> </v>
      </c>
      <c r="S90" s="41"/>
      <c r="T90" s="438" t="str">
        <f>IF(R90="Х","Х",IF(S90&lt;2.5," ",IF(S90&gt;=2.5,IF(G90+I90+K90+M90+O90+Q90+S90&gt;=6,"Х",IF(AA90&lt;6," "," ")))))</f>
        <v xml:space="preserve"> </v>
      </c>
      <c r="U90" s="45"/>
      <c r="V90" s="438" t="str">
        <f>IF(T90="А1",$AX$7,IF(T90="Б2",$AX$6,IF(T90="Б1",$AY$7,IF(T90="А2",$AY$6,IF(T90="Х","Х",IF(T90&lt;6," "," "))))))</f>
        <v xml:space="preserve"> </v>
      </c>
      <c r="W90" s="41"/>
      <c r="X90" s="438" t="str">
        <f t="shared" ref="X90" si="235">IF(T90="Х","Х",IF(ISBLANK(W90),"",IF(W90&gt;2.5," ",IF(B90=AZ$6,AZ$7,AZ$6))))</f>
        <v/>
      </c>
      <c r="Y90" s="42"/>
      <c r="Z90" s="466" t="b">
        <f>IF(H90="Х","1",IF(J90="Х","2",IF(L90="Х","3",IF(N90="Х","4",IF(P90="Х","5",IF(R90="Х","6",IF(T90="Х","7",IF(V90="Х","8"))))))))</f>
        <v>0</v>
      </c>
      <c r="AA90" s="464">
        <f>SUM(G90+I90+K90+M90+O90+Q90+S90+U90+W90+Y90)</f>
        <v>0</v>
      </c>
      <c r="AB90" s="431">
        <f t="shared" ref="AB90" si="236">AD90+0</f>
        <v>20576</v>
      </c>
      <c r="AC90" s="386">
        <f>AB90</f>
        <v>20576</v>
      </c>
      <c r="AD90" s="387" t="str">
        <f>COUNTIF(AE$6:AE$119,"&gt;"&amp;AE$6:AE$119)+1&amp;REPT("-"&amp;COUNTIF(AE$6:AE$119,"&gt;="&amp;AE$6:AE$119),COUNTIF(AE$6:AE$119,AE90)&gt;1)</f>
        <v>5-56</v>
      </c>
      <c r="AE90" s="388">
        <f t="shared" si="221"/>
        <v>80</v>
      </c>
      <c r="AF90" s="390" t="str">
        <f>IF(OR(F90="Х",F90="св")," ",IF(AND(G90&gt;=0,G90&lt;3),"1"," "))</f>
        <v>1</v>
      </c>
      <c r="AG90" s="390" t="str">
        <f>IF(OR(H90="Х",H90="св")," ",IF(AND(I90&gt;=0,I90&lt;3),"1"," "))</f>
        <v>1</v>
      </c>
      <c r="AH90" s="390" t="str">
        <f>IF(OR(J90="Х",J90="св")," ",IF(AND(K90&gt;=0,K90&lt;3),"1"," "))</f>
        <v>1</v>
      </c>
      <c r="AI90" s="390" t="str">
        <f>IF(OR(L90="Х",L90="св")," ",IF(AND(M90&gt;=0,M90&lt;3),"1"," "))</f>
        <v>1</v>
      </c>
      <c r="AJ90" s="390" t="str">
        <f>IF(OR(N90="Х",N90="св")," ",IF(AND(O90&gt;=0,O90&lt;3),"1"," "))</f>
        <v>1</v>
      </c>
      <c r="AK90" s="390" t="str">
        <f>IF(OR(P90="Х",P90="св")," ",IF(AND(Q90&gt;=0,Q90&lt;3),"1"," "))</f>
        <v>1</v>
      </c>
      <c r="AL90" s="390" t="str">
        <f>IF(OR(R90="Х",R90="св")," ",IF(AND(S90&gt;=0,S90&lt;3),"1"," "))</f>
        <v>1</v>
      </c>
      <c r="AM90" s="390" t="str">
        <f>IF(OR(T90="Х",T90="св")," ",IF(AND(U90&gt;=0,U90&lt;3),"1"," "))</f>
        <v>1</v>
      </c>
      <c r="AN90" s="391">
        <f>COUNTIF(AF90:AM91,1)</f>
        <v>8</v>
      </c>
      <c r="AO90" s="393">
        <f>AE90-AA90</f>
        <v>80</v>
      </c>
      <c r="AP90" s="394">
        <f t="shared" si="196"/>
        <v>0</v>
      </c>
      <c r="AQ90" s="387" t="str">
        <f>COUNTIF(AE$6:AE$119,"&gt;"&amp;AE$6:AE$119)+1&amp;REPT("-"&amp;COUNTIF(AE$6:AE$119,"&gt;="&amp;AE$6:AE$119),COUNTIF(AE$6:AE$119,AE90)&gt;1)</f>
        <v>5-56</v>
      </c>
      <c r="AR90" s="395"/>
      <c r="AS90" s="183"/>
      <c r="AT90" s="183"/>
      <c r="AU90" s="183"/>
      <c r="AV90" s="386">
        <f t="shared" ref="AV90:AV118" si="237">IF(V90="Х","Х",IF(W90&lt;3,B90,"Х"))</f>
        <v>42</v>
      </c>
      <c r="AW90" s="19"/>
      <c r="AX90" s="19"/>
      <c r="AY90" s="19"/>
      <c r="AZ90" s="19"/>
      <c r="BU90" s="377">
        <f>IF(J90="х"," ",B90)</f>
        <v>42</v>
      </c>
      <c r="BV90" s="377">
        <f>IF(L90="х"," ",B90)</f>
        <v>42</v>
      </c>
      <c r="BW90" s="377" t="str">
        <f>IF(BV90=" "," ",L90)</f>
        <v xml:space="preserve"> </v>
      </c>
      <c r="BX90" s="377" t="str">
        <f>IF(BU90=" "," ",J90)</f>
        <v xml:space="preserve"> </v>
      </c>
      <c r="BY90" s="61">
        <f>IF(BU90&lt;BX90,BU90,0)</f>
        <v>42</v>
      </c>
      <c r="BZ90" s="61">
        <f t="shared" si="84"/>
        <v>42</v>
      </c>
      <c r="CA90" s="124">
        <f t="array" aca="1" ref="CA9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0">
        <f>IF(BV90&lt;BW90,BV90,0)</f>
        <v>42</v>
      </c>
      <c r="CC90" s="125">
        <f t="shared" si="190"/>
        <v>42</v>
      </c>
      <c r="CD90" s="51">
        <f t="array" aca="1" ref="CD90" ca="1">IF(ROW()-ROW(Н4кр)+1&gt;ROWS(Е4кр)-COUNTBLANK(Е4кр)," ",INDIRECT(ADDRESS(SMALL((IF(Е4кр&lt;&gt;" ",ROW(Е4кр),ROW()+ROWS(Е4кр))),ROW()-ROW(Н4кр)+1),COLUMN(Е4кр),4)))</f>
        <v>0</v>
      </c>
      <c r="CF90" s="377">
        <f>IF(N90="х"," ",B90)</f>
        <v>42</v>
      </c>
      <c r="CG90" s="377" t="str">
        <f>IF(CF90=" "," ",N90)</f>
        <v xml:space="preserve"> </v>
      </c>
      <c r="CH90" s="125">
        <f>IF(CF90&lt;CG90,CF90,0)</f>
        <v>42</v>
      </c>
      <c r="CI90">
        <f t="shared" si="197"/>
        <v>42</v>
      </c>
      <c r="CJ90" s="51">
        <f t="array" aca="1" ref="CJ90" ca="1">IF(ROW()-ROW(Н5кр)+1&gt;ROWS(Е5кр)-COUNTBLANK(Е5кр)," ",INDIRECT(ADDRESS(SMALL((IF(Е5кр&lt;&gt;" ",ROW(Е5кр),ROW()+ROWS(Е5кр))),ROW()-ROW(Н5кр)+1),COLUMN(Е5кр),4)))</f>
        <v>0</v>
      </c>
      <c r="CL90" s="377">
        <f>IF(P90="х"," ",B90)</f>
        <v>42</v>
      </c>
      <c r="CM90" s="377" t="str">
        <f>IF(CL90=" "," ",P90)</f>
        <v xml:space="preserve"> </v>
      </c>
      <c r="CN90">
        <f>IF(CL90&lt;CM90,CL90,0)</f>
        <v>42</v>
      </c>
      <c r="CO90">
        <f t="shared" si="191"/>
        <v>42</v>
      </c>
      <c r="CP90">
        <f t="array" aca="1" ref="CP90" ca="1">IF(ROW()-ROW(Н6кр)+1&gt;ROWS(Е6кр)-COUNTBLANK(Е6кр)," ",INDIRECT(ADDRESS(SMALL((IF(Е6кр&lt;&gt;" ",ROW(Е6кр),ROW()+ROWS(Е6кр))),ROW()-ROW(Н6кр)+1),COLUMN(Е6кр),4)))</f>
        <v>0</v>
      </c>
      <c r="CR90" s="377">
        <f t="shared" ref="CR90" si="238">IF(R90="х"," ",B90)</f>
        <v>42</v>
      </c>
      <c r="CS90" s="377" t="str">
        <f t="shared" ref="CS90" si="239">IF(CR90=" "," ",R90)</f>
        <v xml:space="preserve"> </v>
      </c>
      <c r="CT90">
        <f>IF(CR90&lt;CS90,CR90,0)</f>
        <v>42</v>
      </c>
      <c r="CU90">
        <f t="shared" si="192"/>
        <v>42</v>
      </c>
      <c r="CV90">
        <f t="array" aca="1" ref="CV90" ca="1">IF(ROW()-ROW(Н7кр)+1&gt;ROWS(Е7кр)-COUNTBLANK(Е7кр)," ",INDIRECT(ADDRESS(SMALL((IF(Е7кр&lt;&gt;" ",ROW(Е7кр),ROW()+ROWS(Е7кр))),ROW()-ROW(Н7кр)+1),COLUMN(Е7кр),4)))</f>
        <v>0</v>
      </c>
    </row>
    <row r="91" spans="1:100" ht="12" hidden="1" customHeight="1" thickBot="1">
      <c r="A91" s="198"/>
      <c r="B91" s="424"/>
      <c r="C91" s="426"/>
      <c r="D91" s="428"/>
      <c r="E91" s="430"/>
      <c r="F91" s="442"/>
      <c r="G91" s="44"/>
      <c r="H91" s="439"/>
      <c r="I91" s="44"/>
      <c r="J91" s="439"/>
      <c r="K91" s="44"/>
      <c r="L91" s="439"/>
      <c r="M91" s="44"/>
      <c r="N91" s="439"/>
      <c r="O91" s="44"/>
      <c r="P91" s="439"/>
      <c r="Q91" s="44"/>
      <c r="R91" s="439"/>
      <c r="S91" s="44"/>
      <c r="T91" s="439"/>
      <c r="U91" s="47"/>
      <c r="V91" s="439"/>
      <c r="W91" s="44"/>
      <c r="X91" s="439"/>
      <c r="Y91" s="44"/>
      <c r="Z91" s="422"/>
      <c r="AA91" s="465"/>
      <c r="AB91" s="432"/>
      <c r="AC91" s="386"/>
      <c r="AD91" s="387"/>
      <c r="AE91" s="389"/>
      <c r="AF91" s="390"/>
      <c r="AG91" s="390"/>
      <c r="AH91" s="390"/>
      <c r="AI91" s="390"/>
      <c r="AJ91" s="390"/>
      <c r="AK91" s="390"/>
      <c r="AL91" s="390"/>
      <c r="AM91" s="390"/>
      <c r="AN91" s="392"/>
      <c r="AO91" s="387"/>
      <c r="AP91" s="394"/>
      <c r="AQ91" s="387"/>
      <c r="AR91" s="395"/>
      <c r="AS91" s="183"/>
      <c r="AT91" s="183"/>
      <c r="AU91" s="183"/>
      <c r="AV91" s="386"/>
      <c r="AW91" s="19"/>
      <c r="AX91" s="19"/>
      <c r="AY91" s="19"/>
      <c r="AZ91" s="19"/>
      <c r="BU91" s="377"/>
      <c r="BV91" s="377"/>
      <c r="BW91" s="377"/>
      <c r="BX91" s="377"/>
      <c r="BY91" s="61" t="str">
        <f>IF(BY90&gt;=1,BX90,0)</f>
        <v xml:space="preserve"> </v>
      </c>
      <c r="BZ91" s="61" t="str">
        <f t="shared" si="84"/>
        <v xml:space="preserve"> </v>
      </c>
      <c r="CA91" s="124">
        <f t="array" aca="1" ref="CA9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1" t="str">
        <f>IF(CB90&gt;=1,BW90,0)</f>
        <v xml:space="preserve"> </v>
      </c>
      <c r="CC91" s="125" t="str">
        <f t="shared" si="190"/>
        <v xml:space="preserve"> </v>
      </c>
      <c r="CD91" s="51">
        <f t="array" aca="1" ref="CD91" ca="1">IF(ROW()-ROW(Н4кр)+1&gt;ROWS(Е4кр)-COUNTBLANK(Е4кр)," ",INDIRECT(ADDRESS(SMALL((IF(Е4кр&lt;&gt;" ",ROW(Е4кр),ROW()+ROWS(Е4кр))),ROW()-ROW(Н4кр)+1),COLUMN(Е4кр),4)))</f>
        <v>0</v>
      </c>
      <c r="CF91" s="377"/>
      <c r="CG91" s="377"/>
      <c r="CH91" s="125" t="str">
        <f>IF(CH90&gt;=1,CG90,0)</f>
        <v xml:space="preserve"> </v>
      </c>
      <c r="CI91" t="str">
        <f t="shared" si="197"/>
        <v xml:space="preserve"> </v>
      </c>
      <c r="CJ91" s="51">
        <f t="array" aca="1" ref="CJ91" ca="1">IF(ROW()-ROW(Н5кр)+1&gt;ROWS(Е5кр)-COUNTBLANK(Е5кр)," ",INDIRECT(ADDRESS(SMALL((IF(Е5кр&lt;&gt;" ",ROW(Е5кр),ROW()+ROWS(Е5кр))),ROW()-ROW(Н5кр)+1),COLUMN(Е5кр),4)))</f>
        <v>0</v>
      </c>
      <c r="CL91" s="377"/>
      <c r="CM91" s="377"/>
      <c r="CN91" t="str">
        <f>IF(CN90&gt;=1,CM90,0)</f>
        <v xml:space="preserve"> </v>
      </c>
      <c r="CO91" t="str">
        <f t="shared" si="191"/>
        <v xml:space="preserve"> </v>
      </c>
      <c r="CP91">
        <f t="array" aca="1" ref="CP91" ca="1">IF(ROW()-ROW(Н6кр)+1&gt;ROWS(Е6кр)-COUNTBLANK(Е6кр)," ",INDIRECT(ADDRESS(SMALL((IF(Е6кр&lt;&gt;" ",ROW(Е6кр),ROW()+ROWS(Е6кр))),ROW()-ROW(Н6кр)+1),COLUMN(Е6кр),4)))</f>
        <v>0</v>
      </c>
      <c r="CR91" s="377"/>
      <c r="CS91" s="377"/>
      <c r="CT91" t="str">
        <f>IF(CT90&gt;=1,CS90,0)</f>
        <v xml:space="preserve"> </v>
      </c>
      <c r="CU91" t="str">
        <f t="shared" si="192"/>
        <v xml:space="preserve"> </v>
      </c>
      <c r="CV91">
        <f t="array" aca="1" ref="CV91" ca="1">IF(ROW()-ROW(Н7кр)+1&gt;ROWS(Е7кр)-COUNTBLANK(Е7кр)," ",INDIRECT(ADDRESS(SMALL((IF(Е7кр&lt;&gt;" ",ROW(Е7кр),ROW()+ROWS(Е7кр))),ROW()-ROW(Н7кр)+1),COLUMN(Е7кр),4)))</f>
        <v>0</v>
      </c>
    </row>
    <row r="92" spans="1:100" ht="12" hidden="1" customHeight="1" thickTop="1">
      <c r="A92" s="198"/>
      <c r="B92" s="423">
        <v>43</v>
      </c>
      <c r="C92" s="425" t="e">
        <f>(VLOOKUP(B92,пр.взв!$B$7:$H$76,2,0))</f>
        <v>#N/A</v>
      </c>
      <c r="D92" s="427" t="e">
        <f>(VLOOKUP(B92,пр.взв!$B$7:$H$76,3,0))</f>
        <v>#N/A</v>
      </c>
      <c r="E92" s="429" t="e">
        <f>(VLOOKUP(B92,пр.взв!$B$7:$H$76,5,0))</f>
        <v>#N/A</v>
      </c>
      <c r="F92" s="445">
        <f t="shared" si="218"/>
        <v>0</v>
      </c>
      <c r="G92" s="42"/>
      <c r="H92" s="440"/>
      <c r="I92" s="42"/>
      <c r="J92" s="444" t="str">
        <f>IF(H92="Х","Х",IF(I92+G92&lt;6," ",IF(I92+G92&gt;=6,IF(AA92&gt;=6,"Х",IF(AA92&lt;6," "," ")))))</f>
        <v xml:space="preserve"> </v>
      </c>
      <c r="K92" s="41"/>
      <c r="L92" s="438" t="str">
        <f>IF(J92="Х","Х",IF(K92&lt;2.5," ",IF(K92&gt;=2.5,IF(G92+I92+K92&gt;=6,"Х",IF(AA92&lt;6," "," ")))))</f>
        <v xml:space="preserve"> </v>
      </c>
      <c r="M92" s="41"/>
      <c r="N92" s="438" t="str">
        <f>IF(L92="Х","Х",IF(M92&lt;2.5," ",IF(M92&gt;=2.5,IF(G92+I92+K92+M92&gt;=6,"Х",IF(AA92&lt;6," "," ")))))</f>
        <v xml:space="preserve"> </v>
      </c>
      <c r="O92" s="41"/>
      <c r="P92" s="438" t="str">
        <f>IF(N92="Х","Х",IF(O92&lt;2.5," ",IF(O92&gt;=2.5,IF(G92+I92+K92+M92+O92&gt;=6,"Х",IF(AA92&lt;6," "," ")))))</f>
        <v xml:space="preserve"> </v>
      </c>
      <c r="Q92" s="41"/>
      <c r="R92" s="438" t="str">
        <f>IF(P92="Х","Х",IF(Q92&lt;2.5," ",IF(Q92&gt;=2.5,IF(G92+I92+K92+M92+O92+Q92&gt;=6,"Х",IF(AA92&lt;6," "," ")))))</f>
        <v xml:space="preserve"> </v>
      </c>
      <c r="S92" s="41"/>
      <c r="T92" s="438" t="str">
        <f>IF(R92="Х","Х",IF(S92&lt;2.5," ",IF(S92&gt;=2.5,IF(G92+I92+K92+M92+O92+Q92+S92&gt;=6,"Х",IF(AA92&lt;6," "," ")))))</f>
        <v xml:space="preserve"> </v>
      </c>
      <c r="U92" s="45"/>
      <c r="V92" s="438" t="str">
        <f>IF(T92="А1",$AX$7,IF(T92="Б2",$AX$6,IF(T92="Б1",$AY$7,IF(T92="А2",$AY$6,IF(T92="Х","Х",IF(T92&lt;6," "," "))))))</f>
        <v xml:space="preserve"> </v>
      </c>
      <c r="W92" s="41"/>
      <c r="X92" s="438" t="str">
        <f t="shared" ref="X92" si="240">IF(T92="Х","Х",IF(ISBLANK(W92),"",IF(W92&gt;2.5," ",IF(B92=AZ$6,AZ$7,AZ$6))))</f>
        <v/>
      </c>
      <c r="Y92" s="42"/>
      <c r="Z92" s="466" t="b">
        <f>IF(H92="Х","1",IF(J92="Х","2",IF(L92="Х","3",IF(N92="Х","4",IF(P92="Х","5",IF(R92="Х","6",IF(T92="Х","7",IF(V92="Х","8"))))))))</f>
        <v>0</v>
      </c>
      <c r="AA92" s="464">
        <f>SUM(G92+I92+K92+M92+O92+Q92+S92+U92+W92+Y92)</f>
        <v>0</v>
      </c>
      <c r="AB92" s="431">
        <f t="shared" ref="AB92" si="241">AD92+0</f>
        <v>20576</v>
      </c>
      <c r="AC92" s="386">
        <f>AB92</f>
        <v>20576</v>
      </c>
      <c r="AD92" s="387" t="str">
        <f>COUNTIF(AE$6:AE$119,"&gt;"&amp;AE$6:AE$119)+1&amp;REPT("-"&amp;COUNTIF(AE$6:AE$119,"&gt;="&amp;AE$6:AE$119),COUNTIF(AE$6:AE$119,AE92)&gt;1)</f>
        <v>5-56</v>
      </c>
      <c r="AE92" s="388">
        <f t="shared" si="221"/>
        <v>80</v>
      </c>
      <c r="AF92" s="390" t="str">
        <f>IF(OR(F92="Х",F92="св")," ",IF(AND(G92&gt;=0,G92&lt;3),"1"," "))</f>
        <v>1</v>
      </c>
      <c r="AG92" s="390" t="str">
        <f>IF(OR(H92="Х",H92="св")," ",IF(AND(I92&gt;=0,I92&lt;3),"1"," "))</f>
        <v>1</v>
      </c>
      <c r="AH92" s="390" t="str">
        <f>IF(OR(J92="Х",J92="св")," ",IF(AND(K92&gt;=0,K92&lt;3),"1"," "))</f>
        <v>1</v>
      </c>
      <c r="AI92" s="390" t="str">
        <f>IF(OR(L92="Х",L92="св")," ",IF(AND(M92&gt;=0,M92&lt;3),"1"," "))</f>
        <v>1</v>
      </c>
      <c r="AJ92" s="390" t="str">
        <f>IF(OR(N92="Х",N92="св")," ",IF(AND(O92&gt;=0,O92&lt;3),"1"," "))</f>
        <v>1</v>
      </c>
      <c r="AK92" s="390" t="str">
        <f>IF(OR(P92="Х",P92="св")," ",IF(AND(Q92&gt;=0,Q92&lt;3),"1"," "))</f>
        <v>1</v>
      </c>
      <c r="AL92" s="390" t="str">
        <f>IF(OR(R92="Х",R92="св")," ",IF(AND(S92&gt;=0,S92&lt;3),"1"," "))</f>
        <v>1</v>
      </c>
      <c r="AM92" s="390" t="str">
        <f>IF(OR(T92="Х",T92="св")," ",IF(AND(U92&gt;=0,U92&lt;3),"1"," "))</f>
        <v>1</v>
      </c>
      <c r="AN92" s="391">
        <f>COUNTIF(AF92:AM93,1)</f>
        <v>8</v>
      </c>
      <c r="AO92" s="393">
        <f>AE92-AA92</f>
        <v>80</v>
      </c>
      <c r="AP92" s="394">
        <f t="shared" si="196"/>
        <v>0</v>
      </c>
      <c r="AQ92" s="387" t="str">
        <f>COUNTIF(AE$6:AE$119,"&gt;"&amp;AE$6:AE$119)+1&amp;REPT("-"&amp;COUNTIF(AE$6:AE$119,"&gt;="&amp;AE$6:AE$119),COUNTIF(AE$6:AE$119,AE92)&gt;1)</f>
        <v>5-56</v>
      </c>
      <c r="AR92" s="395"/>
      <c r="AS92" s="183"/>
      <c r="AT92" s="183"/>
      <c r="AU92" s="183"/>
      <c r="AV92" s="386">
        <f t="shared" si="237"/>
        <v>43</v>
      </c>
      <c r="AW92" s="19"/>
      <c r="AX92" s="19"/>
      <c r="AY92" s="19"/>
      <c r="AZ92" s="19"/>
      <c r="BU92" s="377">
        <f>IF(J92="х"," ",B92)</f>
        <v>43</v>
      </c>
      <c r="BV92" s="377">
        <f>IF(L92="х"," ",B92)</f>
        <v>43</v>
      </c>
      <c r="BW92" s="377" t="str">
        <f>IF(BV92=" "," ",L92)</f>
        <v xml:space="preserve"> </v>
      </c>
      <c r="BX92" s="377" t="str">
        <f>IF(BU92=" "," ",J92)</f>
        <v xml:space="preserve"> </v>
      </c>
      <c r="BY92" s="61">
        <f>IF(BU92&lt;BX92,BU92,0)</f>
        <v>43</v>
      </c>
      <c r="BZ92" s="61">
        <f t="shared" si="84"/>
        <v>43</v>
      </c>
      <c r="CA92" s="124">
        <f t="array" aca="1" ref="CA9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2">
        <f>IF(BV92&lt;BW92,BV92,0)</f>
        <v>43</v>
      </c>
      <c r="CC92" s="125">
        <f t="shared" si="190"/>
        <v>43</v>
      </c>
      <c r="CD92" s="51">
        <f t="array" aca="1" ref="CD92" ca="1">IF(ROW()-ROW(Н4кр)+1&gt;ROWS(Е4кр)-COUNTBLANK(Е4кр)," ",INDIRECT(ADDRESS(SMALL((IF(Е4кр&lt;&gt;" ",ROW(Е4кр),ROW()+ROWS(Е4кр))),ROW()-ROW(Н4кр)+1),COLUMN(Е4кр),4)))</f>
        <v>0</v>
      </c>
      <c r="CF92" s="377">
        <f>IF(N92="х"," ",B92)</f>
        <v>43</v>
      </c>
      <c r="CG92" s="377" t="str">
        <f>IF(CF92=" "," ",N92)</f>
        <v xml:space="preserve"> </v>
      </c>
      <c r="CH92" s="125">
        <f>IF(CF92&lt;CG92,CF92,0)</f>
        <v>43</v>
      </c>
      <c r="CI92">
        <f t="shared" si="197"/>
        <v>43</v>
      </c>
      <c r="CJ92" s="51">
        <f t="array" aca="1" ref="CJ92" ca="1">IF(ROW()-ROW(Н5кр)+1&gt;ROWS(Е5кр)-COUNTBLANK(Е5кр)," ",INDIRECT(ADDRESS(SMALL((IF(Е5кр&lt;&gt;" ",ROW(Е5кр),ROW()+ROWS(Е5кр))),ROW()-ROW(Н5кр)+1),COLUMN(Е5кр),4)))</f>
        <v>0</v>
      </c>
      <c r="CL92" s="377">
        <f>IF(P92="х"," ",B92)</f>
        <v>43</v>
      </c>
      <c r="CM92" s="377" t="str">
        <f>IF(CL92=" "," ",P92)</f>
        <v xml:space="preserve"> </v>
      </c>
      <c r="CN92">
        <f>IF(CL92&lt;CM92,CL92,0)</f>
        <v>43</v>
      </c>
      <c r="CO92">
        <f t="shared" si="191"/>
        <v>43</v>
      </c>
      <c r="CP92">
        <f t="array" aca="1" ref="CP92" ca="1">IF(ROW()-ROW(Н6кр)+1&gt;ROWS(Е6кр)-COUNTBLANK(Е6кр)," ",INDIRECT(ADDRESS(SMALL((IF(Е6кр&lt;&gt;" ",ROW(Е6кр),ROW()+ROWS(Е6кр))),ROW()-ROW(Н6кр)+1),COLUMN(Е6кр),4)))</f>
        <v>0</v>
      </c>
      <c r="CR92" s="377">
        <f t="shared" ref="CR92" si="242">IF(R92="х"," ",B92)</f>
        <v>43</v>
      </c>
      <c r="CS92" s="377" t="str">
        <f t="shared" ref="CS92" si="243">IF(CR92=" "," ",R92)</f>
        <v xml:space="preserve"> </v>
      </c>
      <c r="CT92">
        <f>IF(CR92&lt;CS92,CR92,0)</f>
        <v>43</v>
      </c>
      <c r="CU92">
        <f t="shared" si="192"/>
        <v>43</v>
      </c>
      <c r="CV92">
        <f t="array" aca="1" ref="CV92" ca="1">IF(ROW()-ROW(Н7кр)+1&gt;ROWS(Е7кр)-COUNTBLANK(Е7кр)," ",INDIRECT(ADDRESS(SMALL((IF(Е7кр&lt;&gt;" ",ROW(Е7кр),ROW()+ROWS(Е7кр))),ROW()-ROW(Н7кр)+1),COLUMN(Е7кр),4)))</f>
        <v>0</v>
      </c>
    </row>
    <row r="93" spans="1:100" ht="12" hidden="1" customHeight="1" thickBot="1">
      <c r="A93" s="198"/>
      <c r="B93" s="424"/>
      <c r="C93" s="426"/>
      <c r="D93" s="428"/>
      <c r="E93" s="430"/>
      <c r="F93" s="442"/>
      <c r="G93" s="44"/>
      <c r="H93" s="439"/>
      <c r="I93" s="44"/>
      <c r="J93" s="439"/>
      <c r="K93" s="44"/>
      <c r="L93" s="439"/>
      <c r="M93" s="44"/>
      <c r="N93" s="439"/>
      <c r="O93" s="44"/>
      <c r="P93" s="439"/>
      <c r="Q93" s="44"/>
      <c r="R93" s="439"/>
      <c r="S93" s="44"/>
      <c r="T93" s="439"/>
      <c r="U93" s="47"/>
      <c r="V93" s="439"/>
      <c r="W93" s="44"/>
      <c r="X93" s="439"/>
      <c r="Y93" s="44"/>
      <c r="Z93" s="422"/>
      <c r="AA93" s="465"/>
      <c r="AB93" s="432"/>
      <c r="AC93" s="386"/>
      <c r="AD93" s="387"/>
      <c r="AE93" s="389"/>
      <c r="AF93" s="390"/>
      <c r="AG93" s="390"/>
      <c r="AH93" s="390"/>
      <c r="AI93" s="390"/>
      <c r="AJ93" s="390"/>
      <c r="AK93" s="390"/>
      <c r="AL93" s="390"/>
      <c r="AM93" s="390"/>
      <c r="AN93" s="392"/>
      <c r="AO93" s="387"/>
      <c r="AP93" s="394"/>
      <c r="AQ93" s="387"/>
      <c r="AR93" s="395"/>
      <c r="AS93" s="183"/>
      <c r="AT93" s="183"/>
      <c r="AU93" s="183"/>
      <c r="AV93" s="386"/>
      <c r="AW93" s="19"/>
      <c r="AX93" s="19"/>
      <c r="AY93" s="19"/>
      <c r="AZ93" s="19"/>
      <c r="BU93" s="377"/>
      <c r="BV93" s="377"/>
      <c r="BW93" s="377"/>
      <c r="BX93" s="377"/>
      <c r="BY93" s="61" t="str">
        <f>IF(BY92&gt;=1,BX92,0)</f>
        <v xml:space="preserve"> </v>
      </c>
      <c r="BZ93" s="61" t="str">
        <f t="shared" si="84"/>
        <v xml:space="preserve"> </v>
      </c>
      <c r="CA93" s="124">
        <f t="array" aca="1" ref="CA9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3" t="str">
        <f>IF(CB92&gt;=1,BW92,0)</f>
        <v xml:space="preserve"> </v>
      </c>
      <c r="CC93" s="125" t="str">
        <f t="shared" si="190"/>
        <v xml:space="preserve"> </v>
      </c>
      <c r="CD93" s="51">
        <f t="array" aca="1" ref="CD93" ca="1">IF(ROW()-ROW(Н4кр)+1&gt;ROWS(Е4кр)-COUNTBLANK(Е4кр)," ",INDIRECT(ADDRESS(SMALL((IF(Е4кр&lt;&gt;" ",ROW(Е4кр),ROW()+ROWS(Е4кр))),ROW()-ROW(Н4кр)+1),COLUMN(Е4кр),4)))</f>
        <v>0</v>
      </c>
      <c r="CF93" s="377"/>
      <c r="CG93" s="377"/>
      <c r="CH93" s="125" t="str">
        <f>IF(CH92&gt;=1,CG92,0)</f>
        <v xml:space="preserve"> </v>
      </c>
      <c r="CI93" t="str">
        <f t="shared" si="197"/>
        <v xml:space="preserve"> </v>
      </c>
      <c r="CJ93" s="51">
        <f t="array" aca="1" ref="CJ93" ca="1">IF(ROW()-ROW(Н5кр)+1&gt;ROWS(Е5кр)-COUNTBLANK(Е5кр)," ",INDIRECT(ADDRESS(SMALL((IF(Е5кр&lt;&gt;" ",ROW(Е5кр),ROW()+ROWS(Е5кр))),ROW()-ROW(Н5кр)+1),COLUMN(Е5кр),4)))</f>
        <v>0</v>
      </c>
      <c r="CL93" s="377"/>
      <c r="CM93" s="377"/>
      <c r="CN93" t="str">
        <f>IF(CN92&gt;=1,CM92,0)</f>
        <v xml:space="preserve"> </v>
      </c>
      <c r="CO93" t="str">
        <f t="shared" si="191"/>
        <v xml:space="preserve"> </v>
      </c>
      <c r="CP93">
        <f t="array" aca="1" ref="CP93" ca="1">IF(ROW()-ROW(Н6кр)+1&gt;ROWS(Е6кр)-COUNTBLANK(Е6кр)," ",INDIRECT(ADDRESS(SMALL((IF(Е6кр&lt;&gt;" ",ROW(Е6кр),ROW()+ROWS(Е6кр))),ROW()-ROW(Н6кр)+1),COLUMN(Е6кр),4)))</f>
        <v>0</v>
      </c>
      <c r="CR93" s="377"/>
      <c r="CS93" s="377"/>
      <c r="CT93" t="str">
        <f>IF(CT92&gt;=1,CS92,0)</f>
        <v xml:space="preserve"> </v>
      </c>
      <c r="CU93" t="str">
        <f t="shared" si="192"/>
        <v xml:space="preserve"> </v>
      </c>
      <c r="CV93">
        <f t="array" aca="1" ref="CV93" ca="1">IF(ROW()-ROW(Н7кр)+1&gt;ROWS(Е7кр)-COUNTBLANK(Е7кр)," ",INDIRECT(ADDRESS(SMALL((IF(Е7кр&lt;&gt;" ",ROW(Е7кр),ROW()+ROWS(Е7кр))),ROW()-ROW(Н7кр)+1),COLUMN(Е7кр),4)))</f>
        <v>0</v>
      </c>
    </row>
    <row r="94" spans="1:100" ht="12" hidden="1" customHeight="1" thickTop="1">
      <c r="A94" s="198"/>
      <c r="B94" s="423">
        <v>44</v>
      </c>
      <c r="C94" s="425" t="e">
        <f>(VLOOKUP(B94,пр.взв!$B$7:$H$76,2,0))</f>
        <v>#N/A</v>
      </c>
      <c r="D94" s="427" t="e">
        <f>(VLOOKUP(B94,пр.взв!$B$7:$H$76,3,0))</f>
        <v>#N/A</v>
      </c>
      <c r="E94" s="429" t="e">
        <f>(VLOOKUP(B94,пр.взв!$B$7:$H$76,5,0))</f>
        <v>#N/A</v>
      </c>
      <c r="F94" s="443">
        <f t="shared" si="224"/>
        <v>0</v>
      </c>
      <c r="G94" s="42"/>
      <c r="H94" s="440"/>
      <c r="I94" s="42"/>
      <c r="J94" s="444" t="str">
        <f>IF(H94="Х","Х",IF(I94+G94&lt;6," ",IF(I94+G94&gt;=6,IF(AA94&gt;=6,"Х",IF(AA94&lt;6," "," ")))))</f>
        <v xml:space="preserve"> </v>
      </c>
      <c r="K94" s="41"/>
      <c r="L94" s="438" t="str">
        <f>IF(J94="Х","Х",IF(K94&lt;2.5," ",IF(K94&gt;=2.5,IF(G94+I94+K94&gt;=6,"Х",IF(AA94&lt;6," "," ")))))</f>
        <v xml:space="preserve"> </v>
      </c>
      <c r="M94" s="41"/>
      <c r="N94" s="438" t="str">
        <f>IF(L94="Х","Х",IF(M94&lt;2.5," ",IF(M94&gt;=2.5,IF(G94+I94+K94+M94&gt;=6,"Х",IF(AA94&lt;6," "," ")))))</f>
        <v xml:space="preserve"> </v>
      </c>
      <c r="O94" s="41"/>
      <c r="P94" s="438" t="str">
        <f>IF(N94="Х","Х",IF(O94&lt;2.5," ",IF(O94&gt;=2.5,IF(G94+I94+K94+M94+O94&gt;=6,"Х",IF(AA94&lt;6," "," ")))))</f>
        <v xml:space="preserve"> </v>
      </c>
      <c r="Q94" s="41"/>
      <c r="R94" s="438" t="str">
        <f>IF(P94="Х","Х",IF(Q94&lt;2.5," ",IF(Q94&gt;=2.5,IF(G94+I94+K94+M94+O94+Q94&gt;=6,"Х",IF(AA94&lt;6," "," ")))))</f>
        <v xml:space="preserve"> </v>
      </c>
      <c r="S94" s="41"/>
      <c r="T94" s="438" t="str">
        <f>IF(R94="Х","Х",IF(S94&lt;2.5," ",IF(S94&gt;=2.5,IF(G94+I94+K94+M94+O94+Q94+S94&gt;=6,"Х",IF(AA94&lt;6," "," ")))))</f>
        <v xml:space="preserve"> </v>
      </c>
      <c r="U94" s="45"/>
      <c r="V94" s="438" t="str">
        <f>IF(T94="А1",$AX$7,IF(T94="Б2",$AX$6,IF(T94="Б1",$AY$7,IF(T94="А2",$AY$6,IF(T94="Х","Х",IF(T94&lt;6," "," "))))))</f>
        <v xml:space="preserve"> </v>
      </c>
      <c r="W94" s="41"/>
      <c r="X94" s="438" t="str">
        <f t="shared" ref="X94" si="244">IF(T94="Х","Х",IF(ISBLANK(W94),"",IF(W94&gt;2.5," ",IF(B94=AZ$6,AZ$7,AZ$6))))</f>
        <v/>
      </c>
      <c r="Y94" s="42"/>
      <c r="Z94" s="466" t="b">
        <f>IF(H94="Х","1",IF(J94="Х","2",IF(L94="Х","3",IF(N94="Х","4",IF(P94="Х","5",IF(R94="Х","6",IF(T94="Х","7",IF(V94="Х","8"))))))))</f>
        <v>0</v>
      </c>
      <c r="AA94" s="464">
        <f>SUM(G94+I94+K94+M94+O94+Q94+S94+U94+W94+Y94)</f>
        <v>0</v>
      </c>
      <c r="AB94" s="431">
        <f t="shared" ref="AB94" si="245">AD94+0</f>
        <v>20576</v>
      </c>
      <c r="AC94" s="386">
        <f>AB94</f>
        <v>20576</v>
      </c>
      <c r="AD94" s="387" t="str">
        <f>COUNTIF(AE$6:AE$119,"&gt;"&amp;AE$6:AE$119)+1&amp;REPT("-"&amp;COUNTIF(AE$6:AE$119,"&gt;="&amp;AE$6:AE$119),COUNTIF(AE$6:AE$119,AE94)&gt;1)</f>
        <v>5-56</v>
      </c>
      <c r="AE94" s="388">
        <f t="shared" si="221"/>
        <v>80</v>
      </c>
      <c r="AF94" s="390" t="str">
        <f>IF(OR(F94="Х",F94="св")," ",IF(AND(G94&gt;=0,G94&lt;3),"1"," "))</f>
        <v>1</v>
      </c>
      <c r="AG94" s="390" t="str">
        <f>IF(OR(H94="Х",H94="св")," ",IF(AND(I94&gt;=0,I94&lt;3),"1"," "))</f>
        <v>1</v>
      </c>
      <c r="AH94" s="390" t="str">
        <f>IF(OR(J94="Х",J94="св")," ",IF(AND(K94&gt;=0,K94&lt;3),"1"," "))</f>
        <v>1</v>
      </c>
      <c r="AI94" s="390" t="str">
        <f>IF(OR(L94="Х",L94="св")," ",IF(AND(M94&gt;=0,M94&lt;3),"1"," "))</f>
        <v>1</v>
      </c>
      <c r="AJ94" s="390" t="str">
        <f>IF(OR(N94="Х",N94="св")," ",IF(AND(O94&gt;=0,O94&lt;3),"1"," "))</f>
        <v>1</v>
      </c>
      <c r="AK94" s="390" t="str">
        <f>IF(OR(P94="Х",P94="св")," ",IF(AND(Q94&gt;=0,Q94&lt;3),"1"," "))</f>
        <v>1</v>
      </c>
      <c r="AL94" s="390" t="str">
        <f>IF(OR(R94="Х",R94="св")," ",IF(AND(S94&gt;=0,S94&lt;3),"1"," "))</f>
        <v>1</v>
      </c>
      <c r="AM94" s="390" t="str">
        <f>IF(OR(T94="Х",T94="св")," ",IF(AND(U94&gt;=0,U94&lt;3),"1"," "))</f>
        <v>1</v>
      </c>
      <c r="AN94" s="391">
        <f>COUNTIF(AF94:AM95,1)</f>
        <v>8</v>
      </c>
      <c r="AO94" s="393">
        <f>AE94-AA94</f>
        <v>80</v>
      </c>
      <c r="AP94" s="394">
        <f t="shared" si="196"/>
        <v>0</v>
      </c>
      <c r="AQ94" s="387" t="str">
        <f>COUNTIF(AE$6:AE$119,"&gt;"&amp;AE$6:AE$119)+1&amp;REPT("-"&amp;COUNTIF(AE$6:AE$119,"&gt;="&amp;AE$6:AE$119),COUNTIF(AE$6:AE$119,AE94)&gt;1)</f>
        <v>5-56</v>
      </c>
      <c r="AR94" s="395"/>
      <c r="AS94" s="183"/>
      <c r="AT94" s="183"/>
      <c r="AU94" s="183"/>
      <c r="AV94" s="386">
        <f t="shared" si="237"/>
        <v>44</v>
      </c>
      <c r="AW94" s="19"/>
      <c r="AX94" s="19"/>
      <c r="AY94" s="19"/>
      <c r="AZ94" s="19"/>
      <c r="BU94" s="377">
        <f>IF(J94="х"," ",B94)</f>
        <v>44</v>
      </c>
      <c r="BV94" s="377">
        <f>IF(L94="х"," ",B94)</f>
        <v>44</v>
      </c>
      <c r="BW94" s="377" t="str">
        <f>IF(BV94=" "," ",L94)</f>
        <v xml:space="preserve"> </v>
      </c>
      <c r="BX94" s="377" t="str">
        <f>IF(BU94=" "," ",J94)</f>
        <v xml:space="preserve"> </v>
      </c>
      <c r="BY94" s="61">
        <f>IF(BU94&lt;BX94,BU94,0)</f>
        <v>44</v>
      </c>
      <c r="BZ94" s="61">
        <f t="shared" si="84"/>
        <v>44</v>
      </c>
      <c r="CA94" s="124">
        <f t="array" aca="1" ref="CA9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4">
        <f>IF(BV94&lt;BW94,BV94,0)</f>
        <v>44</v>
      </c>
      <c r="CC94" s="125">
        <f t="shared" si="190"/>
        <v>44</v>
      </c>
      <c r="CD94" s="51">
        <f t="array" aca="1" ref="CD94" ca="1">IF(ROW()-ROW(Н4кр)+1&gt;ROWS(Е4кр)-COUNTBLANK(Е4кр)," ",INDIRECT(ADDRESS(SMALL((IF(Е4кр&lt;&gt;" ",ROW(Е4кр),ROW()+ROWS(Е4кр))),ROW()-ROW(Н4кр)+1),COLUMN(Е4кр),4)))</f>
        <v>0</v>
      </c>
      <c r="CF94" s="377">
        <f>IF(N94="х"," ",B94)</f>
        <v>44</v>
      </c>
      <c r="CG94" s="377" t="str">
        <f>IF(CF94=" "," ",N94)</f>
        <v xml:space="preserve"> </v>
      </c>
      <c r="CH94" s="125">
        <f>IF(CF94&lt;CG94,CF94,0)</f>
        <v>44</v>
      </c>
      <c r="CI94">
        <f t="shared" si="197"/>
        <v>44</v>
      </c>
      <c r="CJ94" s="51">
        <f t="array" aca="1" ref="CJ94" ca="1">IF(ROW()-ROW(Н5кр)+1&gt;ROWS(Е5кр)-COUNTBLANK(Е5кр)," ",INDIRECT(ADDRESS(SMALL((IF(Е5кр&lt;&gt;" ",ROW(Е5кр),ROW()+ROWS(Е5кр))),ROW()-ROW(Н5кр)+1),COLUMN(Е5кр),4)))</f>
        <v>0</v>
      </c>
      <c r="CL94" s="377">
        <f>IF(P94="х"," ",B94)</f>
        <v>44</v>
      </c>
      <c r="CM94" s="377" t="str">
        <f>IF(CL94=" "," ",P94)</f>
        <v xml:space="preserve"> </v>
      </c>
      <c r="CN94">
        <f>IF(CL94&lt;CM94,CL94,0)</f>
        <v>44</v>
      </c>
      <c r="CO94">
        <f t="shared" si="191"/>
        <v>44</v>
      </c>
      <c r="CP94">
        <f t="array" aca="1" ref="CP94" ca="1">IF(ROW()-ROW(Н6кр)+1&gt;ROWS(Е6кр)-COUNTBLANK(Е6кр)," ",INDIRECT(ADDRESS(SMALL((IF(Е6кр&lt;&gt;" ",ROW(Е6кр),ROW()+ROWS(Е6кр))),ROW()-ROW(Н6кр)+1),COLUMN(Е6кр),4)))</f>
        <v>0</v>
      </c>
      <c r="CR94" s="377">
        <f t="shared" ref="CR94" si="246">IF(R94="х"," ",B94)</f>
        <v>44</v>
      </c>
      <c r="CS94" s="377" t="str">
        <f t="shared" ref="CS94" si="247">IF(CR94=" "," ",R94)</f>
        <v xml:space="preserve"> </v>
      </c>
      <c r="CT94">
        <f>IF(CR94&lt;CS94,CR94,0)</f>
        <v>44</v>
      </c>
      <c r="CU94">
        <f t="shared" si="192"/>
        <v>44</v>
      </c>
      <c r="CV94">
        <f t="array" aca="1" ref="CV94" ca="1">IF(ROW()-ROW(Н7кр)+1&gt;ROWS(Е7кр)-COUNTBLANK(Е7кр)," ",INDIRECT(ADDRESS(SMALL((IF(Е7кр&lt;&gt;" ",ROW(Е7кр),ROW()+ROWS(Е7кр))),ROW()-ROW(Н7кр)+1),COLUMN(Е7кр),4)))</f>
        <v>0</v>
      </c>
    </row>
    <row r="95" spans="1:100" ht="12" hidden="1" customHeight="1" thickBot="1">
      <c r="A95" s="198"/>
      <c r="B95" s="424"/>
      <c r="C95" s="426"/>
      <c r="D95" s="428"/>
      <c r="E95" s="430"/>
      <c r="F95" s="442"/>
      <c r="G95" s="44"/>
      <c r="H95" s="439"/>
      <c r="I95" s="44"/>
      <c r="J95" s="439"/>
      <c r="K95" s="44"/>
      <c r="L95" s="439"/>
      <c r="M95" s="44"/>
      <c r="N95" s="439"/>
      <c r="O95" s="44"/>
      <c r="P95" s="439"/>
      <c r="Q95" s="44"/>
      <c r="R95" s="439"/>
      <c r="S95" s="44"/>
      <c r="T95" s="439"/>
      <c r="U95" s="47"/>
      <c r="V95" s="439"/>
      <c r="W95" s="44"/>
      <c r="X95" s="439"/>
      <c r="Y95" s="44"/>
      <c r="Z95" s="422"/>
      <c r="AA95" s="465"/>
      <c r="AB95" s="432"/>
      <c r="AC95" s="386"/>
      <c r="AD95" s="387"/>
      <c r="AE95" s="389"/>
      <c r="AF95" s="390"/>
      <c r="AG95" s="390"/>
      <c r="AH95" s="390"/>
      <c r="AI95" s="390"/>
      <c r="AJ95" s="390"/>
      <c r="AK95" s="390"/>
      <c r="AL95" s="390"/>
      <c r="AM95" s="390"/>
      <c r="AN95" s="392"/>
      <c r="AO95" s="387"/>
      <c r="AP95" s="394"/>
      <c r="AQ95" s="387"/>
      <c r="AR95" s="395"/>
      <c r="AS95" s="183"/>
      <c r="AT95" s="183"/>
      <c r="AU95" s="183"/>
      <c r="AV95" s="386"/>
      <c r="AW95" s="19"/>
      <c r="AX95" s="19"/>
      <c r="AY95" s="19"/>
      <c r="AZ95" s="19"/>
      <c r="BU95" s="377"/>
      <c r="BV95" s="377"/>
      <c r="BW95" s="377"/>
      <c r="BX95" s="377"/>
      <c r="BY95" s="61" t="str">
        <f>IF(BY94&gt;=1,BX94,0)</f>
        <v xml:space="preserve"> </v>
      </c>
      <c r="BZ95" s="61" t="str">
        <f t="shared" si="84"/>
        <v xml:space="preserve"> </v>
      </c>
      <c r="CA95" s="124">
        <f t="array" aca="1" ref="CA9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5" t="str">
        <f>IF(CB94&gt;=1,BW94,0)</f>
        <v xml:space="preserve"> </v>
      </c>
      <c r="CC95" s="125" t="str">
        <f t="shared" si="190"/>
        <v xml:space="preserve"> </v>
      </c>
      <c r="CD95" s="51">
        <f t="array" aca="1" ref="CD95" ca="1">IF(ROW()-ROW(Н4кр)+1&gt;ROWS(Е4кр)-COUNTBLANK(Е4кр)," ",INDIRECT(ADDRESS(SMALL((IF(Е4кр&lt;&gt;" ",ROW(Е4кр),ROW()+ROWS(Е4кр))),ROW()-ROW(Н4кр)+1),COLUMN(Е4кр),4)))</f>
        <v>0</v>
      </c>
      <c r="CF95" s="377"/>
      <c r="CG95" s="377"/>
      <c r="CH95" s="125" t="str">
        <f>IF(CH94&gt;=1,CG94,0)</f>
        <v xml:space="preserve"> </v>
      </c>
      <c r="CI95" t="str">
        <f t="shared" si="197"/>
        <v xml:space="preserve"> </v>
      </c>
      <c r="CJ95" s="51">
        <f t="array" aca="1" ref="CJ95" ca="1">IF(ROW()-ROW(Н5кр)+1&gt;ROWS(Е5кр)-COUNTBLANK(Е5кр)," ",INDIRECT(ADDRESS(SMALL((IF(Е5кр&lt;&gt;" ",ROW(Е5кр),ROW()+ROWS(Е5кр))),ROW()-ROW(Н5кр)+1),COLUMN(Е5кр),4)))</f>
        <v>0</v>
      </c>
      <c r="CL95" s="377"/>
      <c r="CM95" s="377"/>
      <c r="CN95" t="str">
        <f>IF(CN94&gt;=1,CM94,0)</f>
        <v xml:space="preserve"> </v>
      </c>
      <c r="CO95" t="str">
        <f t="shared" si="191"/>
        <v xml:space="preserve"> </v>
      </c>
      <c r="CP95">
        <f t="array" aca="1" ref="CP95" ca="1">IF(ROW()-ROW(Н6кр)+1&gt;ROWS(Е6кр)-COUNTBLANK(Е6кр)," ",INDIRECT(ADDRESS(SMALL((IF(Е6кр&lt;&gt;" ",ROW(Е6кр),ROW()+ROWS(Е6кр))),ROW()-ROW(Н6кр)+1),COLUMN(Е6кр),4)))</f>
        <v>0</v>
      </c>
      <c r="CR95" s="377"/>
      <c r="CS95" s="377"/>
      <c r="CT95" t="str">
        <f>IF(CT94&gt;=1,CS94,0)</f>
        <v xml:space="preserve"> </v>
      </c>
      <c r="CU95" t="str">
        <f t="shared" si="192"/>
        <v xml:space="preserve"> </v>
      </c>
      <c r="CV95">
        <f t="array" aca="1" ref="CV95" ca="1">IF(ROW()-ROW(Н7кр)+1&gt;ROWS(Е7кр)-COUNTBLANK(Е7кр)," ",INDIRECT(ADDRESS(SMALL((IF(Е7кр&lt;&gt;" ",ROW(Е7кр),ROW()+ROWS(Е7кр))),ROW()-ROW(Н7кр)+1),COLUMN(Е7кр),4)))</f>
        <v>0</v>
      </c>
    </row>
    <row r="96" spans="1:100" ht="12" hidden="1" customHeight="1" thickTop="1">
      <c r="A96" s="198"/>
      <c r="B96" s="423">
        <v>45</v>
      </c>
      <c r="C96" s="425" t="e">
        <f>(VLOOKUP(B96,пр.взв!$B$7:$H$76,2,0))</f>
        <v>#N/A</v>
      </c>
      <c r="D96" s="427" t="e">
        <f>(VLOOKUP(B96,пр.взв!$B$7:$H$76,3,0))</f>
        <v>#N/A</v>
      </c>
      <c r="E96" s="429" t="e">
        <f>(VLOOKUP(B96,пр.взв!$B$7:$H$76,5,0))</f>
        <v>#N/A</v>
      </c>
      <c r="F96" s="445">
        <f t="shared" ref="F96" si="248">IF(ISERROR(C96),0,B98)</f>
        <v>0</v>
      </c>
      <c r="G96" s="42"/>
      <c r="H96" s="440"/>
      <c r="I96" s="42"/>
      <c r="J96" s="444" t="str">
        <f>IF(H96="Х","Х",IF(I96+G96&lt;6," ",IF(I96+G96&gt;=6,IF(AA96&gt;=6,"Х",IF(AA96&lt;6," "," ")))))</f>
        <v xml:space="preserve"> </v>
      </c>
      <c r="K96" s="41"/>
      <c r="L96" s="438" t="str">
        <f>IF(J96="Х","Х",IF(K96&lt;2.5," ",IF(K96&gt;=2.5,IF(G96+I96+K96&gt;=6,"Х",IF(AA96&lt;6," "," ")))))</f>
        <v xml:space="preserve"> </v>
      </c>
      <c r="M96" s="41"/>
      <c r="N96" s="438" t="str">
        <f>IF(L96="Х","Х",IF(M96&lt;2.5," ",IF(M96&gt;=2.5,IF(G96+I96+K96+M96&gt;=6,"Х",IF(AA96&lt;6," "," ")))))</f>
        <v xml:space="preserve"> </v>
      </c>
      <c r="O96" s="41"/>
      <c r="P96" s="438" t="str">
        <f>IF(N96="Х","Х",IF(O96&lt;2.5," ",IF(O96&gt;=2.5,IF(G96+I96+K96+M96+O96&gt;=6,"Х",IF(AA96&lt;6," "," ")))))</f>
        <v xml:space="preserve"> </v>
      </c>
      <c r="Q96" s="41"/>
      <c r="R96" s="438" t="str">
        <f>IF(P96="Х","Х",IF(Q96&lt;2.5," ",IF(Q96&gt;=2.5,IF(G96+I96+K96+M96+O96+Q96&gt;=6,"Х",IF(AA96&lt;6," "," ")))))</f>
        <v xml:space="preserve"> </v>
      </c>
      <c r="S96" s="41"/>
      <c r="T96" s="438" t="str">
        <f>IF(R96="Х","Х",IF(S96&lt;2.5," ",IF(S96&gt;=2.5,IF(G96+I96+K96+M96+O96+Q96+S96&gt;=6,"Х",IF(AA96&lt;6," "," ")))))</f>
        <v xml:space="preserve"> </v>
      </c>
      <c r="U96" s="45"/>
      <c r="V96" s="438" t="str">
        <f>IF(T96="А1",$AX$7,IF(T96="Б2",$AX$6,IF(T96="Б1",$AY$7,IF(T96="А2",$AY$6,IF(T96="Х","Х",IF(T96&lt;6," "," "))))))</f>
        <v xml:space="preserve"> </v>
      </c>
      <c r="W96" s="41"/>
      <c r="X96" s="438" t="str">
        <f t="shared" ref="X96" si="249">IF(T96="Х","Х",IF(ISBLANK(W96),"",IF(W96&gt;2.5," ",IF(B96=AZ$6,AZ$7,AZ$6))))</f>
        <v/>
      </c>
      <c r="Y96" s="42"/>
      <c r="Z96" s="466" t="b">
        <f>IF(H96="Х","1",IF(J96="Х","2",IF(L96="Х","3",IF(N96="Х","4",IF(P96="Х","5",IF(R96="Х","6",IF(T96="Х","7",IF(V96="Х","8"))))))))</f>
        <v>0</v>
      </c>
      <c r="AA96" s="464">
        <f>SUM(G96+I96+K96+M96+O96+Q96+S96+U96+W96+Y96)</f>
        <v>0</v>
      </c>
      <c r="AB96" s="431">
        <f t="shared" ref="AB96" si="250">AD96+0</f>
        <v>20576</v>
      </c>
      <c r="AC96" s="386">
        <f>AB96</f>
        <v>20576</v>
      </c>
      <c r="AD96" s="387" t="str">
        <f>COUNTIF(AE$6:AE$119,"&gt;"&amp;AE$6:AE$119)+1&amp;REPT("-"&amp;COUNTIF(AE$6:AE$119,"&gt;="&amp;AE$6:AE$119),COUNTIF(AE$6:AE$119,AE96)&gt;1)</f>
        <v>5-56</v>
      </c>
      <c r="AE96" s="388">
        <f t="shared" si="221"/>
        <v>80</v>
      </c>
      <c r="AF96" s="390" t="str">
        <f>IF(OR(F96="Х",F96="св")," ",IF(AND(G96&gt;=0,G96&lt;3),"1"," "))</f>
        <v>1</v>
      </c>
      <c r="AG96" s="390" t="str">
        <f>IF(OR(H96="Х",H96="св")," ",IF(AND(I96&gt;=0,I96&lt;3),"1"," "))</f>
        <v>1</v>
      </c>
      <c r="AH96" s="390" t="str">
        <f>IF(OR(J96="Х",J96="св")," ",IF(AND(K96&gt;=0,K96&lt;3),"1"," "))</f>
        <v>1</v>
      </c>
      <c r="AI96" s="390" t="str">
        <f>IF(OR(L96="Х",L96="св")," ",IF(AND(M96&gt;=0,M96&lt;3),"1"," "))</f>
        <v>1</v>
      </c>
      <c r="AJ96" s="390" t="str">
        <f>IF(OR(N96="Х",N96="св")," ",IF(AND(O96&gt;=0,O96&lt;3),"1"," "))</f>
        <v>1</v>
      </c>
      <c r="AK96" s="390" t="str">
        <f>IF(OR(P96="Х",P96="св")," ",IF(AND(Q96&gt;=0,Q96&lt;3),"1"," "))</f>
        <v>1</v>
      </c>
      <c r="AL96" s="390" t="str">
        <f>IF(OR(R96="Х",R96="св")," ",IF(AND(S96&gt;=0,S96&lt;3),"1"," "))</f>
        <v>1</v>
      </c>
      <c r="AM96" s="390" t="str">
        <f>IF(OR(T96="Х",T96="св")," ",IF(AND(U96&gt;=0,U96&lt;3),"1"," "))</f>
        <v>1</v>
      </c>
      <c r="AN96" s="391">
        <f t="shared" ref="AN96" si="251">COUNTIF(AF96:AM97,1)</f>
        <v>8</v>
      </c>
      <c r="AO96" s="393">
        <f>AE96-AA96</f>
        <v>80</v>
      </c>
      <c r="AP96" s="394">
        <f t="shared" si="196"/>
        <v>0</v>
      </c>
      <c r="AQ96" s="387" t="str">
        <f>COUNTIF(AE$6:AE$119,"&gt;"&amp;AE$6:AE$119)+1&amp;REPT("-"&amp;COUNTIF(AE$6:AE$119,"&gt;="&amp;AE$6:AE$119),COUNTIF(AE$6:AE$119,AE96)&gt;1)</f>
        <v>5-56</v>
      </c>
      <c r="AR96" s="395"/>
      <c r="AS96" s="183"/>
      <c r="AT96" s="183"/>
      <c r="AU96" s="183"/>
      <c r="AV96" s="386">
        <f t="shared" si="237"/>
        <v>45</v>
      </c>
      <c r="AW96" s="19"/>
      <c r="AX96" s="19"/>
      <c r="AY96" s="19"/>
      <c r="AZ96" s="19"/>
      <c r="BU96" s="377">
        <f>IF(J96="х"," ",B96)</f>
        <v>45</v>
      </c>
      <c r="BV96" s="377">
        <f>IF(L96="х"," ",B96)</f>
        <v>45</v>
      </c>
      <c r="BW96" s="377" t="str">
        <f>IF(BV96=" "," ",L96)</f>
        <v xml:space="preserve"> </v>
      </c>
      <c r="BX96" s="377" t="str">
        <f>IF(BU96=" "," ",J96)</f>
        <v xml:space="preserve"> </v>
      </c>
      <c r="BY96" s="61">
        <f>IF(BU96&lt;BX96,BU96,0)</f>
        <v>45</v>
      </c>
      <c r="BZ96" s="61">
        <f t="shared" si="84"/>
        <v>45</v>
      </c>
      <c r="CA96" s="124">
        <f t="array" aca="1" ref="CA9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6">
        <f>IF(BV96&lt;BW96,BV96,0)</f>
        <v>45</v>
      </c>
      <c r="CC96" s="125">
        <f t="shared" si="190"/>
        <v>45</v>
      </c>
      <c r="CD96" s="51">
        <f t="array" aca="1" ref="CD96" ca="1">IF(ROW()-ROW(Н4кр)+1&gt;ROWS(Е4кр)-COUNTBLANK(Е4кр)," ",INDIRECT(ADDRESS(SMALL((IF(Е4кр&lt;&gt;" ",ROW(Е4кр),ROW()+ROWS(Е4кр))),ROW()-ROW(Н4кр)+1),COLUMN(Е4кр),4)))</f>
        <v>0</v>
      </c>
      <c r="CF96" s="377">
        <f>IF(N96="х"," ",B96)</f>
        <v>45</v>
      </c>
      <c r="CG96" s="377" t="str">
        <f>IF(CF96=" "," ",N96)</f>
        <v xml:space="preserve"> </v>
      </c>
      <c r="CH96" s="125">
        <f>IF(CF96&lt;CG96,CF96,0)</f>
        <v>45</v>
      </c>
      <c r="CI96">
        <f t="shared" si="197"/>
        <v>45</v>
      </c>
      <c r="CJ96" s="51">
        <f t="array" aca="1" ref="CJ96" ca="1">IF(ROW()-ROW(Н5кр)+1&gt;ROWS(Е5кр)-COUNTBLANK(Е5кр)," ",INDIRECT(ADDRESS(SMALL((IF(Е5кр&lt;&gt;" ",ROW(Е5кр),ROW()+ROWS(Е5кр))),ROW()-ROW(Н5кр)+1),COLUMN(Е5кр),4)))</f>
        <v>0</v>
      </c>
      <c r="CL96" s="377">
        <f>IF(P96="х"," ",B96)</f>
        <v>45</v>
      </c>
      <c r="CM96" s="377" t="str">
        <f>IF(CL96=" "," ",P96)</f>
        <v xml:space="preserve"> </v>
      </c>
      <c r="CN96">
        <f>IF(CL96&lt;CM96,CL96,0)</f>
        <v>45</v>
      </c>
      <c r="CO96">
        <f t="shared" si="191"/>
        <v>45</v>
      </c>
      <c r="CP96">
        <f t="array" aca="1" ref="CP96" ca="1">IF(ROW()-ROW(Н6кр)+1&gt;ROWS(Е6кр)-COUNTBLANK(Е6кр)," ",INDIRECT(ADDRESS(SMALL((IF(Е6кр&lt;&gt;" ",ROW(Е6кр),ROW()+ROWS(Е6кр))),ROW()-ROW(Н6кр)+1),COLUMN(Е6кр),4)))</f>
        <v>0</v>
      </c>
      <c r="CR96" s="377">
        <f t="shared" ref="CR96" si="252">IF(R96="х"," ",B96)</f>
        <v>45</v>
      </c>
      <c r="CS96" s="377" t="str">
        <f t="shared" ref="CS96" si="253">IF(CR96=" "," ",R96)</f>
        <v xml:space="preserve"> </v>
      </c>
      <c r="CT96">
        <f>IF(CR96&lt;CS96,CR96,0)</f>
        <v>45</v>
      </c>
      <c r="CU96">
        <f t="shared" si="192"/>
        <v>45</v>
      </c>
      <c r="CV96">
        <f t="array" aca="1" ref="CV96" ca="1">IF(ROW()-ROW(Н7кр)+1&gt;ROWS(Е7кр)-COUNTBLANK(Е7кр)," ",INDIRECT(ADDRESS(SMALL((IF(Е7кр&lt;&gt;" ",ROW(Е7кр),ROW()+ROWS(Е7кр))),ROW()-ROW(Н7кр)+1),COLUMN(Е7кр),4)))</f>
        <v>0</v>
      </c>
    </row>
    <row r="97" spans="1:100" ht="12" hidden="1" customHeight="1" thickBot="1">
      <c r="A97" s="198"/>
      <c r="B97" s="424"/>
      <c r="C97" s="426"/>
      <c r="D97" s="428"/>
      <c r="E97" s="430"/>
      <c r="F97" s="442"/>
      <c r="G97" s="44"/>
      <c r="H97" s="439"/>
      <c r="I97" s="44"/>
      <c r="J97" s="439"/>
      <c r="K97" s="44"/>
      <c r="L97" s="439"/>
      <c r="M97" s="44"/>
      <c r="N97" s="439"/>
      <c r="O97" s="44"/>
      <c r="P97" s="439"/>
      <c r="Q97" s="44"/>
      <c r="R97" s="439"/>
      <c r="S97" s="44"/>
      <c r="T97" s="439"/>
      <c r="U97" s="47"/>
      <c r="V97" s="439"/>
      <c r="W97" s="44"/>
      <c r="X97" s="439"/>
      <c r="Y97" s="44"/>
      <c r="Z97" s="422"/>
      <c r="AA97" s="465"/>
      <c r="AB97" s="432"/>
      <c r="AC97" s="386"/>
      <c r="AD97" s="387"/>
      <c r="AE97" s="389"/>
      <c r="AF97" s="390"/>
      <c r="AG97" s="390"/>
      <c r="AH97" s="390"/>
      <c r="AI97" s="390"/>
      <c r="AJ97" s="390"/>
      <c r="AK97" s="390"/>
      <c r="AL97" s="390"/>
      <c r="AM97" s="390"/>
      <c r="AN97" s="392"/>
      <c r="AO97" s="387"/>
      <c r="AP97" s="394"/>
      <c r="AQ97" s="387"/>
      <c r="AR97" s="395"/>
      <c r="AS97" s="183"/>
      <c r="AT97" s="183"/>
      <c r="AU97" s="183"/>
      <c r="AV97" s="386"/>
      <c r="AW97" s="19"/>
      <c r="AX97" s="19"/>
      <c r="AY97" s="19"/>
      <c r="AZ97" s="19"/>
      <c r="BU97" s="377"/>
      <c r="BV97" s="377"/>
      <c r="BW97" s="377"/>
      <c r="BX97" s="377"/>
      <c r="BY97" s="61" t="str">
        <f>IF(BY96&gt;=1,BX96,0)</f>
        <v xml:space="preserve"> </v>
      </c>
      <c r="BZ97" s="61" t="str">
        <f t="shared" ref="BZ97:BZ119" si="254">IF(BY97=0," ",BY97)</f>
        <v xml:space="preserve"> </v>
      </c>
      <c r="CA97" s="124">
        <f t="array" aca="1" ref="CA9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7" t="str">
        <f>IF(CB96&gt;=1,BW96,0)</f>
        <v xml:space="preserve"> </v>
      </c>
      <c r="CC97" s="125" t="str">
        <f t="shared" si="190"/>
        <v xml:space="preserve"> </v>
      </c>
      <c r="CD97" s="51">
        <f t="array" aca="1" ref="CD97" ca="1">IF(ROW()-ROW(Н4кр)+1&gt;ROWS(Е4кр)-COUNTBLANK(Е4кр)," ",INDIRECT(ADDRESS(SMALL((IF(Е4кр&lt;&gt;" ",ROW(Е4кр),ROW()+ROWS(Е4кр))),ROW()-ROW(Н4кр)+1),COLUMN(Е4кр),4)))</f>
        <v>0</v>
      </c>
      <c r="CF97" s="377"/>
      <c r="CG97" s="377"/>
      <c r="CH97" s="125" t="str">
        <f>IF(CH96&gt;=1,CG96,0)</f>
        <v xml:space="preserve"> </v>
      </c>
      <c r="CI97" t="str">
        <f t="shared" si="197"/>
        <v xml:space="preserve"> </v>
      </c>
      <c r="CJ97" s="51">
        <f t="array" aca="1" ref="CJ97" ca="1">IF(ROW()-ROW(Н5кр)+1&gt;ROWS(Е5кр)-COUNTBLANK(Е5кр)," ",INDIRECT(ADDRESS(SMALL((IF(Е5кр&lt;&gt;" ",ROW(Е5кр),ROW()+ROWS(Е5кр))),ROW()-ROW(Н5кр)+1),COLUMN(Е5кр),4)))</f>
        <v>0</v>
      </c>
      <c r="CL97" s="377"/>
      <c r="CM97" s="377"/>
      <c r="CN97" t="str">
        <f>IF(CN96&gt;=1,CM96,0)</f>
        <v xml:space="preserve"> </v>
      </c>
      <c r="CO97" t="str">
        <f t="shared" si="191"/>
        <v xml:space="preserve"> </v>
      </c>
      <c r="CP97">
        <f t="array" aca="1" ref="CP97" ca="1">IF(ROW()-ROW(Н6кр)+1&gt;ROWS(Е6кр)-COUNTBLANK(Е6кр)," ",INDIRECT(ADDRESS(SMALL((IF(Е6кр&lt;&gt;" ",ROW(Е6кр),ROW()+ROWS(Е6кр))),ROW()-ROW(Н6кр)+1),COLUMN(Е6кр),4)))</f>
        <v>0</v>
      </c>
      <c r="CR97" s="377"/>
      <c r="CS97" s="377"/>
      <c r="CT97" t="str">
        <f>IF(CT96&gt;=1,CS96,0)</f>
        <v xml:space="preserve"> </v>
      </c>
      <c r="CU97" t="str">
        <f t="shared" si="192"/>
        <v xml:space="preserve"> </v>
      </c>
      <c r="CV97">
        <f t="array" aca="1" ref="CV97" ca="1">IF(ROW()-ROW(Н7кр)+1&gt;ROWS(Е7кр)-COUNTBLANK(Е7кр)," ",INDIRECT(ADDRESS(SMALL((IF(Е7кр&lt;&gt;" ",ROW(Е7кр),ROW()+ROWS(Е7кр))),ROW()-ROW(Н7кр)+1),COLUMN(Е7кр),4)))</f>
        <v>0</v>
      </c>
    </row>
    <row r="98" spans="1:100" ht="12" hidden="1" customHeight="1" thickTop="1">
      <c r="A98" s="198"/>
      <c r="B98" s="423">
        <v>46</v>
      </c>
      <c r="C98" s="425" t="e">
        <f>(VLOOKUP(B98,пр.взв!$B$7:$H$76,2,0))</f>
        <v>#N/A</v>
      </c>
      <c r="D98" s="427" t="e">
        <f>(VLOOKUP(B98,пр.взв!$B$7:$H$76,3,0))</f>
        <v>#N/A</v>
      </c>
      <c r="E98" s="429" t="e">
        <f>(VLOOKUP(B98,пр.взв!$B$7:$H$76,5,0))</f>
        <v>#N/A</v>
      </c>
      <c r="F98" s="443">
        <f t="shared" ref="F98" si="255">IF(ISERROR(C98),0,B96)</f>
        <v>0</v>
      </c>
      <c r="G98" s="42"/>
      <c r="H98" s="440"/>
      <c r="I98" s="42"/>
      <c r="J98" s="444" t="str">
        <f>IF(H98="Х","Х",IF(I98+G98&lt;6," ",IF(I98+G98&gt;=6,IF(AA98&gt;=6,"Х",IF(AA98&lt;6," "," ")))))</f>
        <v xml:space="preserve"> </v>
      </c>
      <c r="K98" s="41"/>
      <c r="L98" s="438" t="str">
        <f>IF(J98="Х","Х",IF(K98&lt;2.5," ",IF(K98&gt;=2.5,IF(G98+I98+K98&gt;=6,"Х",IF(AA98&lt;6," "," ")))))</f>
        <v xml:space="preserve"> </v>
      </c>
      <c r="M98" s="41"/>
      <c r="N98" s="438" t="str">
        <f>IF(L98="Х","Х",IF(M98&lt;2.5," ",IF(M98&gt;=2.5,IF(G98+I98+K98+M98&gt;=6,"Х",IF(AA98&lt;6," "," ")))))</f>
        <v xml:space="preserve"> </v>
      </c>
      <c r="O98" s="41"/>
      <c r="P98" s="438" t="str">
        <f>IF(N98="Х","Х",IF(O98&lt;2.5," ",IF(O98&gt;=2.5,IF(G98+I98+K98+M98+O98&gt;=6,"Х",IF(AA98&lt;6," "," ")))))</f>
        <v xml:space="preserve"> </v>
      </c>
      <c r="Q98" s="41"/>
      <c r="R98" s="438" t="str">
        <f>IF(P98="Х","Х",IF(Q98&lt;2.5," ",IF(Q98&gt;=2.5,IF(G98+I98+K98+M98+O98+Q98&gt;=6,"Х",IF(AA98&lt;6," "," ")))))</f>
        <v xml:space="preserve"> </v>
      </c>
      <c r="S98" s="41"/>
      <c r="T98" s="438" t="str">
        <f>IF(R98="Х","Х",IF(S98&lt;2.5," ",IF(S98&gt;=2.5,IF(G98+I98+K98+M98+O98+Q98+S98&gt;=6,"Х",IF(AA98&lt;6," "," ")))))</f>
        <v xml:space="preserve"> </v>
      </c>
      <c r="U98" s="45"/>
      <c r="V98" s="438" t="str">
        <f t="shared" ref="V98" si="256">IF(T98="А1",$AX$7,IF(T98="Б2",$AX$6,IF(T98="Б1",$AY$7,IF(T98="А2",$AY$6,IF(T98="Х","Х",IF(T98&lt;6," "," "))))))</f>
        <v xml:space="preserve"> </v>
      </c>
      <c r="W98" s="41"/>
      <c r="X98" s="438" t="str">
        <f t="shared" ref="X98" si="257">IF(T98="Х","Х",IF(ISBLANK(W98),"",IF(W98&gt;2.5," ",IF(B98=AZ$6,AZ$7,AZ$6))))</f>
        <v/>
      </c>
      <c r="Y98" s="42"/>
      <c r="Z98" s="466" t="b">
        <f>IF(H98="Х","1",IF(J98="Х","2",IF(L98="Х","3",IF(N98="Х","4",IF(P98="Х","5",IF(R98="Х","6",IF(T98="Х","7",IF(V98="Х","8"))))))))</f>
        <v>0</v>
      </c>
      <c r="AA98" s="464">
        <f>SUM(G98+I98+K98+M98+O98+Q98+S98+U98+W98+Y98)</f>
        <v>0</v>
      </c>
      <c r="AB98" s="431">
        <f t="shared" ref="AB98" si="258">AD98+0</f>
        <v>20576</v>
      </c>
      <c r="AC98" s="386">
        <f>AB98</f>
        <v>20576</v>
      </c>
      <c r="AD98" s="387" t="str">
        <f>COUNTIF(AE$6:AE$119,"&gt;"&amp;AE$6:AE$119)+1&amp;REPT("-"&amp;COUNTIF(AE$6:AE$119,"&gt;="&amp;AE$6:AE$119),COUNTIF(AE$6:AE$119,AE98)&gt;1)</f>
        <v>5-56</v>
      </c>
      <c r="AE98" s="388">
        <f t="shared" si="221"/>
        <v>80</v>
      </c>
      <c r="AF98" s="390" t="str">
        <f>IF(OR(F98="Х",F98="св")," ",IF(AND(G98&gt;=0,G98&lt;3),"1"," "))</f>
        <v>1</v>
      </c>
      <c r="AG98" s="390" t="str">
        <f>IF(OR(H98="Х",H98="св")," ",IF(AND(I98&gt;=0,I98&lt;3),"1"," "))</f>
        <v>1</v>
      </c>
      <c r="AH98" s="390" t="str">
        <f>IF(OR(J98="Х",J98="св")," ",IF(AND(K98&gt;=0,K98&lt;3),"1"," "))</f>
        <v>1</v>
      </c>
      <c r="AI98" s="390" t="str">
        <f>IF(OR(L98="Х",L98="св")," ",IF(AND(M98&gt;=0,M98&lt;3),"1"," "))</f>
        <v>1</v>
      </c>
      <c r="AJ98" s="390" t="str">
        <f>IF(OR(N98="Х",N98="св")," ",IF(AND(O98&gt;=0,O98&lt;3),"1"," "))</f>
        <v>1</v>
      </c>
      <c r="AK98" s="390" t="str">
        <f>IF(OR(P98="Х",P98="св")," ",IF(AND(Q98&gt;=0,Q98&lt;3),"1"," "))</f>
        <v>1</v>
      </c>
      <c r="AL98" s="390" t="str">
        <f>IF(OR(R98="Х",R98="св")," ",IF(AND(S98&gt;=0,S98&lt;3),"1"," "))</f>
        <v>1</v>
      </c>
      <c r="AM98" s="390" t="str">
        <f>IF(OR(T98="Х",T98="св")," ",IF(AND(U98&gt;=0,U98&lt;3),"1"," "))</f>
        <v>1</v>
      </c>
      <c r="AN98" s="391">
        <f t="shared" ref="AN98" si="259">COUNTIF(AF98:AM99,1)</f>
        <v>8</v>
      </c>
      <c r="AO98" s="393">
        <f>AE98-AA98</f>
        <v>80</v>
      </c>
      <c r="AP98" s="394">
        <f t="shared" si="196"/>
        <v>0</v>
      </c>
      <c r="AQ98" s="387" t="str">
        <f>COUNTIF(AE$6:AE$119,"&gt;"&amp;AE$6:AE$119)+1&amp;REPT("-"&amp;COUNTIF(AE$6:AE$119,"&gt;="&amp;AE$6:AE$119),COUNTIF(AE$6:AE$119,AE98)&gt;1)</f>
        <v>5-56</v>
      </c>
      <c r="AR98" s="395"/>
      <c r="AS98" s="183"/>
      <c r="AT98" s="183"/>
      <c r="AU98" s="183"/>
      <c r="AV98" s="386">
        <f t="shared" si="237"/>
        <v>46</v>
      </c>
      <c r="AW98" s="19"/>
      <c r="AX98" s="19"/>
      <c r="AY98" s="19"/>
      <c r="AZ98" s="19"/>
      <c r="BU98" s="377">
        <f>IF(J98="х"," ",B98)</f>
        <v>46</v>
      </c>
      <c r="BV98" s="377">
        <f>IF(L98="х"," ",B98)</f>
        <v>46</v>
      </c>
      <c r="BW98" s="377" t="str">
        <f>IF(BV98=" "," ",L98)</f>
        <v xml:space="preserve"> </v>
      </c>
      <c r="BX98" s="377" t="str">
        <f>IF(BU98=" "," ",J98)</f>
        <v xml:space="preserve"> </v>
      </c>
      <c r="BY98" s="61">
        <f>IF(BU98&lt;BX98,BU98,0)</f>
        <v>46</v>
      </c>
      <c r="BZ98" s="61">
        <f t="shared" si="254"/>
        <v>46</v>
      </c>
      <c r="CA98" s="124">
        <f t="array" aca="1" ref="CA9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8">
        <f>IF(BV98&lt;BW98,BV98,0)</f>
        <v>46</v>
      </c>
      <c r="CC98" s="125">
        <f t="shared" si="190"/>
        <v>46</v>
      </c>
      <c r="CD98" s="51">
        <f t="array" aca="1" ref="CD98" ca="1">IF(ROW()-ROW(Н4кр)+1&gt;ROWS(Е4кр)-COUNTBLANK(Е4кр)," ",INDIRECT(ADDRESS(SMALL((IF(Е4кр&lt;&gt;" ",ROW(Е4кр),ROW()+ROWS(Е4кр))),ROW()-ROW(Н4кр)+1),COLUMN(Е4кр),4)))</f>
        <v>0</v>
      </c>
      <c r="CF98" s="377">
        <f>IF(N98="х"," ",B98)</f>
        <v>46</v>
      </c>
      <c r="CG98" s="377" t="str">
        <f>IF(CF98=" "," ",N98)</f>
        <v xml:space="preserve"> </v>
      </c>
      <c r="CH98" s="125">
        <f>IF(CF98&lt;CG98,CF98,0)</f>
        <v>46</v>
      </c>
      <c r="CI98">
        <f t="shared" si="197"/>
        <v>46</v>
      </c>
      <c r="CJ98" s="51">
        <f t="array" aca="1" ref="CJ98" ca="1">IF(ROW()-ROW(Н5кр)+1&gt;ROWS(Е5кр)-COUNTBLANK(Е5кр)," ",INDIRECT(ADDRESS(SMALL((IF(Е5кр&lt;&gt;" ",ROW(Е5кр),ROW()+ROWS(Е5кр))),ROW()-ROW(Н5кр)+1),COLUMN(Е5кр),4)))</f>
        <v>0</v>
      </c>
      <c r="CL98" s="377">
        <f>IF(P98="х"," ",B98)</f>
        <v>46</v>
      </c>
      <c r="CM98" s="377" t="str">
        <f>IF(CL98=" "," ",P98)</f>
        <v xml:space="preserve"> </v>
      </c>
      <c r="CN98">
        <f>IF(CL98&lt;CM98,CL98,0)</f>
        <v>46</v>
      </c>
      <c r="CO98">
        <f t="shared" si="191"/>
        <v>46</v>
      </c>
      <c r="CP98">
        <f t="array" aca="1" ref="CP98" ca="1">IF(ROW()-ROW(Н6кр)+1&gt;ROWS(Е6кр)-COUNTBLANK(Е6кр)," ",INDIRECT(ADDRESS(SMALL((IF(Е6кр&lt;&gt;" ",ROW(Е6кр),ROW()+ROWS(Е6кр))),ROW()-ROW(Н6кр)+1),COLUMN(Е6кр),4)))</f>
        <v>0</v>
      </c>
      <c r="CR98" s="377">
        <f t="shared" ref="CR98" si="260">IF(R98="х"," ",B98)</f>
        <v>46</v>
      </c>
      <c r="CS98" s="377" t="str">
        <f t="shared" ref="CS98" si="261">IF(CR98=" "," ",R98)</f>
        <v xml:space="preserve"> </v>
      </c>
      <c r="CT98">
        <f>IF(CR98&lt;CS98,CR98,0)</f>
        <v>46</v>
      </c>
      <c r="CU98">
        <f t="shared" si="192"/>
        <v>46</v>
      </c>
      <c r="CV98">
        <f t="array" aca="1" ref="CV98" ca="1">IF(ROW()-ROW(Н7кр)+1&gt;ROWS(Е7кр)-COUNTBLANK(Е7кр)," ",INDIRECT(ADDRESS(SMALL((IF(Е7кр&lt;&gt;" ",ROW(Е7кр),ROW()+ROWS(Е7кр))),ROW()-ROW(Н7кр)+1),COLUMN(Е7кр),4)))</f>
        <v>0</v>
      </c>
    </row>
    <row r="99" spans="1:100" ht="12" hidden="1" customHeight="1" thickBot="1">
      <c r="A99" s="198"/>
      <c r="B99" s="424"/>
      <c r="C99" s="426"/>
      <c r="D99" s="428"/>
      <c r="E99" s="430"/>
      <c r="F99" s="442"/>
      <c r="G99" s="44"/>
      <c r="H99" s="439"/>
      <c r="I99" s="44"/>
      <c r="J99" s="439"/>
      <c r="K99" s="44"/>
      <c r="L99" s="439"/>
      <c r="M99" s="44"/>
      <c r="N99" s="439"/>
      <c r="O99" s="44"/>
      <c r="P99" s="439"/>
      <c r="Q99" s="44"/>
      <c r="R99" s="439"/>
      <c r="S99" s="44"/>
      <c r="T99" s="439"/>
      <c r="U99" s="47"/>
      <c r="V99" s="439"/>
      <c r="W99" s="44"/>
      <c r="X99" s="439"/>
      <c r="Y99" s="44"/>
      <c r="Z99" s="422"/>
      <c r="AA99" s="465"/>
      <c r="AB99" s="432"/>
      <c r="AC99" s="386"/>
      <c r="AD99" s="387"/>
      <c r="AE99" s="389"/>
      <c r="AF99" s="390"/>
      <c r="AG99" s="390"/>
      <c r="AH99" s="390"/>
      <c r="AI99" s="390"/>
      <c r="AJ99" s="390"/>
      <c r="AK99" s="390"/>
      <c r="AL99" s="390"/>
      <c r="AM99" s="390"/>
      <c r="AN99" s="392"/>
      <c r="AO99" s="387"/>
      <c r="AP99" s="394"/>
      <c r="AQ99" s="387"/>
      <c r="AR99" s="395"/>
      <c r="AS99" s="183"/>
      <c r="AT99" s="183"/>
      <c r="AU99" s="183"/>
      <c r="AV99" s="386"/>
      <c r="BU99" s="377"/>
      <c r="BV99" s="377"/>
      <c r="BW99" s="377"/>
      <c r="BX99" s="377"/>
      <c r="BY99" s="61" t="str">
        <f>IF(BY98&gt;=1,BX98,0)</f>
        <v xml:space="preserve"> </v>
      </c>
      <c r="BZ99" s="61" t="str">
        <f t="shared" si="254"/>
        <v xml:space="preserve"> </v>
      </c>
      <c r="CA99" s="124">
        <f t="array" aca="1" ref="CA9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9" t="str">
        <f>IF(CB98&gt;=1,BW98,0)</f>
        <v xml:space="preserve"> </v>
      </c>
      <c r="CC99" s="125" t="str">
        <f t="shared" si="190"/>
        <v xml:space="preserve"> </v>
      </c>
      <c r="CD99" s="51">
        <f t="array" aca="1" ref="CD99" ca="1">IF(ROW()-ROW(Н4кр)+1&gt;ROWS(Е4кр)-COUNTBLANK(Е4кр)," ",INDIRECT(ADDRESS(SMALL((IF(Е4кр&lt;&gt;" ",ROW(Е4кр),ROW()+ROWS(Е4кр))),ROW()-ROW(Н4кр)+1),COLUMN(Е4кр),4)))</f>
        <v>0</v>
      </c>
      <c r="CF99" s="377"/>
      <c r="CG99" s="377"/>
      <c r="CH99" s="125" t="str">
        <f>IF(CH98&gt;=1,CG98,0)</f>
        <v xml:space="preserve"> </v>
      </c>
      <c r="CI99" t="str">
        <f t="shared" si="197"/>
        <v xml:space="preserve"> </v>
      </c>
      <c r="CJ99" s="51">
        <f t="array" aca="1" ref="CJ99" ca="1">IF(ROW()-ROW(Н5кр)+1&gt;ROWS(Е5кр)-COUNTBLANK(Е5кр)," ",INDIRECT(ADDRESS(SMALL((IF(Е5кр&lt;&gt;" ",ROW(Е5кр),ROW()+ROWS(Е5кр))),ROW()-ROW(Н5кр)+1),COLUMN(Е5кр),4)))</f>
        <v>0</v>
      </c>
      <c r="CL99" s="377"/>
      <c r="CM99" s="377"/>
      <c r="CN99" t="str">
        <f>IF(CN98&gt;=1,CM98,0)</f>
        <v xml:space="preserve"> </v>
      </c>
      <c r="CO99" t="str">
        <f t="shared" si="191"/>
        <v xml:space="preserve"> </v>
      </c>
      <c r="CP99">
        <f t="array" aca="1" ref="CP99" ca="1">IF(ROW()-ROW(Н6кр)+1&gt;ROWS(Е6кр)-COUNTBLANK(Е6кр)," ",INDIRECT(ADDRESS(SMALL((IF(Е6кр&lt;&gt;" ",ROW(Е6кр),ROW()+ROWS(Е6кр))),ROW()-ROW(Н6кр)+1),COLUMN(Е6кр),4)))</f>
        <v>0</v>
      </c>
      <c r="CR99" s="377"/>
      <c r="CS99" s="377"/>
      <c r="CT99" t="str">
        <f>IF(CT98&gt;=1,CS98,0)</f>
        <v xml:space="preserve"> </v>
      </c>
      <c r="CU99" t="str">
        <f t="shared" si="192"/>
        <v xml:space="preserve"> </v>
      </c>
      <c r="CV99">
        <f t="array" aca="1" ref="CV99" ca="1">IF(ROW()-ROW(Н7кр)+1&gt;ROWS(Е7кр)-COUNTBLANK(Е7кр)," ",INDIRECT(ADDRESS(SMALL((IF(Е7кр&lt;&gt;" ",ROW(Е7кр),ROW()+ROWS(Е7кр))),ROW()-ROW(Н7кр)+1),COLUMN(Е7кр),4)))</f>
        <v>0</v>
      </c>
    </row>
    <row r="100" spans="1:100" ht="12" hidden="1" customHeight="1" thickTop="1">
      <c r="A100" s="198"/>
      <c r="B100" s="423">
        <v>47</v>
      </c>
      <c r="C100" s="425" t="e">
        <f>(VLOOKUP(B100,пр.взв!$B$7:$H$76,2,0))</f>
        <v>#N/A</v>
      </c>
      <c r="D100" s="427" t="e">
        <f>(VLOOKUP(B100,пр.взв!$B$7:$H$76,3,0))</f>
        <v>#N/A</v>
      </c>
      <c r="E100" s="429" t="e">
        <f>(VLOOKUP(B100,пр.взв!$B$7:$H$76,5,0))</f>
        <v>#N/A</v>
      </c>
      <c r="F100" s="445">
        <f t="shared" si="218"/>
        <v>0</v>
      </c>
      <c r="G100" s="42"/>
      <c r="H100" s="440"/>
      <c r="I100" s="42"/>
      <c r="J100" s="444" t="str">
        <f>IF(H100="Х","Х",IF(I100+G100&lt;6," ",IF(I100+G100&gt;=6,IF(AA100&gt;=6,"Х",IF(AA100&lt;6," "," ")))))</f>
        <v xml:space="preserve"> </v>
      </c>
      <c r="K100" s="41"/>
      <c r="L100" s="438" t="str">
        <f>IF(J100="Х","Х",IF(K100&lt;2.5," ",IF(K100&gt;=2.5,IF(G100+I100+K100&gt;=6,"Х",IF(AA100&lt;6," "," ")))))</f>
        <v xml:space="preserve"> </v>
      </c>
      <c r="M100" s="41"/>
      <c r="N100" s="438" t="str">
        <f>IF(L100="Х","Х",IF(M100&lt;2.5," ",IF(M100&gt;=2.5,IF(G100+I100+K100+M100&gt;=6,"Х",IF(AA100&lt;6," "," ")))))</f>
        <v xml:space="preserve"> </v>
      </c>
      <c r="O100" s="41"/>
      <c r="P100" s="438" t="str">
        <f>IF(N100="Х","Х",IF(O100&lt;2.5," ",IF(O100&gt;=2.5,IF(G100+I100+K100+M100+O100&gt;=6,"Х",IF(AA100&lt;6," "," ")))))</f>
        <v xml:space="preserve"> </v>
      </c>
      <c r="Q100" s="41"/>
      <c r="R100" s="438" t="str">
        <f>IF(P100="Х","Х",IF(Q100&lt;2.5," ",IF(Q100&gt;=2.5,IF(G100+I100+K100+M100+O100+Q100&gt;=6,"Х",IF(AA100&lt;6," "," ")))))</f>
        <v xml:space="preserve"> </v>
      </c>
      <c r="S100" s="41"/>
      <c r="T100" s="438" t="str">
        <f>IF(R100="Х","Х",IF(S100&lt;2.5," ",IF(S100&gt;=2.5,IF(G100+I100+K100+M100+O100+Q100+S100&gt;=6,"Х",IF(AA100&lt;6," "," ")))))</f>
        <v xml:space="preserve"> </v>
      </c>
      <c r="U100" s="45"/>
      <c r="V100" s="438" t="str">
        <f t="shared" ref="V100" si="262">IF(T100="А1",$AX$7,IF(T100="Б2",$AX$6,IF(T100="Б1",$AY$7,IF(T100="А2",$AY$6,IF(T100="Х","Х",IF(T100&lt;6," "," "))))))</f>
        <v xml:space="preserve"> </v>
      </c>
      <c r="W100" s="41"/>
      <c r="X100" s="438" t="str">
        <f t="shared" ref="X100" si="263">IF(T100="Х","Х",IF(ISBLANK(W100),"",IF(W100&gt;2.5," ",IF(B100=AZ$6,AZ$7,AZ$6))))</f>
        <v/>
      </c>
      <c r="Y100" s="42"/>
      <c r="Z100" s="466" t="b">
        <f>IF(H100="Х","1",IF(J100="Х","2",IF(L100="Х","3",IF(N100="Х","4",IF(P100="Х","5",IF(R100="Х","6",IF(T100="Х","7",IF(V100="Х","8"))))))))</f>
        <v>0</v>
      </c>
      <c r="AA100" s="464">
        <f>SUM(G100+I100+K100+M100+O100+Q100+S100+U100+W100+Y100)</f>
        <v>0</v>
      </c>
      <c r="AB100" s="431">
        <f t="shared" ref="AB100" si="264">AD100+0</f>
        <v>20576</v>
      </c>
      <c r="AC100" s="386">
        <f>AB100</f>
        <v>20576</v>
      </c>
      <c r="AD100" s="387" t="str">
        <f>COUNTIF(AE$6:AE$119,"&gt;"&amp;AE$6:AE$119)+1&amp;REPT("-"&amp;COUNTIF(AE$6:AE$119,"&gt;="&amp;AE$6:AE$119),COUNTIF(AE$6:AE$119,AE100)&gt;1)</f>
        <v>5-56</v>
      </c>
      <c r="AE100" s="388">
        <f t="shared" si="221"/>
        <v>80</v>
      </c>
      <c r="AF100" s="390" t="str">
        <f>IF(OR(F100="Х",F100="св")," ",IF(AND(G100&gt;=0,G100&lt;3),"1"," "))</f>
        <v>1</v>
      </c>
      <c r="AG100" s="390" t="str">
        <f>IF(OR(H100="Х",H100="св")," ",IF(AND(I100&gt;=0,I100&lt;3),"1"," "))</f>
        <v>1</v>
      </c>
      <c r="AH100" s="390" t="str">
        <f>IF(OR(J100="Х",J100="св")," ",IF(AND(K100&gt;=0,K100&lt;3),"1"," "))</f>
        <v>1</v>
      </c>
      <c r="AI100" s="390" t="str">
        <f>IF(OR(L100="Х",L100="св")," ",IF(AND(M100&gt;=0,M100&lt;3),"1"," "))</f>
        <v>1</v>
      </c>
      <c r="AJ100" s="390" t="str">
        <f>IF(OR(N100="Х",N100="св")," ",IF(AND(O100&gt;=0,O100&lt;3),"1"," "))</f>
        <v>1</v>
      </c>
      <c r="AK100" s="390" t="str">
        <f>IF(OR(P100="Х",P100="св")," ",IF(AND(Q100&gt;=0,Q100&lt;3),"1"," "))</f>
        <v>1</v>
      </c>
      <c r="AL100" s="390" t="str">
        <f>IF(OR(R100="Х",R100="св")," ",IF(AND(S100&gt;=0,S100&lt;3),"1"," "))</f>
        <v>1</v>
      </c>
      <c r="AM100" s="390" t="str">
        <f>IF(OR(T100="Х",T100="св")," ",IF(AND(U100&gt;=0,U100&lt;3),"1"," "))</f>
        <v>1</v>
      </c>
      <c r="AN100" s="391">
        <f t="shared" ref="AN100" si="265">COUNTIF(AF100:AM101,1)</f>
        <v>8</v>
      </c>
      <c r="AO100" s="393">
        <f>AE100-AA100</f>
        <v>80</v>
      </c>
      <c r="AP100" s="394">
        <f t="shared" si="196"/>
        <v>0</v>
      </c>
      <c r="AQ100" s="387" t="str">
        <f>COUNTIF(AE$6:AE$119,"&gt;"&amp;AE$6:AE$119)+1&amp;REPT("-"&amp;COUNTIF(AE$6:AE$119,"&gt;="&amp;AE$6:AE$119),COUNTIF(AE$6:AE$119,AE100)&gt;1)</f>
        <v>5-56</v>
      </c>
      <c r="AR100" s="395"/>
      <c r="AS100" s="183"/>
      <c r="AT100" s="183"/>
      <c r="AU100" s="183"/>
      <c r="AV100" s="386">
        <f t="shared" si="237"/>
        <v>47</v>
      </c>
      <c r="BU100" s="377">
        <f>IF(J100="х"," ",B100)</f>
        <v>47</v>
      </c>
      <c r="BV100" s="377">
        <f>IF(L100="х"," ",B100)</f>
        <v>47</v>
      </c>
      <c r="BW100" s="377" t="str">
        <f>IF(BV100=" "," ",L100)</f>
        <v xml:space="preserve"> </v>
      </c>
      <c r="BX100" s="377" t="str">
        <f>IF(BU100=" "," ",J100)</f>
        <v xml:space="preserve"> </v>
      </c>
      <c r="BY100" s="61">
        <f>IF(BU100&lt;BX100,BU100,0)</f>
        <v>47</v>
      </c>
      <c r="BZ100" s="61">
        <f t="shared" si="254"/>
        <v>47</v>
      </c>
      <c r="CA100" s="124">
        <f t="array" aca="1" ref="CA10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0">
        <f>IF(BV100&lt;BW100,BV100,0)</f>
        <v>47</v>
      </c>
      <c r="CC100" s="125">
        <f t="shared" si="190"/>
        <v>47</v>
      </c>
      <c r="CD100" s="51">
        <f t="array" aca="1" ref="CD100" ca="1">IF(ROW()-ROW(Н4кр)+1&gt;ROWS(Е4кр)-COUNTBLANK(Е4кр)," ",INDIRECT(ADDRESS(SMALL((IF(Е4кр&lt;&gt;" ",ROW(Е4кр),ROW()+ROWS(Е4кр))),ROW()-ROW(Н4кр)+1),COLUMN(Е4кр),4)))</f>
        <v>0</v>
      </c>
      <c r="CF100" s="377">
        <f>IF(N100="х"," ",B100)</f>
        <v>47</v>
      </c>
      <c r="CG100" s="377" t="str">
        <f>IF(CF100=" "," ",N100)</f>
        <v xml:space="preserve"> </v>
      </c>
      <c r="CH100" s="125">
        <f>IF(CF100&lt;CG100,CF100,0)</f>
        <v>47</v>
      </c>
      <c r="CI100">
        <f t="shared" si="197"/>
        <v>47</v>
      </c>
      <c r="CJ100" s="51">
        <f t="array" aca="1" ref="CJ100" ca="1">IF(ROW()-ROW(Н5кр)+1&gt;ROWS(Е5кр)-COUNTBLANK(Е5кр)," ",INDIRECT(ADDRESS(SMALL((IF(Е5кр&lt;&gt;" ",ROW(Е5кр),ROW()+ROWS(Е5кр))),ROW()-ROW(Н5кр)+1),COLUMN(Е5кр),4)))</f>
        <v>0</v>
      </c>
      <c r="CL100" s="377">
        <f>IF(P100="х"," ",B100)</f>
        <v>47</v>
      </c>
      <c r="CM100" s="377" t="str">
        <f>IF(CL100=" "," ",P100)</f>
        <v xml:space="preserve"> </v>
      </c>
      <c r="CN100">
        <f>IF(CL100&lt;CM100,CL100,0)</f>
        <v>47</v>
      </c>
      <c r="CO100">
        <f t="shared" si="191"/>
        <v>47</v>
      </c>
      <c r="CP100">
        <f t="array" aca="1" ref="CP100" ca="1">IF(ROW()-ROW(Н6кр)+1&gt;ROWS(Е6кр)-COUNTBLANK(Е6кр)," ",INDIRECT(ADDRESS(SMALL((IF(Е6кр&lt;&gt;" ",ROW(Е6кр),ROW()+ROWS(Е6кр))),ROW()-ROW(Н6кр)+1),COLUMN(Е6кр),4)))</f>
        <v>0</v>
      </c>
      <c r="CR100" s="377">
        <f t="shared" ref="CR100" si="266">IF(R100="х"," ",B100)</f>
        <v>47</v>
      </c>
      <c r="CS100" s="377" t="str">
        <f t="shared" ref="CS100" si="267">IF(CR100=" "," ",R100)</f>
        <v xml:space="preserve"> </v>
      </c>
      <c r="CT100">
        <f>IF(CR100&lt;CS100,CR100,0)</f>
        <v>47</v>
      </c>
      <c r="CU100">
        <f t="shared" si="192"/>
        <v>47</v>
      </c>
      <c r="CV100">
        <f t="array" aca="1" ref="CV100" ca="1">IF(ROW()-ROW(Н7кр)+1&gt;ROWS(Е7кр)-COUNTBLANK(Е7кр)," ",INDIRECT(ADDRESS(SMALL((IF(Е7кр&lt;&gt;" ",ROW(Е7кр),ROW()+ROWS(Е7кр))),ROW()-ROW(Н7кр)+1),COLUMN(Е7кр),4)))</f>
        <v>0</v>
      </c>
    </row>
    <row r="101" spans="1:100" ht="12" hidden="1" customHeight="1" thickBot="1">
      <c r="A101" s="198"/>
      <c r="B101" s="424"/>
      <c r="C101" s="426"/>
      <c r="D101" s="428"/>
      <c r="E101" s="430"/>
      <c r="F101" s="442"/>
      <c r="G101" s="44"/>
      <c r="H101" s="439"/>
      <c r="I101" s="44"/>
      <c r="J101" s="439"/>
      <c r="K101" s="44"/>
      <c r="L101" s="439"/>
      <c r="M101" s="44"/>
      <c r="N101" s="439"/>
      <c r="O101" s="44"/>
      <c r="P101" s="439"/>
      <c r="Q101" s="44"/>
      <c r="R101" s="439"/>
      <c r="S101" s="44"/>
      <c r="T101" s="439"/>
      <c r="U101" s="47"/>
      <c r="V101" s="439"/>
      <c r="W101" s="44"/>
      <c r="X101" s="439"/>
      <c r="Y101" s="44"/>
      <c r="Z101" s="422"/>
      <c r="AA101" s="465"/>
      <c r="AB101" s="432"/>
      <c r="AC101" s="386"/>
      <c r="AD101" s="387"/>
      <c r="AE101" s="389"/>
      <c r="AF101" s="390"/>
      <c r="AG101" s="390"/>
      <c r="AH101" s="390"/>
      <c r="AI101" s="390"/>
      <c r="AJ101" s="390"/>
      <c r="AK101" s="390"/>
      <c r="AL101" s="390"/>
      <c r="AM101" s="390"/>
      <c r="AN101" s="392"/>
      <c r="AO101" s="387"/>
      <c r="AP101" s="394"/>
      <c r="AQ101" s="387"/>
      <c r="AR101" s="395"/>
      <c r="AS101" s="183"/>
      <c r="AT101" s="183"/>
      <c r="AU101" s="183"/>
      <c r="AV101" s="386"/>
      <c r="BU101" s="377"/>
      <c r="BV101" s="377"/>
      <c r="BW101" s="377"/>
      <c r="BX101" s="377"/>
      <c r="BY101" s="61" t="str">
        <f>IF(BY100&gt;=1,BX100,0)</f>
        <v xml:space="preserve"> </v>
      </c>
      <c r="BZ101" s="61" t="str">
        <f t="shared" si="254"/>
        <v xml:space="preserve"> </v>
      </c>
      <c r="CA101" s="124">
        <f t="array" aca="1" ref="CA10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1" t="str">
        <f>IF(CB100&gt;=1,BW100,0)</f>
        <v xml:space="preserve"> </v>
      </c>
      <c r="CC101" s="125" t="str">
        <f t="shared" si="190"/>
        <v xml:space="preserve"> </v>
      </c>
      <c r="CD101" s="51">
        <f t="array" aca="1" ref="CD101" ca="1">IF(ROW()-ROW(Н4кр)+1&gt;ROWS(Е4кр)-COUNTBLANK(Е4кр)," ",INDIRECT(ADDRESS(SMALL((IF(Е4кр&lt;&gt;" ",ROW(Е4кр),ROW()+ROWS(Е4кр))),ROW()-ROW(Н4кр)+1),COLUMN(Е4кр),4)))</f>
        <v>0</v>
      </c>
      <c r="CF101" s="377"/>
      <c r="CG101" s="377"/>
      <c r="CH101" s="125" t="str">
        <f>IF(CH100&gt;=1,CG100,0)</f>
        <v xml:space="preserve"> </v>
      </c>
      <c r="CI101" t="str">
        <f t="shared" si="197"/>
        <v xml:space="preserve"> </v>
      </c>
      <c r="CJ101" s="51">
        <f t="array" aca="1" ref="CJ101" ca="1">IF(ROW()-ROW(Н5кр)+1&gt;ROWS(Е5кр)-COUNTBLANK(Е5кр)," ",INDIRECT(ADDRESS(SMALL((IF(Е5кр&lt;&gt;" ",ROW(Е5кр),ROW()+ROWS(Е5кр))),ROW()-ROW(Н5кр)+1),COLUMN(Е5кр),4)))</f>
        <v>0</v>
      </c>
      <c r="CL101" s="377"/>
      <c r="CM101" s="377"/>
      <c r="CN101" t="str">
        <f>IF(CN100&gt;=1,CM100,0)</f>
        <v xml:space="preserve"> </v>
      </c>
      <c r="CO101" t="str">
        <f t="shared" si="191"/>
        <v xml:space="preserve"> </v>
      </c>
      <c r="CP101">
        <f t="array" aca="1" ref="CP101" ca="1">IF(ROW()-ROW(Н6кр)+1&gt;ROWS(Е6кр)-COUNTBLANK(Е6кр)," ",INDIRECT(ADDRESS(SMALL((IF(Е6кр&lt;&gt;" ",ROW(Е6кр),ROW()+ROWS(Е6кр))),ROW()-ROW(Н6кр)+1),COLUMN(Е6кр),4)))</f>
        <v>0</v>
      </c>
      <c r="CR101" s="377"/>
      <c r="CS101" s="377"/>
      <c r="CT101" t="str">
        <f>IF(CT100&gt;=1,CS100,0)</f>
        <v xml:space="preserve"> </v>
      </c>
      <c r="CU101" t="str">
        <f t="shared" si="192"/>
        <v xml:space="preserve"> </v>
      </c>
      <c r="CV101">
        <f t="array" aca="1" ref="CV101" ca="1">IF(ROW()-ROW(Н7кр)+1&gt;ROWS(Е7кр)-COUNTBLANK(Е7кр)," ",INDIRECT(ADDRESS(SMALL((IF(Е7кр&lt;&gt;" ",ROW(Е7кр),ROW()+ROWS(Е7кр))),ROW()-ROW(Н7кр)+1),COLUMN(Е7кр),4)))</f>
        <v>0</v>
      </c>
    </row>
    <row r="102" spans="1:100" ht="12" hidden="1" customHeight="1" thickTop="1">
      <c r="A102" s="198"/>
      <c r="B102" s="423">
        <v>48</v>
      </c>
      <c r="C102" s="425" t="e">
        <f>(VLOOKUP(B102,пр.взв!$B$7:$H$76,2,0))</f>
        <v>#N/A</v>
      </c>
      <c r="D102" s="427" t="e">
        <f>(VLOOKUP(B102,пр.взв!$B$7:$H$76,3,0))</f>
        <v>#N/A</v>
      </c>
      <c r="E102" s="429" t="e">
        <f>(VLOOKUP(B102,пр.взв!$B$7:$H$76,5,0))</f>
        <v>#N/A</v>
      </c>
      <c r="F102" s="443">
        <f t="shared" si="224"/>
        <v>0</v>
      </c>
      <c r="G102" s="42"/>
      <c r="H102" s="440"/>
      <c r="I102" s="42"/>
      <c r="J102" s="444" t="str">
        <f>IF(H102="Х","Х",IF(I102+G102&lt;6," ",IF(I102+G102&gt;=6,IF(AA102&gt;=6,"Х",IF(AA102&lt;6," "," ")))))</f>
        <v xml:space="preserve"> </v>
      </c>
      <c r="K102" s="41"/>
      <c r="L102" s="438" t="str">
        <f>IF(J102="Х","Х",IF(K102&lt;2.5," ",IF(K102&gt;=2.5,IF(G102+I102+K102&gt;=6,"Х",IF(AA102&lt;6," "," ")))))</f>
        <v xml:space="preserve"> </v>
      </c>
      <c r="M102" s="41"/>
      <c r="N102" s="438" t="str">
        <f>IF(L102="Х","Х",IF(M102&lt;2.5," ",IF(M102&gt;=2.5,IF(G102+I102+K102+M102&gt;=6,"Х",IF(AA102&lt;6," "," ")))))</f>
        <v xml:space="preserve"> </v>
      </c>
      <c r="O102" s="41"/>
      <c r="P102" s="438" t="str">
        <f>IF(N102="Х","Х",IF(O102&lt;2.5," ",IF(O102&gt;=2.5,IF(G102+I102+K102+M102+O102&gt;=6,"Х",IF(AA102&lt;6," "," ")))))</f>
        <v xml:space="preserve"> </v>
      </c>
      <c r="Q102" s="41"/>
      <c r="R102" s="438" t="str">
        <f>IF(P102="Х","Х",IF(Q102&lt;2.5," ",IF(Q102&gt;=2.5,IF(G102+I102+K102+M102+O102+Q102&gt;=6,"Х",IF(AA102&lt;6," "," ")))))</f>
        <v xml:space="preserve"> </v>
      </c>
      <c r="S102" s="41"/>
      <c r="T102" s="438" t="str">
        <f>IF(R102="Х","Х",IF(S102&lt;2.5," ",IF(S102&gt;=2.5,IF(G102+I102+K102+M102+O102+Q102+S102&gt;=6,"Х",IF(AA102&lt;6," "," ")))))</f>
        <v xml:space="preserve"> </v>
      </c>
      <c r="U102" s="45"/>
      <c r="V102" s="438" t="str">
        <f t="shared" ref="V102" si="268">IF(T102="А1",$AX$7,IF(T102="Б2",$AX$6,IF(T102="Б1",$AY$7,IF(T102="А2",$AY$6,IF(T102="Х","Х",IF(T102&lt;6," "," "))))))</f>
        <v xml:space="preserve"> </v>
      </c>
      <c r="W102" s="41"/>
      <c r="X102" s="438" t="str">
        <f t="shared" ref="X102" si="269">IF(T102="Х","Х",IF(ISBLANK(W102),"",IF(W102&gt;2.5," ",IF(B102=AZ$6,AZ$7,AZ$6))))</f>
        <v/>
      </c>
      <c r="Y102" s="42"/>
      <c r="Z102" s="466" t="b">
        <f>IF(H102="Х","1",IF(J102="Х","2",IF(L102="Х","3",IF(N102="Х","4",IF(P102="Х","5",IF(R102="Х","6",IF(T102="Х","7",IF(V102="Х","8"))))))))</f>
        <v>0</v>
      </c>
      <c r="AA102" s="464">
        <f>SUM(G102+I102+K102+M102+O102+Q102+S102+U102+W102+Y102)</f>
        <v>0</v>
      </c>
      <c r="AB102" s="431">
        <f t="shared" ref="AB102" si="270">AD102+0</f>
        <v>20576</v>
      </c>
      <c r="AC102" s="386">
        <f>AB102</f>
        <v>20576</v>
      </c>
      <c r="AD102" s="387" t="str">
        <f>COUNTIF(AE$6:AE$119,"&gt;"&amp;AE$6:AE$119)+1&amp;REPT("-"&amp;COUNTIF(AE$6:AE$119,"&gt;="&amp;AE$6:AE$119),COUNTIF(AE$6:AE$119,AE102)&gt;1)</f>
        <v>5-56</v>
      </c>
      <c r="AE102" s="388">
        <f t="shared" si="221"/>
        <v>80</v>
      </c>
      <c r="AF102" s="390" t="str">
        <f>IF(OR(F102="Х",F102="св")," ",IF(AND(G102&gt;=0,G102&lt;3),"1"," "))</f>
        <v>1</v>
      </c>
      <c r="AG102" s="390" t="str">
        <f>IF(OR(H102="Х",H102="св")," ",IF(AND(I102&gt;=0,I102&lt;3),"1"," "))</f>
        <v>1</v>
      </c>
      <c r="AH102" s="390" t="str">
        <f>IF(OR(J102="Х",J102="св")," ",IF(AND(K102&gt;=0,K102&lt;3),"1"," "))</f>
        <v>1</v>
      </c>
      <c r="AI102" s="390" t="str">
        <f>IF(OR(L102="Х",L102="св")," ",IF(AND(M102&gt;=0,M102&lt;3),"1"," "))</f>
        <v>1</v>
      </c>
      <c r="AJ102" s="390" t="str">
        <f>IF(OR(N102="Х",N102="св")," ",IF(AND(O102&gt;=0,O102&lt;3),"1"," "))</f>
        <v>1</v>
      </c>
      <c r="AK102" s="390" t="str">
        <f>IF(OR(P102="Х",P102="св")," ",IF(AND(Q102&gt;=0,Q102&lt;3),"1"," "))</f>
        <v>1</v>
      </c>
      <c r="AL102" s="390" t="str">
        <f>IF(OR(R102="Х",R102="св")," ",IF(AND(S102&gt;=0,S102&lt;3),"1"," "))</f>
        <v>1</v>
      </c>
      <c r="AM102" s="390" t="str">
        <f>IF(OR(T102="Х",T102="св")," ",IF(AND(U102&gt;=0,U102&lt;3),"1"," "))</f>
        <v>1</v>
      </c>
      <c r="AN102" s="391">
        <f t="shared" ref="AN102" si="271">COUNTIF(AF102:AM103,1)</f>
        <v>8</v>
      </c>
      <c r="AO102" s="393">
        <f>AE102-AA102</f>
        <v>80</v>
      </c>
      <c r="AP102" s="394">
        <f t="shared" si="196"/>
        <v>0</v>
      </c>
      <c r="AQ102" s="387" t="str">
        <f>COUNTIF(AE$6:AE$119,"&gt;"&amp;AE$6:AE$119)+1&amp;REPT("-"&amp;COUNTIF(AE$6:AE$119,"&gt;="&amp;AE$6:AE$119),COUNTIF(AE$6:AE$119,AE102)&gt;1)</f>
        <v>5-56</v>
      </c>
      <c r="AR102" s="395"/>
      <c r="AS102" s="183"/>
      <c r="AT102" s="183"/>
      <c r="AU102" s="183"/>
      <c r="AV102" s="386">
        <f t="shared" si="237"/>
        <v>48</v>
      </c>
      <c r="BU102" s="377">
        <f>IF(J102="х"," ",B102)</f>
        <v>48</v>
      </c>
      <c r="BV102" s="377">
        <f>IF(L102="х"," ",B102)</f>
        <v>48</v>
      </c>
      <c r="BW102" s="377" t="str">
        <f>IF(BV102=" "," ",L102)</f>
        <v xml:space="preserve"> </v>
      </c>
      <c r="BX102" s="377" t="str">
        <f>IF(BU102=" "," ",J102)</f>
        <v xml:space="preserve"> </v>
      </c>
      <c r="BY102" s="61">
        <f>IF(BU102&lt;BX102,BU102,0)</f>
        <v>48</v>
      </c>
      <c r="BZ102" s="61">
        <f t="shared" si="254"/>
        <v>48</v>
      </c>
      <c r="CA102" s="124">
        <f t="array" aca="1" ref="CA10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2">
        <f>IF(BV102&lt;BW102,BV102,0)</f>
        <v>48</v>
      </c>
      <c r="CC102" s="125">
        <f t="shared" si="190"/>
        <v>48</v>
      </c>
      <c r="CD102" s="51">
        <f t="array" aca="1" ref="CD102" ca="1">IF(ROW()-ROW(Н4кр)+1&gt;ROWS(Е4кр)-COUNTBLANK(Е4кр)," ",INDIRECT(ADDRESS(SMALL((IF(Е4кр&lt;&gt;" ",ROW(Е4кр),ROW()+ROWS(Е4кр))),ROW()-ROW(Н4кр)+1),COLUMN(Е4кр),4)))</f>
        <v>0</v>
      </c>
      <c r="CF102" s="377">
        <f>IF(N102="х"," ",B102)</f>
        <v>48</v>
      </c>
      <c r="CG102" s="377" t="str">
        <f>IF(CF102=" "," ",N102)</f>
        <v xml:space="preserve"> </v>
      </c>
      <c r="CH102" s="125">
        <f>IF(CF102&lt;CG102,CF102,0)</f>
        <v>48</v>
      </c>
      <c r="CI102">
        <f t="shared" si="197"/>
        <v>48</v>
      </c>
      <c r="CJ102" s="51">
        <f t="array" aca="1" ref="CJ102" ca="1">IF(ROW()-ROW(Н5кр)+1&gt;ROWS(Е5кр)-COUNTBLANK(Е5кр)," ",INDIRECT(ADDRESS(SMALL((IF(Е5кр&lt;&gt;" ",ROW(Е5кр),ROW()+ROWS(Е5кр))),ROW()-ROW(Н5кр)+1),COLUMN(Е5кр),4)))</f>
        <v>0</v>
      </c>
      <c r="CL102" s="377">
        <f>IF(P102="х"," ",B102)</f>
        <v>48</v>
      </c>
      <c r="CM102" s="377" t="str">
        <f>IF(CL102=" "," ",P102)</f>
        <v xml:space="preserve"> </v>
      </c>
      <c r="CN102">
        <f>IF(CL102&lt;CM102,CL102,0)</f>
        <v>48</v>
      </c>
      <c r="CO102">
        <f t="shared" si="191"/>
        <v>48</v>
      </c>
      <c r="CP102">
        <f t="array" aca="1" ref="CP102" ca="1">IF(ROW()-ROW(Н6кр)+1&gt;ROWS(Е6кр)-COUNTBLANK(Е6кр)," ",INDIRECT(ADDRESS(SMALL((IF(Е6кр&lt;&gt;" ",ROW(Е6кр),ROW()+ROWS(Е6кр))),ROW()-ROW(Н6кр)+1),COLUMN(Е6кр),4)))</f>
        <v>0</v>
      </c>
      <c r="CR102" s="377">
        <f t="shared" ref="CR102" si="272">IF(R102="х"," ",B102)</f>
        <v>48</v>
      </c>
      <c r="CS102" s="377" t="str">
        <f t="shared" ref="CS102" si="273">IF(CR102=" "," ",R102)</f>
        <v xml:space="preserve"> </v>
      </c>
      <c r="CT102">
        <f>IF(CR102&lt;CS102,CR102,0)</f>
        <v>48</v>
      </c>
      <c r="CU102">
        <f t="shared" si="192"/>
        <v>48</v>
      </c>
      <c r="CV102">
        <f t="array" aca="1" ref="CV102" ca="1">IF(ROW()-ROW(Н7кр)+1&gt;ROWS(Е7кр)-COUNTBLANK(Е7кр)," ",INDIRECT(ADDRESS(SMALL((IF(Е7кр&lt;&gt;" ",ROW(Е7кр),ROW()+ROWS(Е7кр))),ROW()-ROW(Н7кр)+1),COLUMN(Е7кр),4)))</f>
        <v>0</v>
      </c>
    </row>
    <row r="103" spans="1:100" ht="12" hidden="1" customHeight="1" thickBot="1">
      <c r="A103" s="198"/>
      <c r="B103" s="424"/>
      <c r="C103" s="426"/>
      <c r="D103" s="428"/>
      <c r="E103" s="430"/>
      <c r="F103" s="442"/>
      <c r="G103" s="44"/>
      <c r="H103" s="439"/>
      <c r="I103" s="44"/>
      <c r="J103" s="439"/>
      <c r="K103" s="44"/>
      <c r="L103" s="439"/>
      <c r="M103" s="44"/>
      <c r="N103" s="439"/>
      <c r="O103" s="44"/>
      <c r="P103" s="439"/>
      <c r="Q103" s="44"/>
      <c r="R103" s="439"/>
      <c r="S103" s="44"/>
      <c r="T103" s="439"/>
      <c r="U103" s="47"/>
      <c r="V103" s="439"/>
      <c r="W103" s="44"/>
      <c r="X103" s="439"/>
      <c r="Y103" s="44"/>
      <c r="Z103" s="422"/>
      <c r="AA103" s="465"/>
      <c r="AB103" s="432"/>
      <c r="AC103" s="386"/>
      <c r="AD103" s="387"/>
      <c r="AE103" s="389"/>
      <c r="AF103" s="390"/>
      <c r="AG103" s="390"/>
      <c r="AH103" s="390"/>
      <c r="AI103" s="390"/>
      <c r="AJ103" s="390"/>
      <c r="AK103" s="390"/>
      <c r="AL103" s="390"/>
      <c r="AM103" s="390"/>
      <c r="AN103" s="392"/>
      <c r="AO103" s="387"/>
      <c r="AP103" s="394"/>
      <c r="AQ103" s="387"/>
      <c r="AR103" s="395"/>
      <c r="AS103" s="183"/>
      <c r="AT103" s="183"/>
      <c r="AU103" s="183"/>
      <c r="AV103" s="386"/>
      <c r="BU103" s="377"/>
      <c r="BV103" s="377"/>
      <c r="BW103" s="377"/>
      <c r="BX103" s="377"/>
      <c r="BY103" s="61" t="str">
        <f>IF(BY102&gt;=1,BX102,0)</f>
        <v xml:space="preserve"> </v>
      </c>
      <c r="BZ103" s="61" t="str">
        <f t="shared" si="254"/>
        <v xml:space="preserve"> </v>
      </c>
      <c r="CA103" s="124">
        <f t="array" aca="1" ref="CA10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3" t="str">
        <f>IF(CB102&gt;=1,BW102,0)</f>
        <v xml:space="preserve"> </v>
      </c>
      <c r="CC103" s="125" t="str">
        <f t="shared" si="190"/>
        <v xml:space="preserve"> </v>
      </c>
      <c r="CD103" s="51">
        <f t="array" aca="1" ref="CD103" ca="1">IF(ROW()-ROW(Н4кр)+1&gt;ROWS(Е4кр)-COUNTBLANK(Е4кр)," ",INDIRECT(ADDRESS(SMALL((IF(Е4кр&lt;&gt;" ",ROW(Е4кр),ROW()+ROWS(Е4кр))),ROW()-ROW(Н4кр)+1),COLUMN(Е4кр),4)))</f>
        <v>0</v>
      </c>
      <c r="CF103" s="377"/>
      <c r="CG103" s="377"/>
      <c r="CH103" s="125" t="str">
        <f>IF(CH102&gt;=1,CG102,0)</f>
        <v xml:space="preserve"> </v>
      </c>
      <c r="CI103" t="str">
        <f t="shared" si="197"/>
        <v xml:space="preserve"> </v>
      </c>
      <c r="CJ103" s="51">
        <f t="array" aca="1" ref="CJ103" ca="1">IF(ROW()-ROW(Н5кр)+1&gt;ROWS(Е5кр)-COUNTBLANK(Е5кр)," ",INDIRECT(ADDRESS(SMALL((IF(Е5кр&lt;&gt;" ",ROW(Е5кр),ROW()+ROWS(Е5кр))),ROW()-ROW(Н5кр)+1),COLUMN(Е5кр),4)))</f>
        <v>0</v>
      </c>
      <c r="CL103" s="377"/>
      <c r="CM103" s="377"/>
      <c r="CN103" t="str">
        <f>IF(CN102&gt;=1,CM102,0)</f>
        <v xml:space="preserve"> </v>
      </c>
      <c r="CO103" t="str">
        <f t="shared" si="191"/>
        <v xml:space="preserve"> </v>
      </c>
      <c r="CP103">
        <f t="array" aca="1" ref="CP103" ca="1">IF(ROW()-ROW(Н6кр)+1&gt;ROWS(Е6кр)-COUNTBLANK(Е6кр)," ",INDIRECT(ADDRESS(SMALL((IF(Е6кр&lt;&gt;" ",ROW(Е6кр),ROW()+ROWS(Е6кр))),ROW()-ROW(Н6кр)+1),COLUMN(Е6кр),4)))</f>
        <v>0</v>
      </c>
      <c r="CR103" s="377"/>
      <c r="CS103" s="377"/>
      <c r="CT103" t="str">
        <f>IF(CT102&gt;=1,CS102,0)</f>
        <v xml:space="preserve"> </v>
      </c>
      <c r="CU103" t="str">
        <f t="shared" si="192"/>
        <v xml:space="preserve"> </v>
      </c>
      <c r="CV103">
        <f t="array" aca="1" ref="CV103" ca="1">IF(ROW()-ROW(Н7кр)+1&gt;ROWS(Е7кр)-COUNTBLANK(Е7кр)," ",INDIRECT(ADDRESS(SMALL((IF(Е7кр&lt;&gt;" ",ROW(Е7кр),ROW()+ROWS(Е7кр))),ROW()-ROW(Н7кр)+1),COLUMN(Е7кр),4)))</f>
        <v>0</v>
      </c>
    </row>
    <row r="104" spans="1:100" ht="12" hidden="1" customHeight="1" thickTop="1">
      <c r="A104" s="198"/>
      <c r="B104" s="423">
        <v>49</v>
      </c>
      <c r="C104" s="425" t="e">
        <f>(VLOOKUP(B104,пр.взв!$B$7:$H$76,2,0))</f>
        <v>#N/A</v>
      </c>
      <c r="D104" s="427" t="e">
        <f>(VLOOKUP(B104,пр.взв!$B$7:$H$76,3,0))</f>
        <v>#N/A</v>
      </c>
      <c r="E104" s="429" t="e">
        <f>(VLOOKUP(B104,пр.взв!$B$7:$H$76,5,0))</f>
        <v>#N/A</v>
      </c>
      <c r="F104" s="445">
        <f t="shared" ref="F104" si="274">IF(ISERROR(C104),0,B106)</f>
        <v>0</v>
      </c>
      <c r="G104" s="42"/>
      <c r="H104" s="440"/>
      <c r="I104" s="42"/>
      <c r="J104" s="444" t="str">
        <f>IF(H104="Х","Х",IF(I104+G104&lt;6," ",IF(I104+G104&gt;=6,IF(AA104&gt;=6,"Х",IF(AA104&lt;6," "," ")))))</f>
        <v xml:space="preserve"> </v>
      </c>
      <c r="K104" s="41"/>
      <c r="L104" s="438" t="str">
        <f>IF(J104="Х","Х",IF(K104&lt;2.5," ",IF(K104&gt;=2.5,IF(G104+I104+K104&gt;=6,"Х",IF(AA104&lt;6," "," ")))))</f>
        <v xml:space="preserve"> </v>
      </c>
      <c r="M104" s="41"/>
      <c r="N104" s="438" t="str">
        <f>IF(L104="Х","Х",IF(M104&lt;2.5," ",IF(M104&gt;=2.5,IF(G104+I104+K104+M104&gt;=6,"Х",IF(AA104&lt;6," "," ")))))</f>
        <v xml:space="preserve"> </v>
      </c>
      <c r="O104" s="41"/>
      <c r="P104" s="438" t="str">
        <f>IF(N104="Х","Х",IF(O104&lt;2.5," ",IF(O104&gt;=2.5,IF(G104+I104+K104+M104+O104&gt;=6,"Х",IF(AA104&lt;6," "," ")))))</f>
        <v xml:space="preserve"> </v>
      </c>
      <c r="Q104" s="41"/>
      <c r="R104" s="438" t="str">
        <f>IF(P104="Х","Х",IF(Q104&lt;2.5," ",IF(Q104&gt;=2.5,IF(G104+I104+K104+M104+O104+Q104&gt;=6,"Х",IF(AA104&lt;6," "," ")))))</f>
        <v xml:space="preserve"> </v>
      </c>
      <c r="S104" s="41"/>
      <c r="T104" s="438" t="str">
        <f>IF(R104="Х","Х",IF(S104&lt;2.5," ",IF(S104&gt;=2.5,IF(G104+I104+K104+M104+O104+Q104+S104&gt;=6,"Х",IF(AA104&lt;6," "," ")))))</f>
        <v xml:space="preserve"> </v>
      </c>
      <c r="U104" s="45"/>
      <c r="V104" s="438" t="str">
        <f t="shared" ref="V104" si="275">IF(T104="А1",$AX$7,IF(T104="Б2",$AX$6,IF(T104="Б1",$AY$7,IF(T104="А2",$AY$6,IF(T104="Х","Х",IF(T104&lt;6," "," "))))))</f>
        <v xml:space="preserve"> </v>
      </c>
      <c r="W104" s="41"/>
      <c r="X104" s="438" t="str">
        <f t="shared" ref="X104" si="276">IF(T104="Х","Х",IF(ISBLANK(W104),"",IF(W104&gt;2.5," ",IF(B104=AZ$6,AZ$7,AZ$6))))</f>
        <v/>
      </c>
      <c r="Y104" s="42"/>
      <c r="Z104" s="466" t="b">
        <f>IF(H104="Х","1",IF(J104="Х","2",IF(L104="Х","3",IF(N104="Х","4",IF(P104="Х","5",IF(R104="Х","6",IF(T104="Х","7",IF(V104="Х","8"))))))))</f>
        <v>0</v>
      </c>
      <c r="AA104" s="464">
        <f>SUM(G104+I104+K104+M104+O104+Q104+S104+U104+W104+Y104)</f>
        <v>0</v>
      </c>
      <c r="AB104" s="431">
        <f t="shared" ref="AB104" si="277">AD104+0</f>
        <v>20576</v>
      </c>
      <c r="AC104" s="386">
        <f>AB104</f>
        <v>20576</v>
      </c>
      <c r="AD104" s="387" t="str">
        <f>COUNTIF(AE$6:AE$119,"&gt;"&amp;AE$6:AE$119)+1&amp;REPT("-"&amp;COUNTIF(AE$6:AE$119,"&gt;="&amp;AE$6:AE$119),COUNTIF(AE$6:AE$119,AE104)&gt;1)</f>
        <v>5-56</v>
      </c>
      <c r="AE104" s="388">
        <f t="shared" si="221"/>
        <v>80</v>
      </c>
      <c r="AF104" s="390" t="str">
        <f>IF(OR(F104="Х",F104="св")," ",IF(AND(G104&gt;=0,G104&lt;3),"1"," "))</f>
        <v>1</v>
      </c>
      <c r="AG104" s="390" t="str">
        <f>IF(OR(H104="Х",H104="св")," ",IF(AND(I104&gt;=0,I104&lt;3),"1"," "))</f>
        <v>1</v>
      </c>
      <c r="AH104" s="390" t="str">
        <f>IF(OR(J104="Х",J104="св")," ",IF(AND(K104&gt;=0,K104&lt;3),"1"," "))</f>
        <v>1</v>
      </c>
      <c r="AI104" s="390" t="str">
        <f>IF(OR(L104="Х",L104="св")," ",IF(AND(M104&gt;=0,M104&lt;3),"1"," "))</f>
        <v>1</v>
      </c>
      <c r="AJ104" s="390" t="str">
        <f>IF(OR(N104="Х",N104="св")," ",IF(AND(O104&gt;=0,O104&lt;3),"1"," "))</f>
        <v>1</v>
      </c>
      <c r="AK104" s="390" t="str">
        <f>IF(OR(P104="Х",P104="св")," ",IF(AND(Q104&gt;=0,Q104&lt;3),"1"," "))</f>
        <v>1</v>
      </c>
      <c r="AL104" s="390" t="str">
        <f>IF(OR(R104="Х",R104="св")," ",IF(AND(S104&gt;=0,S104&lt;3),"1"," "))</f>
        <v>1</v>
      </c>
      <c r="AM104" s="390" t="str">
        <f>IF(OR(T104="Х",T104="св")," ",IF(AND(U104&gt;=0,U104&lt;3),"1"," "))</f>
        <v>1</v>
      </c>
      <c r="AN104" s="391">
        <f t="shared" ref="AN104" si="278">COUNTIF(AF104:AM105,1)</f>
        <v>8</v>
      </c>
      <c r="AO104" s="393">
        <f>AE104-AA104</f>
        <v>80</v>
      </c>
      <c r="AP104" s="394">
        <f t="shared" si="196"/>
        <v>0</v>
      </c>
      <c r="AQ104" s="387" t="str">
        <f>COUNTIF(AE$6:AE$119,"&gt;"&amp;AE$6:AE$119)+1&amp;REPT("-"&amp;COUNTIF(AE$6:AE$119,"&gt;="&amp;AE$6:AE$119),COUNTIF(AE$6:AE$119,AE104)&gt;1)</f>
        <v>5-56</v>
      </c>
      <c r="AR104" s="395"/>
      <c r="AS104" s="183"/>
      <c r="AT104" s="183"/>
      <c r="AU104" s="183"/>
      <c r="AV104" s="386">
        <f t="shared" si="237"/>
        <v>49</v>
      </c>
      <c r="BU104" s="377">
        <f>IF(J104="х"," ",B104)</f>
        <v>49</v>
      </c>
      <c r="BV104" s="377">
        <f>IF(L104="х"," ",B104)</f>
        <v>49</v>
      </c>
      <c r="BW104" s="377" t="str">
        <f>IF(BV104=" "," ",L104)</f>
        <v xml:space="preserve"> </v>
      </c>
      <c r="BX104" s="377" t="str">
        <f>IF(BU104=" "," ",J104)</f>
        <v xml:space="preserve"> </v>
      </c>
      <c r="BY104" s="61">
        <f>IF(BU104&lt;BX104,BU104,0)</f>
        <v>49</v>
      </c>
      <c r="BZ104" s="61">
        <f t="shared" si="254"/>
        <v>49</v>
      </c>
      <c r="CA104" s="124">
        <f t="array" aca="1" ref="CA10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4">
        <f>IF(BV104&lt;BW104,BV104,0)</f>
        <v>49</v>
      </c>
      <c r="CC104" s="125">
        <f t="shared" si="190"/>
        <v>49</v>
      </c>
      <c r="CD104" s="51">
        <f t="array" aca="1" ref="CD104" ca="1">IF(ROW()-ROW(Н4кр)+1&gt;ROWS(Е4кр)-COUNTBLANK(Е4кр)," ",INDIRECT(ADDRESS(SMALL((IF(Е4кр&lt;&gt;" ",ROW(Е4кр),ROW()+ROWS(Е4кр))),ROW()-ROW(Н4кр)+1),COLUMN(Е4кр),4)))</f>
        <v>0</v>
      </c>
      <c r="CF104" s="377">
        <f>IF(N104="х"," ",B104)</f>
        <v>49</v>
      </c>
      <c r="CG104" s="377" t="str">
        <f>IF(CF104=" "," ",N104)</f>
        <v xml:space="preserve"> </v>
      </c>
      <c r="CH104" s="125">
        <f>IF(CF104&lt;CG104,CF104,0)</f>
        <v>49</v>
      </c>
      <c r="CI104">
        <f t="shared" si="197"/>
        <v>49</v>
      </c>
      <c r="CJ104" s="51">
        <f t="array" aca="1" ref="CJ104" ca="1">IF(ROW()-ROW(Н5кр)+1&gt;ROWS(Е5кр)-COUNTBLANK(Е5кр)," ",INDIRECT(ADDRESS(SMALL((IF(Е5кр&lt;&gt;" ",ROW(Е5кр),ROW()+ROWS(Е5кр))),ROW()-ROW(Н5кр)+1),COLUMN(Е5кр),4)))</f>
        <v>0</v>
      </c>
      <c r="CL104" s="377">
        <f>IF(P104="х"," ",B104)</f>
        <v>49</v>
      </c>
      <c r="CM104" s="377" t="str">
        <f>IF(CL104=" "," ",P104)</f>
        <v xml:space="preserve"> </v>
      </c>
      <c r="CN104">
        <f>IF(CL104&lt;CM104,CL104,0)</f>
        <v>49</v>
      </c>
      <c r="CO104">
        <f t="shared" si="191"/>
        <v>49</v>
      </c>
      <c r="CP104">
        <f t="array" aca="1" ref="CP104" ca="1">IF(ROW()-ROW(Н6кр)+1&gt;ROWS(Е6кр)-COUNTBLANK(Е6кр)," ",INDIRECT(ADDRESS(SMALL((IF(Е6кр&lt;&gt;" ",ROW(Е6кр),ROW()+ROWS(Е6кр))),ROW()-ROW(Н6кр)+1),COLUMN(Е6кр),4)))</f>
        <v>0</v>
      </c>
      <c r="CR104" s="377">
        <f t="shared" ref="CR104" si="279">IF(R104="х"," ",B104)</f>
        <v>49</v>
      </c>
      <c r="CS104" s="377" t="str">
        <f t="shared" ref="CS104" si="280">IF(CR104=" "," ",R104)</f>
        <v xml:space="preserve"> </v>
      </c>
      <c r="CT104">
        <f>IF(CR104&lt;CS104,CR104,0)</f>
        <v>49</v>
      </c>
      <c r="CU104">
        <f t="shared" si="192"/>
        <v>49</v>
      </c>
      <c r="CV104">
        <f t="array" aca="1" ref="CV104" ca="1">IF(ROW()-ROW(Н7кр)+1&gt;ROWS(Е7кр)-COUNTBLANK(Е7кр)," ",INDIRECT(ADDRESS(SMALL((IF(Е7кр&lt;&gt;" ",ROW(Е7кр),ROW()+ROWS(Е7кр))),ROW()-ROW(Н7кр)+1),COLUMN(Е7кр),4)))</f>
        <v>0</v>
      </c>
    </row>
    <row r="105" spans="1:100" ht="12" hidden="1" customHeight="1" thickBot="1">
      <c r="A105" s="198"/>
      <c r="B105" s="424"/>
      <c r="C105" s="426"/>
      <c r="D105" s="428"/>
      <c r="E105" s="430"/>
      <c r="F105" s="442"/>
      <c r="G105" s="44"/>
      <c r="H105" s="439"/>
      <c r="I105" s="44"/>
      <c r="J105" s="439"/>
      <c r="K105" s="44"/>
      <c r="L105" s="439"/>
      <c r="M105" s="44"/>
      <c r="N105" s="439"/>
      <c r="O105" s="44"/>
      <c r="P105" s="439"/>
      <c r="Q105" s="44"/>
      <c r="R105" s="439"/>
      <c r="S105" s="44"/>
      <c r="T105" s="439"/>
      <c r="U105" s="47"/>
      <c r="V105" s="439"/>
      <c r="W105" s="44"/>
      <c r="X105" s="439"/>
      <c r="Y105" s="44"/>
      <c r="Z105" s="422"/>
      <c r="AA105" s="465"/>
      <c r="AB105" s="432"/>
      <c r="AC105" s="386"/>
      <c r="AD105" s="387"/>
      <c r="AE105" s="389"/>
      <c r="AF105" s="390"/>
      <c r="AG105" s="390"/>
      <c r="AH105" s="390"/>
      <c r="AI105" s="390"/>
      <c r="AJ105" s="390"/>
      <c r="AK105" s="390"/>
      <c r="AL105" s="390"/>
      <c r="AM105" s="390"/>
      <c r="AN105" s="392"/>
      <c r="AO105" s="387"/>
      <c r="AP105" s="394"/>
      <c r="AQ105" s="387"/>
      <c r="AR105" s="395"/>
      <c r="AS105" s="183"/>
      <c r="AT105" s="183"/>
      <c r="AU105" s="183"/>
      <c r="AV105" s="386"/>
      <c r="BU105" s="377"/>
      <c r="BV105" s="377"/>
      <c r="BW105" s="377"/>
      <c r="BX105" s="377"/>
      <c r="BY105" s="61" t="str">
        <f>IF(BY104&gt;=1,BX104,0)</f>
        <v xml:space="preserve"> </v>
      </c>
      <c r="BZ105" s="61" t="str">
        <f t="shared" si="254"/>
        <v xml:space="preserve"> </v>
      </c>
      <c r="CA105" s="124">
        <f t="array" aca="1" ref="CA10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5" t="str">
        <f>IF(CB104&gt;=1,BW104,0)</f>
        <v xml:space="preserve"> </v>
      </c>
      <c r="CC105" s="125" t="str">
        <f t="shared" si="190"/>
        <v xml:space="preserve"> </v>
      </c>
      <c r="CD105" s="51">
        <f t="array" aca="1" ref="CD105" ca="1">IF(ROW()-ROW(Н4кр)+1&gt;ROWS(Е4кр)-COUNTBLANK(Е4кр)," ",INDIRECT(ADDRESS(SMALL((IF(Е4кр&lt;&gt;" ",ROW(Е4кр),ROW()+ROWS(Е4кр))),ROW()-ROW(Н4кр)+1),COLUMN(Е4кр),4)))</f>
        <v>0</v>
      </c>
      <c r="CF105" s="377"/>
      <c r="CG105" s="377"/>
      <c r="CH105" s="125" t="str">
        <f>IF(CH104&gt;=1,CG104,0)</f>
        <v xml:space="preserve"> </v>
      </c>
      <c r="CI105" t="str">
        <f t="shared" si="197"/>
        <v xml:space="preserve"> </v>
      </c>
      <c r="CJ105" s="51">
        <f t="array" aca="1" ref="CJ105" ca="1">IF(ROW()-ROW(Н5кр)+1&gt;ROWS(Е5кр)-COUNTBLANK(Е5кр)," ",INDIRECT(ADDRESS(SMALL((IF(Е5кр&lt;&gt;" ",ROW(Е5кр),ROW()+ROWS(Е5кр))),ROW()-ROW(Н5кр)+1),COLUMN(Е5кр),4)))</f>
        <v>0</v>
      </c>
      <c r="CL105" s="377"/>
      <c r="CM105" s="377"/>
      <c r="CN105" t="str">
        <f>IF(CN104&gt;=1,CM104,0)</f>
        <v xml:space="preserve"> </v>
      </c>
      <c r="CO105" t="str">
        <f t="shared" si="191"/>
        <v xml:space="preserve"> </v>
      </c>
      <c r="CP105">
        <f t="array" aca="1" ref="CP105" ca="1">IF(ROW()-ROW(Н6кр)+1&gt;ROWS(Е6кр)-COUNTBLANK(Е6кр)," ",INDIRECT(ADDRESS(SMALL((IF(Е6кр&lt;&gt;" ",ROW(Е6кр),ROW()+ROWS(Е6кр))),ROW()-ROW(Н6кр)+1),COLUMN(Е6кр),4)))</f>
        <v>0</v>
      </c>
      <c r="CR105" s="377"/>
      <c r="CS105" s="377"/>
      <c r="CT105" t="str">
        <f>IF(CT104&gt;=1,CS104,0)</f>
        <v xml:space="preserve"> </v>
      </c>
      <c r="CU105" t="str">
        <f t="shared" si="192"/>
        <v xml:space="preserve"> </v>
      </c>
      <c r="CV105">
        <f t="array" aca="1" ref="CV105" ca="1">IF(ROW()-ROW(Н7кр)+1&gt;ROWS(Е7кр)-COUNTBLANK(Е7кр)," ",INDIRECT(ADDRESS(SMALL((IF(Е7кр&lt;&gt;" ",ROW(Е7кр),ROW()+ROWS(Е7кр))),ROW()-ROW(Н7кр)+1),COLUMN(Е7кр),4)))</f>
        <v>0</v>
      </c>
    </row>
    <row r="106" spans="1:100" ht="12" hidden="1" customHeight="1" thickTop="1">
      <c r="A106" s="198"/>
      <c r="B106" s="423">
        <v>50</v>
      </c>
      <c r="C106" s="425" t="e">
        <f>(VLOOKUP(B106,пр.взв!$B$7:$H$76,2,0))</f>
        <v>#N/A</v>
      </c>
      <c r="D106" s="427" t="e">
        <f>(VLOOKUP(B106,пр.взв!$B$7:$H$76,3,0))</f>
        <v>#N/A</v>
      </c>
      <c r="E106" s="429" t="e">
        <f>(VLOOKUP(B106,пр.взв!$B$7:$H$76,5,0))</f>
        <v>#N/A</v>
      </c>
      <c r="F106" s="443">
        <f t="shared" ref="F106" si="281">IF(ISERROR(C106),0,B104)</f>
        <v>0</v>
      </c>
      <c r="G106" s="42"/>
      <c r="H106" s="440"/>
      <c r="I106" s="42"/>
      <c r="J106" s="444" t="str">
        <f>IF(H106="Х","Х",IF(I106+G106&lt;6," ",IF(I106+G106&gt;=6,IF(AA106&gt;=6,"Х",IF(AA106&lt;6," "," ")))))</f>
        <v xml:space="preserve"> </v>
      </c>
      <c r="K106" s="41"/>
      <c r="L106" s="438" t="str">
        <f>IF(J106="Х","Х",IF(K106&lt;2.5," ",IF(K106&gt;=2.5,IF(G106+I106+K106&gt;=6,"Х",IF(AA106&lt;6," "," ")))))</f>
        <v xml:space="preserve"> </v>
      </c>
      <c r="M106" s="41"/>
      <c r="N106" s="438" t="str">
        <f>IF(L106="Х","Х",IF(M106&lt;2.5," ",IF(M106&gt;=2.5,IF(G106+I106+K106+M106&gt;=6,"Х",IF(AA106&lt;6," "," ")))))</f>
        <v xml:space="preserve"> </v>
      </c>
      <c r="O106" s="41"/>
      <c r="P106" s="438" t="str">
        <f>IF(N106="Х","Х",IF(O106&lt;2.5," ",IF(O106&gt;=2.5,IF(G106+I106+K106+M106+O106&gt;=6,"Х",IF(AA106&lt;6," "," ")))))</f>
        <v xml:space="preserve"> </v>
      </c>
      <c r="Q106" s="41"/>
      <c r="R106" s="438" t="str">
        <f>IF(P106="Х","Х",IF(Q106&lt;2.5," ",IF(Q106&gt;=2.5,IF(G106+I106+K106+M106+O106+Q106&gt;=6,"Х",IF(AA106&lt;6," "," ")))))</f>
        <v xml:space="preserve"> </v>
      </c>
      <c r="S106" s="41"/>
      <c r="T106" s="438" t="str">
        <f>IF(R106="Х","Х",IF(S106&lt;2.5," ",IF(S106&gt;=2.5,IF(G106+I106+K106+M106+O106+Q106+S106&gt;=6,"Х",IF(AA106&lt;6," "," ")))))</f>
        <v xml:space="preserve"> </v>
      </c>
      <c r="U106" s="45"/>
      <c r="V106" s="438" t="str">
        <f t="shared" ref="V106" si="282">IF(T106="А1",$AX$7,IF(T106="Б2",$AX$6,IF(T106="Б1",$AY$7,IF(T106="А2",$AY$6,IF(T106="Х","Х",IF(T106&lt;6," "," "))))))</f>
        <v xml:space="preserve"> </v>
      </c>
      <c r="W106" s="41"/>
      <c r="X106" s="438" t="str">
        <f t="shared" ref="X106" si="283">IF(T106="Х","Х",IF(ISBLANK(W106),"",IF(W106&gt;2.5," ",IF(B106=AZ$6,AZ$7,AZ$6))))</f>
        <v/>
      </c>
      <c r="Y106" s="42"/>
      <c r="Z106" s="466" t="b">
        <f>IF(H106="Х","1",IF(J106="Х","2",IF(L106="Х","3",IF(N106="Х","4",IF(P106="Х","5",IF(R106="Х","6",IF(T106="Х","7",IF(V106="Х","8"))))))))</f>
        <v>0</v>
      </c>
      <c r="AA106" s="464">
        <f>SUM(G106+I106+K106+M106+O106+Q106+S106+U106+W106+Y106)</f>
        <v>0</v>
      </c>
      <c r="AB106" s="431">
        <f t="shared" ref="AB106" si="284">AD106+0</f>
        <v>20576</v>
      </c>
      <c r="AC106" s="386">
        <f>AB106</f>
        <v>20576</v>
      </c>
      <c r="AD106" s="387" t="str">
        <f>COUNTIF(AE$6:AE$119,"&gt;"&amp;AE$6:AE$119)+1&amp;REPT("-"&amp;COUNTIF(AE$6:AE$119,"&gt;="&amp;AE$6:AE$119),COUNTIF(AE$6:AE$119,AE106)&gt;1)</f>
        <v>5-56</v>
      </c>
      <c r="AE106" s="388">
        <f t="shared" si="221"/>
        <v>80</v>
      </c>
      <c r="AF106" s="390" t="str">
        <f>IF(OR(F106="Х",F106="св")," ",IF(AND(G106&gt;=0,G106&lt;3),"1"," "))</f>
        <v>1</v>
      </c>
      <c r="AG106" s="390" t="str">
        <f>IF(OR(H106="Х",H106="св")," ",IF(AND(I106&gt;=0,I106&lt;3),"1"," "))</f>
        <v>1</v>
      </c>
      <c r="AH106" s="390" t="str">
        <f>IF(OR(J106="Х",J106="св")," ",IF(AND(K106&gt;=0,K106&lt;3),"1"," "))</f>
        <v>1</v>
      </c>
      <c r="AI106" s="390" t="str">
        <f>IF(OR(L106="Х",L106="св")," ",IF(AND(M106&gt;=0,M106&lt;3),"1"," "))</f>
        <v>1</v>
      </c>
      <c r="AJ106" s="390" t="str">
        <f>IF(OR(N106="Х",N106="св")," ",IF(AND(O106&gt;=0,O106&lt;3),"1"," "))</f>
        <v>1</v>
      </c>
      <c r="AK106" s="390" t="str">
        <f>IF(OR(P106="Х",P106="св")," ",IF(AND(Q106&gt;=0,Q106&lt;3),"1"," "))</f>
        <v>1</v>
      </c>
      <c r="AL106" s="390" t="str">
        <f>IF(OR(R106="Х",R106="св")," ",IF(AND(S106&gt;=0,S106&lt;3),"1"," "))</f>
        <v>1</v>
      </c>
      <c r="AM106" s="390" t="str">
        <f>IF(OR(T106="Х",T106="св")," ",IF(AND(U106&gt;=0,U106&lt;3),"1"," "))</f>
        <v>1</v>
      </c>
      <c r="AN106" s="391">
        <f t="shared" ref="AN106" si="285">COUNTIF(AF106:AM107,1)</f>
        <v>8</v>
      </c>
      <c r="AO106" s="393">
        <f>AE106-AA106</f>
        <v>80</v>
      </c>
      <c r="AP106" s="394">
        <f t="shared" si="196"/>
        <v>0</v>
      </c>
      <c r="AQ106" s="387" t="str">
        <f>COUNTIF(AE$6:AE$119,"&gt;"&amp;AE$6:AE$119)+1&amp;REPT("-"&amp;COUNTIF(AE$6:AE$119,"&gt;="&amp;AE$6:AE$119),COUNTIF(AE$6:AE$119,AE106)&gt;1)</f>
        <v>5-56</v>
      </c>
      <c r="AR106" s="395"/>
      <c r="AS106" s="183"/>
      <c r="AT106" s="183"/>
      <c r="AU106" s="183"/>
      <c r="AV106" s="386">
        <f t="shared" si="237"/>
        <v>50</v>
      </c>
      <c r="BU106" s="377">
        <f>IF(J106="х"," ",B106)</f>
        <v>50</v>
      </c>
      <c r="BV106" s="377">
        <f>IF(L106="х"," ",B106)</f>
        <v>50</v>
      </c>
      <c r="BW106" s="377" t="str">
        <f>IF(BV106=" "," ",L106)</f>
        <v xml:space="preserve"> </v>
      </c>
      <c r="BX106" s="377" t="str">
        <f>IF(BU106=" "," ",J106)</f>
        <v xml:space="preserve"> </v>
      </c>
      <c r="BY106" s="61">
        <f>IF(BU106&lt;BX106,BU106,0)</f>
        <v>50</v>
      </c>
      <c r="BZ106" s="61">
        <f t="shared" si="254"/>
        <v>50</v>
      </c>
      <c r="CA106" s="124">
        <f t="array" aca="1" ref="CA10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6">
        <f>IF(BV106&lt;BW106,BV106,0)</f>
        <v>50</v>
      </c>
      <c r="CC106" s="125">
        <f t="shared" si="190"/>
        <v>50</v>
      </c>
      <c r="CD106" s="51">
        <f t="array" aca="1" ref="CD106" ca="1">IF(ROW()-ROW(Н4кр)+1&gt;ROWS(Е4кр)-COUNTBLANK(Е4кр)," ",INDIRECT(ADDRESS(SMALL((IF(Е4кр&lt;&gt;" ",ROW(Е4кр),ROW()+ROWS(Е4кр))),ROW()-ROW(Н4кр)+1),COLUMN(Е4кр),4)))</f>
        <v>0</v>
      </c>
      <c r="CF106" s="377">
        <f>IF(N106="х"," ",B106)</f>
        <v>50</v>
      </c>
      <c r="CG106" s="377" t="str">
        <f>IF(CF106=" "," ",N106)</f>
        <v xml:space="preserve"> </v>
      </c>
      <c r="CH106" s="125">
        <f>IF(CF106&lt;CG106,CF106,0)</f>
        <v>50</v>
      </c>
      <c r="CI106">
        <f t="shared" si="197"/>
        <v>50</v>
      </c>
      <c r="CJ106" s="51">
        <f t="array" aca="1" ref="CJ106" ca="1">IF(ROW()-ROW(Н5кр)+1&gt;ROWS(Е5кр)-COUNTBLANK(Е5кр)," ",INDIRECT(ADDRESS(SMALL((IF(Е5кр&lt;&gt;" ",ROW(Е5кр),ROW()+ROWS(Е5кр))),ROW()-ROW(Н5кр)+1),COLUMN(Е5кр),4)))</f>
        <v>0</v>
      </c>
      <c r="CL106" s="377">
        <f>IF(P106="х"," ",B106)</f>
        <v>50</v>
      </c>
      <c r="CM106" s="377" t="str">
        <f>IF(CL106=" "," ",P106)</f>
        <v xml:space="preserve"> </v>
      </c>
      <c r="CN106">
        <f>IF(CL106&lt;CM106,CL106,0)</f>
        <v>50</v>
      </c>
      <c r="CO106">
        <f t="shared" si="191"/>
        <v>50</v>
      </c>
      <c r="CP106">
        <f t="array" aca="1" ref="CP106" ca="1">IF(ROW()-ROW(Н6кр)+1&gt;ROWS(Е6кр)-COUNTBLANK(Е6кр)," ",INDIRECT(ADDRESS(SMALL((IF(Е6кр&lt;&gt;" ",ROW(Е6кр),ROW()+ROWS(Е6кр))),ROW()-ROW(Н6кр)+1),COLUMN(Е6кр),4)))</f>
        <v>0</v>
      </c>
      <c r="CR106" s="377">
        <f t="shared" ref="CR106" si="286">IF(R106="х"," ",B106)</f>
        <v>50</v>
      </c>
      <c r="CS106" s="377" t="str">
        <f t="shared" ref="CS106" si="287">IF(CR106=" "," ",R106)</f>
        <v xml:space="preserve"> </v>
      </c>
      <c r="CT106">
        <f>IF(CR106&lt;CS106,CR106,0)</f>
        <v>50</v>
      </c>
      <c r="CU106">
        <f t="shared" si="192"/>
        <v>50</v>
      </c>
      <c r="CV106">
        <f t="array" aca="1" ref="CV106" ca="1">IF(ROW()-ROW(Н7кр)+1&gt;ROWS(Е7кр)-COUNTBLANK(Е7кр)," ",INDIRECT(ADDRESS(SMALL((IF(Е7кр&lt;&gt;" ",ROW(Е7кр),ROW()+ROWS(Е7кр))),ROW()-ROW(Н7кр)+1),COLUMN(Е7кр),4)))</f>
        <v>0</v>
      </c>
    </row>
    <row r="107" spans="1:100" ht="12" hidden="1" customHeight="1" thickBot="1">
      <c r="A107" s="198"/>
      <c r="B107" s="424"/>
      <c r="C107" s="426"/>
      <c r="D107" s="428"/>
      <c r="E107" s="430"/>
      <c r="F107" s="442"/>
      <c r="G107" s="44"/>
      <c r="H107" s="439"/>
      <c r="I107" s="44"/>
      <c r="J107" s="439"/>
      <c r="K107" s="44"/>
      <c r="L107" s="439"/>
      <c r="M107" s="44"/>
      <c r="N107" s="439"/>
      <c r="O107" s="44"/>
      <c r="P107" s="439"/>
      <c r="Q107" s="44"/>
      <c r="R107" s="439"/>
      <c r="S107" s="44"/>
      <c r="T107" s="439"/>
      <c r="U107" s="47"/>
      <c r="V107" s="439"/>
      <c r="W107" s="44"/>
      <c r="X107" s="439"/>
      <c r="Y107" s="44"/>
      <c r="Z107" s="422"/>
      <c r="AA107" s="465"/>
      <c r="AB107" s="432"/>
      <c r="AC107" s="386"/>
      <c r="AD107" s="387"/>
      <c r="AE107" s="389"/>
      <c r="AF107" s="390"/>
      <c r="AG107" s="390"/>
      <c r="AH107" s="390"/>
      <c r="AI107" s="390"/>
      <c r="AJ107" s="390"/>
      <c r="AK107" s="390"/>
      <c r="AL107" s="390"/>
      <c r="AM107" s="390"/>
      <c r="AN107" s="392"/>
      <c r="AO107" s="387"/>
      <c r="AP107" s="394"/>
      <c r="AQ107" s="387"/>
      <c r="AR107" s="395"/>
      <c r="AS107" s="183"/>
      <c r="AT107" s="183"/>
      <c r="AU107" s="183"/>
      <c r="AV107" s="386"/>
      <c r="BU107" s="377"/>
      <c r="BV107" s="377"/>
      <c r="BW107" s="377"/>
      <c r="BX107" s="377"/>
      <c r="BY107" s="61" t="str">
        <f>IF(BY106&gt;=1,BX106,0)</f>
        <v xml:space="preserve"> </v>
      </c>
      <c r="BZ107" s="61" t="str">
        <f t="shared" si="254"/>
        <v xml:space="preserve"> </v>
      </c>
      <c r="CA107" s="124">
        <f t="array" aca="1" ref="CA10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7" t="str">
        <f>IF(CB106&gt;=1,BW106,0)</f>
        <v xml:space="preserve"> </v>
      </c>
      <c r="CC107" s="125" t="str">
        <f t="shared" si="190"/>
        <v xml:space="preserve"> </v>
      </c>
      <c r="CD107" s="51">
        <f t="array" aca="1" ref="CD107" ca="1">IF(ROW()-ROW(Н4кр)+1&gt;ROWS(Е4кр)-COUNTBLANK(Е4кр)," ",INDIRECT(ADDRESS(SMALL((IF(Е4кр&lt;&gt;" ",ROW(Е4кр),ROW()+ROWS(Е4кр))),ROW()-ROW(Н4кр)+1),COLUMN(Е4кр),4)))</f>
        <v>0</v>
      </c>
      <c r="CF107" s="377"/>
      <c r="CG107" s="377"/>
      <c r="CH107" s="125" t="str">
        <f>IF(CH106&gt;=1,CG106,0)</f>
        <v xml:space="preserve"> </v>
      </c>
      <c r="CI107" t="str">
        <f t="shared" si="197"/>
        <v xml:space="preserve"> </v>
      </c>
      <c r="CJ107" s="51">
        <f t="array" aca="1" ref="CJ107" ca="1">IF(ROW()-ROW(Н5кр)+1&gt;ROWS(Е5кр)-COUNTBLANK(Е5кр)," ",INDIRECT(ADDRESS(SMALL((IF(Е5кр&lt;&gt;" ",ROW(Е5кр),ROW()+ROWS(Е5кр))),ROW()-ROW(Н5кр)+1),COLUMN(Е5кр),4)))</f>
        <v>0</v>
      </c>
      <c r="CL107" s="377"/>
      <c r="CM107" s="377"/>
      <c r="CN107" t="str">
        <f>IF(CN106&gt;=1,CM106,0)</f>
        <v xml:space="preserve"> </v>
      </c>
      <c r="CO107" t="str">
        <f t="shared" si="191"/>
        <v xml:space="preserve"> </v>
      </c>
      <c r="CP107">
        <f t="array" aca="1" ref="CP107" ca="1">IF(ROW()-ROW(Н6кр)+1&gt;ROWS(Е6кр)-COUNTBLANK(Е6кр)," ",INDIRECT(ADDRESS(SMALL((IF(Е6кр&lt;&gt;" ",ROW(Е6кр),ROW()+ROWS(Е6кр))),ROW()-ROW(Н6кр)+1),COLUMN(Е6кр),4)))</f>
        <v>0</v>
      </c>
      <c r="CR107" s="377"/>
      <c r="CS107" s="377"/>
      <c r="CT107" t="str">
        <f>IF(CT106&gt;=1,CS106,0)</f>
        <v xml:space="preserve"> </v>
      </c>
      <c r="CU107" t="str">
        <f t="shared" si="192"/>
        <v xml:space="preserve"> </v>
      </c>
      <c r="CV107">
        <f t="array" aca="1" ref="CV107" ca="1">IF(ROW()-ROW(Н7кр)+1&gt;ROWS(Е7кр)-COUNTBLANK(Е7кр)," ",INDIRECT(ADDRESS(SMALL((IF(Е7кр&lt;&gt;" ",ROW(Е7кр),ROW()+ROWS(Е7кр))),ROW()-ROW(Н7кр)+1),COLUMN(Е7кр),4)))</f>
        <v>0</v>
      </c>
    </row>
    <row r="108" spans="1:100" ht="12" hidden="1" customHeight="1" thickTop="1">
      <c r="A108" s="198"/>
      <c r="B108" s="423">
        <v>51</v>
      </c>
      <c r="C108" s="425" t="e">
        <f>(VLOOKUP(B108,пр.взв!$B$7:$H$76,2,0))</f>
        <v>#N/A</v>
      </c>
      <c r="D108" s="427" t="e">
        <f>(VLOOKUP(B108,пр.взв!$B$7:$H$76,3,0))</f>
        <v>#N/A</v>
      </c>
      <c r="E108" s="429" t="e">
        <f>(VLOOKUP(B108,пр.взв!$B$7:$H$76,5,0))</f>
        <v>#N/A</v>
      </c>
      <c r="F108" s="445">
        <f t="shared" si="218"/>
        <v>0</v>
      </c>
      <c r="G108" s="42"/>
      <c r="H108" s="440"/>
      <c r="I108" s="42"/>
      <c r="J108" s="444" t="str">
        <f>IF(H108="Х","Х",IF(I108+G108&lt;6," ",IF(I108+G108&gt;=6,IF(AA108&gt;=6,"Х",IF(AA108&lt;6," "," ")))))</f>
        <v xml:space="preserve"> </v>
      </c>
      <c r="K108" s="41"/>
      <c r="L108" s="438" t="str">
        <f>IF(J108="Х","Х",IF(K108&lt;2.5," ",IF(K108&gt;=2.5,IF(G108+I108+K108&gt;=6,"Х",IF(AA108&lt;6," "," ")))))</f>
        <v xml:space="preserve"> </v>
      </c>
      <c r="M108" s="41"/>
      <c r="N108" s="438" t="str">
        <f>IF(L108="Х","Х",IF(M108&lt;2.5," ",IF(M108&gt;=2.5,IF(G108+I108+K108+M108&gt;=6,"Х",IF(AA108&lt;6," "," ")))))</f>
        <v xml:space="preserve"> </v>
      </c>
      <c r="O108" s="41"/>
      <c r="P108" s="438" t="str">
        <f>IF(N108="Х","Х",IF(O108&lt;2.5," ",IF(O108&gt;=2.5,IF(G108+I108+K108+M108+O108&gt;=6,"Х",IF(AA108&lt;6," "," ")))))</f>
        <v xml:space="preserve"> </v>
      </c>
      <c r="Q108" s="41"/>
      <c r="R108" s="438" t="str">
        <f>IF(P108="Х","Х",IF(Q108&lt;2.5," ",IF(Q108&gt;=2.5,IF(G108+I108+K108+M108+O108+Q108&gt;=6,"Х",IF(AA108&lt;6," "," ")))))</f>
        <v xml:space="preserve"> </v>
      </c>
      <c r="S108" s="41"/>
      <c r="T108" s="438" t="str">
        <f>IF(R108="Х","Х",IF(S108&lt;2.5," ",IF(S108&gt;=2.5,IF(G108+I108+K108+M108+O108+Q108+S108&gt;=6,"Х",IF(AA108&lt;6," "," ")))))</f>
        <v xml:space="preserve"> </v>
      </c>
      <c r="U108" s="45"/>
      <c r="V108" s="438" t="str">
        <f t="shared" ref="V108" si="288">IF(T108="А1",$AX$7,IF(T108="Б2",$AX$6,IF(T108="Б1",$AY$7,IF(T108="А2",$AY$6,IF(T108="Х","Х",IF(T108&lt;6," "," "))))))</f>
        <v xml:space="preserve"> </v>
      </c>
      <c r="W108" s="41"/>
      <c r="X108" s="438" t="str">
        <f t="shared" ref="X108" si="289">IF(T108="Х","Х",IF(ISBLANK(W108),"",IF(W108&gt;2.5," ",IF(B108=AZ$6,AZ$7,AZ$6))))</f>
        <v/>
      </c>
      <c r="Y108" s="42"/>
      <c r="Z108" s="466" t="b">
        <f>IF(H108="Х","1",IF(J108="Х","2",IF(L108="Х","3",IF(N108="Х","4",IF(P108="Х","5",IF(R108="Х","6",IF(T108="Х","7",IF(V108="Х","8"))))))))</f>
        <v>0</v>
      </c>
      <c r="AA108" s="464">
        <f>SUM(G108+I108+K108+M108+O108+Q108+S108+U108+W108+Y108)</f>
        <v>0</v>
      </c>
      <c r="AB108" s="431">
        <f t="shared" ref="AB108" si="290">AD108+0</f>
        <v>20576</v>
      </c>
      <c r="AC108" s="386">
        <f>AB108</f>
        <v>20576</v>
      </c>
      <c r="AD108" s="387" t="str">
        <f>COUNTIF(AE$6:AE$119,"&gt;"&amp;AE$6:AE$119)+1&amp;REPT("-"&amp;COUNTIF(AE$6:AE$119,"&gt;="&amp;AE$6:AE$119),COUNTIF(AE$6:AE$119,AE108)&gt;1)</f>
        <v>5-56</v>
      </c>
      <c r="AE108" s="388">
        <f t="shared" si="221"/>
        <v>80</v>
      </c>
      <c r="AF108" s="390" t="str">
        <f>IF(OR(F108="Х",F108="св")," ",IF(AND(G108&gt;=0,G108&lt;3),"1"," "))</f>
        <v>1</v>
      </c>
      <c r="AG108" s="390" t="str">
        <f>IF(OR(H108="Х",H108="св")," ",IF(AND(I108&gt;=0,I108&lt;3),"1"," "))</f>
        <v>1</v>
      </c>
      <c r="AH108" s="390" t="str">
        <f>IF(OR(J108="Х",J108="св")," ",IF(AND(K108&gt;=0,K108&lt;3),"1"," "))</f>
        <v>1</v>
      </c>
      <c r="AI108" s="390" t="str">
        <f>IF(OR(L108="Х",L108="св")," ",IF(AND(M108&gt;=0,M108&lt;3),"1"," "))</f>
        <v>1</v>
      </c>
      <c r="AJ108" s="390" t="str">
        <f>IF(OR(N108="Х",N108="св")," ",IF(AND(O108&gt;=0,O108&lt;3),"1"," "))</f>
        <v>1</v>
      </c>
      <c r="AK108" s="390" t="str">
        <f>IF(OR(P108="Х",P108="св")," ",IF(AND(Q108&gt;=0,Q108&lt;3),"1"," "))</f>
        <v>1</v>
      </c>
      <c r="AL108" s="390" t="str">
        <f>IF(OR(R108="Х",R108="св")," ",IF(AND(S108&gt;=0,S108&lt;3),"1"," "))</f>
        <v>1</v>
      </c>
      <c r="AM108" s="390" t="str">
        <f>IF(OR(T108="Х",T108="св")," ",IF(AND(U108&gt;=0,U108&lt;3),"1"," "))</f>
        <v>1</v>
      </c>
      <c r="AN108" s="391">
        <f t="shared" ref="AN108" si="291">COUNTIF(AF108:AM109,1)</f>
        <v>8</v>
      </c>
      <c r="AO108" s="393">
        <f>AE108-AA108</f>
        <v>80</v>
      </c>
      <c r="AP108" s="394">
        <f t="shared" si="196"/>
        <v>0</v>
      </c>
      <c r="AQ108" s="387" t="str">
        <f>COUNTIF(AE$6:AE$119,"&gt;"&amp;AE$6:AE$119)+1&amp;REPT("-"&amp;COUNTIF(AE$6:AE$119,"&gt;="&amp;AE$6:AE$119),COUNTIF(AE$6:AE$119,AE108)&gt;1)</f>
        <v>5-56</v>
      </c>
      <c r="AR108" s="395"/>
      <c r="AS108" s="183"/>
      <c r="AT108" s="183"/>
      <c r="AU108" s="183"/>
      <c r="AV108" s="386">
        <f t="shared" si="237"/>
        <v>51</v>
      </c>
      <c r="BU108" s="377">
        <f>IF(J108="х"," ",B108)</f>
        <v>51</v>
      </c>
      <c r="BV108" s="377">
        <f>IF(L108="х"," ",B108)</f>
        <v>51</v>
      </c>
      <c r="BW108" s="377" t="str">
        <f>IF(BV108=" "," ",L108)</f>
        <v xml:space="preserve"> </v>
      </c>
      <c r="BX108" s="377" t="str">
        <f>IF(BU108=" "," ",J108)</f>
        <v xml:space="preserve"> </v>
      </c>
      <c r="BY108" s="61">
        <f>IF(BU108&lt;BX108,BU108,0)</f>
        <v>51</v>
      </c>
      <c r="BZ108" s="61">
        <f t="shared" si="254"/>
        <v>51</v>
      </c>
      <c r="CA108" s="124">
        <f t="array" aca="1" ref="CA10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8">
        <f>IF(BV108&lt;BW108,BV108,0)</f>
        <v>51</v>
      </c>
      <c r="CC108" s="125">
        <f t="shared" si="190"/>
        <v>51</v>
      </c>
      <c r="CD108" s="51">
        <f t="array" aca="1" ref="CD108" ca="1">IF(ROW()-ROW(Н4кр)+1&gt;ROWS(Е4кр)-COUNTBLANK(Е4кр)," ",INDIRECT(ADDRESS(SMALL((IF(Е4кр&lt;&gt;" ",ROW(Е4кр),ROW()+ROWS(Е4кр))),ROW()-ROW(Н4кр)+1),COLUMN(Е4кр),4)))</f>
        <v>0</v>
      </c>
      <c r="CF108" s="377">
        <f>IF(N108="х"," ",B108)</f>
        <v>51</v>
      </c>
      <c r="CG108" s="377" t="str">
        <f>IF(CF108=" "," ",N108)</f>
        <v xml:space="preserve"> </v>
      </c>
      <c r="CH108" s="125">
        <f>IF(CF108&lt;CG108,CF108,0)</f>
        <v>51</v>
      </c>
      <c r="CI108">
        <f t="shared" si="197"/>
        <v>51</v>
      </c>
      <c r="CJ108" s="51">
        <f t="array" aca="1" ref="CJ108" ca="1">IF(ROW()-ROW(Н5кр)+1&gt;ROWS(Е5кр)-COUNTBLANK(Е5кр)," ",INDIRECT(ADDRESS(SMALL((IF(Е5кр&lt;&gt;" ",ROW(Е5кр),ROW()+ROWS(Е5кр))),ROW()-ROW(Н5кр)+1),COLUMN(Е5кр),4)))</f>
        <v>0</v>
      </c>
      <c r="CL108" s="377">
        <f>IF(P108="х"," ",B108)</f>
        <v>51</v>
      </c>
      <c r="CM108" s="377" t="str">
        <f>IF(CL108=" "," ",P108)</f>
        <v xml:space="preserve"> </v>
      </c>
      <c r="CN108">
        <f>IF(CL108&lt;CM108,CL108,0)</f>
        <v>51</v>
      </c>
      <c r="CO108">
        <f t="shared" si="191"/>
        <v>51</v>
      </c>
      <c r="CP108">
        <f t="array" aca="1" ref="CP108" ca="1">IF(ROW()-ROW(Н6кр)+1&gt;ROWS(Е6кр)-COUNTBLANK(Е6кр)," ",INDIRECT(ADDRESS(SMALL((IF(Е6кр&lt;&gt;" ",ROW(Е6кр),ROW()+ROWS(Е6кр))),ROW()-ROW(Н6кр)+1),COLUMN(Е6кр),4)))</f>
        <v>0</v>
      </c>
      <c r="CR108" s="377">
        <f t="shared" ref="CR108" si="292">IF(R108="х"," ",B108)</f>
        <v>51</v>
      </c>
      <c r="CS108" s="377" t="str">
        <f t="shared" ref="CS108" si="293">IF(CR108=" "," ",R108)</f>
        <v xml:space="preserve"> </v>
      </c>
      <c r="CT108">
        <f>IF(CR108&lt;CS108,CR108,0)</f>
        <v>51</v>
      </c>
      <c r="CU108">
        <f t="shared" si="192"/>
        <v>51</v>
      </c>
      <c r="CV108">
        <f t="array" aca="1" ref="CV108" ca="1">IF(ROW()-ROW(Н7кр)+1&gt;ROWS(Е7кр)-COUNTBLANK(Е7кр)," ",INDIRECT(ADDRESS(SMALL((IF(Е7кр&lt;&gt;" ",ROW(Е7кр),ROW()+ROWS(Е7кр))),ROW()-ROW(Н7кр)+1),COLUMN(Е7кр),4)))</f>
        <v>0</v>
      </c>
    </row>
    <row r="109" spans="1:100" ht="12" hidden="1" customHeight="1" thickBot="1">
      <c r="A109" s="198"/>
      <c r="B109" s="424"/>
      <c r="C109" s="426"/>
      <c r="D109" s="428"/>
      <c r="E109" s="430"/>
      <c r="F109" s="442"/>
      <c r="G109" s="44"/>
      <c r="H109" s="439"/>
      <c r="I109" s="44"/>
      <c r="J109" s="439"/>
      <c r="K109" s="44"/>
      <c r="L109" s="439"/>
      <c r="M109" s="44"/>
      <c r="N109" s="439"/>
      <c r="O109" s="44"/>
      <c r="P109" s="439"/>
      <c r="Q109" s="44"/>
      <c r="R109" s="439"/>
      <c r="S109" s="44"/>
      <c r="T109" s="439"/>
      <c r="U109" s="47"/>
      <c r="V109" s="439"/>
      <c r="W109" s="44"/>
      <c r="X109" s="439"/>
      <c r="Y109" s="44"/>
      <c r="Z109" s="422"/>
      <c r="AA109" s="465"/>
      <c r="AB109" s="432"/>
      <c r="AC109" s="386"/>
      <c r="AD109" s="387"/>
      <c r="AE109" s="389"/>
      <c r="AF109" s="390"/>
      <c r="AG109" s="390"/>
      <c r="AH109" s="390"/>
      <c r="AI109" s="390"/>
      <c r="AJ109" s="390"/>
      <c r="AK109" s="390"/>
      <c r="AL109" s="390"/>
      <c r="AM109" s="390"/>
      <c r="AN109" s="392"/>
      <c r="AO109" s="387"/>
      <c r="AP109" s="394"/>
      <c r="AQ109" s="387"/>
      <c r="AR109" s="395"/>
      <c r="AS109" s="183"/>
      <c r="AT109" s="183"/>
      <c r="AU109" s="183"/>
      <c r="AV109" s="386"/>
      <c r="BU109" s="377"/>
      <c r="BV109" s="377"/>
      <c r="BW109" s="377"/>
      <c r="BX109" s="377"/>
      <c r="BY109" s="61" t="str">
        <f>IF(BY108&gt;=1,BX108,0)</f>
        <v xml:space="preserve"> </v>
      </c>
      <c r="BZ109" s="61" t="str">
        <f t="shared" si="254"/>
        <v xml:space="preserve"> </v>
      </c>
      <c r="CA109" s="124">
        <f t="array" aca="1" ref="CA10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9" t="str">
        <f>IF(CB108&gt;=1,BW108,0)</f>
        <v xml:space="preserve"> </v>
      </c>
      <c r="CC109" s="125" t="str">
        <f t="shared" si="190"/>
        <v xml:space="preserve"> </v>
      </c>
      <c r="CD109" s="51">
        <f t="array" aca="1" ref="CD109" ca="1">IF(ROW()-ROW(Н4кр)+1&gt;ROWS(Е4кр)-COUNTBLANK(Е4кр)," ",INDIRECT(ADDRESS(SMALL((IF(Е4кр&lt;&gt;" ",ROW(Е4кр),ROW()+ROWS(Е4кр))),ROW()-ROW(Н4кр)+1),COLUMN(Е4кр),4)))</f>
        <v>0</v>
      </c>
      <c r="CF109" s="377"/>
      <c r="CG109" s="377"/>
      <c r="CH109" s="125" t="str">
        <f>IF(CH108&gt;=1,CG108,0)</f>
        <v xml:space="preserve"> </v>
      </c>
      <c r="CI109" t="str">
        <f t="shared" si="197"/>
        <v xml:space="preserve"> </v>
      </c>
      <c r="CJ109" s="51">
        <f t="array" aca="1" ref="CJ109" ca="1">IF(ROW()-ROW(Н5кр)+1&gt;ROWS(Е5кр)-COUNTBLANK(Е5кр)," ",INDIRECT(ADDRESS(SMALL((IF(Е5кр&lt;&gt;" ",ROW(Е5кр),ROW()+ROWS(Е5кр))),ROW()-ROW(Н5кр)+1),COLUMN(Е5кр),4)))</f>
        <v>0</v>
      </c>
      <c r="CL109" s="377"/>
      <c r="CM109" s="377"/>
      <c r="CN109" t="str">
        <f>IF(CN108&gt;=1,CM108,0)</f>
        <v xml:space="preserve"> </v>
      </c>
      <c r="CO109" t="str">
        <f t="shared" si="191"/>
        <v xml:space="preserve"> </v>
      </c>
      <c r="CP109">
        <f t="array" aca="1" ref="CP109" ca="1">IF(ROW()-ROW(Н6кр)+1&gt;ROWS(Е6кр)-COUNTBLANK(Е6кр)," ",INDIRECT(ADDRESS(SMALL((IF(Е6кр&lt;&gt;" ",ROW(Е6кр),ROW()+ROWS(Е6кр))),ROW()-ROW(Н6кр)+1),COLUMN(Е6кр),4)))</f>
        <v>0</v>
      </c>
      <c r="CR109" s="377"/>
      <c r="CS109" s="377"/>
      <c r="CT109" t="str">
        <f>IF(CT108&gt;=1,CS108,0)</f>
        <v xml:space="preserve"> </v>
      </c>
      <c r="CU109" t="str">
        <f t="shared" si="192"/>
        <v xml:space="preserve"> </v>
      </c>
      <c r="CV109">
        <f t="array" aca="1" ref="CV109" ca="1">IF(ROW()-ROW(Н7кр)+1&gt;ROWS(Е7кр)-COUNTBLANK(Е7кр)," ",INDIRECT(ADDRESS(SMALL((IF(Е7кр&lt;&gt;" ",ROW(Е7кр),ROW()+ROWS(Е7кр))),ROW()-ROW(Н7кр)+1),COLUMN(Е7кр),4)))</f>
        <v>0</v>
      </c>
    </row>
    <row r="110" spans="1:100" ht="12" hidden="1" customHeight="1" thickTop="1">
      <c r="A110" s="198"/>
      <c r="B110" s="423">
        <v>52</v>
      </c>
      <c r="C110" s="425" t="e">
        <f>(VLOOKUP(B110,пр.взв!$B$7:$H$76,2,0))</f>
        <v>#N/A</v>
      </c>
      <c r="D110" s="427" t="e">
        <f>(VLOOKUP(B110,пр.взв!$B$7:$H$76,3,0))</f>
        <v>#N/A</v>
      </c>
      <c r="E110" s="429" t="e">
        <f>(VLOOKUP(B110,пр.взв!$B$7:$H$76,5,0))</f>
        <v>#N/A</v>
      </c>
      <c r="F110" s="443">
        <f t="shared" si="224"/>
        <v>0</v>
      </c>
      <c r="G110" s="42"/>
      <c r="H110" s="440"/>
      <c r="I110" s="42"/>
      <c r="J110" s="444" t="str">
        <f>IF(H110="Х","Х",IF(I110+G110&lt;6," ",IF(I110+G110&gt;=6,IF(AA110&gt;=6,"Х",IF(AA110&lt;6," "," ")))))</f>
        <v xml:space="preserve"> </v>
      </c>
      <c r="K110" s="41"/>
      <c r="L110" s="438" t="str">
        <f>IF(J110="Х","Х",IF(K110&lt;2.5," ",IF(K110&gt;=2.5,IF(G110+I110+K110&gt;=6,"Х",IF(AA110&lt;6," "," ")))))</f>
        <v xml:space="preserve"> </v>
      </c>
      <c r="M110" s="41"/>
      <c r="N110" s="438" t="str">
        <f>IF(L110="Х","Х",IF(M110&lt;2.5," ",IF(M110&gt;=2.5,IF(G110+I110+K110+M110&gt;=6,"Х",IF(AA110&lt;6," "," ")))))</f>
        <v xml:space="preserve"> </v>
      </c>
      <c r="O110" s="41"/>
      <c r="P110" s="438" t="str">
        <f>IF(N110="Х","Х",IF(O110&lt;2.5," ",IF(O110&gt;=2.5,IF(G110+I110+K110+M110+O110&gt;=6,"Х",IF(AA110&lt;6," "," ")))))</f>
        <v xml:space="preserve"> </v>
      </c>
      <c r="Q110" s="41"/>
      <c r="R110" s="438" t="str">
        <f>IF(P110="Х","Х",IF(Q110&lt;2.5," ",IF(Q110&gt;=2.5,IF(G110+I110+K110+M110+O110+Q110&gt;=6,"Х",IF(AA110&lt;6," "," ")))))</f>
        <v xml:space="preserve"> </v>
      </c>
      <c r="S110" s="41"/>
      <c r="T110" s="438" t="str">
        <f>IF(R110="Х","Х",IF(S110&lt;2.5," ",IF(S110&gt;=2.5,IF(G110+I110+K110+M110+O110+Q110+S110&gt;=6,"Х",IF(AA110&lt;6," "," ")))))</f>
        <v xml:space="preserve"> </v>
      </c>
      <c r="U110" s="45"/>
      <c r="V110" s="438" t="str">
        <f t="shared" ref="V110" si="294">IF(T110="А1",$AX$7,IF(T110="Б2",$AX$6,IF(T110="Б1",$AY$7,IF(T110="А2",$AY$6,IF(T110="Х","Х",IF(T110&lt;6," "," "))))))</f>
        <v xml:space="preserve"> </v>
      </c>
      <c r="W110" s="41"/>
      <c r="X110" s="438" t="str">
        <f t="shared" ref="X110" si="295">IF(T110="Х","Х",IF(ISBLANK(W110),"",IF(W110&gt;2.5," ",IF(B110=AZ$6,AZ$7,AZ$6))))</f>
        <v/>
      </c>
      <c r="Y110" s="42"/>
      <c r="Z110" s="466" t="b">
        <f>IF(H110="Х","1",IF(J110="Х","2",IF(L110="Х","3",IF(N110="Х","4",IF(P110="Х","5",IF(R110="Х","6",IF(T110="Х","7",IF(V110="Х","8"))))))))</f>
        <v>0</v>
      </c>
      <c r="AA110" s="464">
        <f>SUM(G110+I110+K110+M110+O110+Q110+S110+U110+W110+Y110)</f>
        <v>0</v>
      </c>
      <c r="AB110" s="431">
        <f t="shared" ref="AB110" si="296">AD110+0</f>
        <v>20576</v>
      </c>
      <c r="AC110" s="386">
        <f>AB110</f>
        <v>20576</v>
      </c>
      <c r="AD110" s="387" t="str">
        <f>COUNTIF(AE$6:AE$119,"&gt;"&amp;AE$6:AE$119)+1&amp;REPT("-"&amp;COUNTIF(AE$6:AE$119,"&gt;="&amp;AE$6:AE$119),COUNTIF(AE$6:AE$119,AE110)&gt;1)</f>
        <v>5-56</v>
      </c>
      <c r="AE110" s="388">
        <f t="shared" si="221"/>
        <v>80</v>
      </c>
      <c r="AF110" s="390" t="str">
        <f>IF(OR(F110="Х",F110="св")," ",IF(AND(G110&gt;=0,G110&lt;3),"1"," "))</f>
        <v>1</v>
      </c>
      <c r="AG110" s="390" t="str">
        <f>IF(OR(H110="Х",H110="св")," ",IF(AND(I110&gt;=0,I110&lt;3),"1"," "))</f>
        <v>1</v>
      </c>
      <c r="AH110" s="390" t="str">
        <f>IF(OR(J110="Х",J110="св")," ",IF(AND(K110&gt;=0,K110&lt;3),"1"," "))</f>
        <v>1</v>
      </c>
      <c r="AI110" s="390" t="str">
        <f>IF(OR(L110="Х",L110="св")," ",IF(AND(M110&gt;=0,M110&lt;3),"1"," "))</f>
        <v>1</v>
      </c>
      <c r="AJ110" s="390" t="str">
        <f>IF(OR(N110="Х",N110="св")," ",IF(AND(O110&gt;=0,O110&lt;3),"1"," "))</f>
        <v>1</v>
      </c>
      <c r="AK110" s="390" t="str">
        <f>IF(OR(P110="Х",P110="св")," ",IF(AND(Q110&gt;=0,Q110&lt;3),"1"," "))</f>
        <v>1</v>
      </c>
      <c r="AL110" s="390" t="str">
        <f>IF(OR(R110="Х",R110="св")," ",IF(AND(S110&gt;=0,S110&lt;3),"1"," "))</f>
        <v>1</v>
      </c>
      <c r="AM110" s="390" t="str">
        <f>IF(OR(T110="Х",T110="св")," ",IF(AND(U110&gt;=0,U110&lt;3),"1"," "))</f>
        <v>1</v>
      </c>
      <c r="AN110" s="391">
        <f t="shared" ref="AN110" si="297">COUNTIF(AF110:AM111,1)</f>
        <v>8</v>
      </c>
      <c r="AO110" s="393">
        <f>AE110-AA110</f>
        <v>80</v>
      </c>
      <c r="AP110" s="394">
        <f t="shared" si="196"/>
        <v>0</v>
      </c>
      <c r="AQ110" s="387" t="str">
        <f>COUNTIF(AE$6:AE$119,"&gt;"&amp;AE$6:AE$119)+1&amp;REPT("-"&amp;COUNTIF(AE$6:AE$119,"&gt;="&amp;AE$6:AE$119),COUNTIF(AE$6:AE$119,AE110)&gt;1)</f>
        <v>5-56</v>
      </c>
      <c r="AR110" s="395"/>
      <c r="AS110" s="183"/>
      <c r="AT110" s="183"/>
      <c r="AU110" s="183"/>
      <c r="AV110" s="386">
        <f t="shared" si="237"/>
        <v>52</v>
      </c>
      <c r="BU110" s="377">
        <f>IF(J110="х"," ",B110)</f>
        <v>52</v>
      </c>
      <c r="BV110" s="377">
        <f>IF(L110="х"," ",B110)</f>
        <v>52</v>
      </c>
      <c r="BW110" s="377" t="str">
        <f>IF(BV110=" "," ",L110)</f>
        <v xml:space="preserve"> </v>
      </c>
      <c r="BX110" s="377" t="str">
        <f>IF(BU110=" "," ",J110)</f>
        <v xml:space="preserve"> </v>
      </c>
      <c r="BY110" s="61">
        <f>IF(BU110&lt;BX110,BU110,0)</f>
        <v>52</v>
      </c>
      <c r="BZ110" s="61">
        <f t="shared" si="254"/>
        <v>52</v>
      </c>
      <c r="CA110" s="124">
        <f t="array" aca="1" ref="CA1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0">
        <f>IF(BV110&lt;BW110,BV110,0)</f>
        <v>52</v>
      </c>
      <c r="CC110" s="125">
        <f t="shared" si="190"/>
        <v>52</v>
      </c>
      <c r="CD110" s="51">
        <f t="array" aca="1" ref="CD110" ca="1">IF(ROW()-ROW(Н4кр)+1&gt;ROWS(Е4кр)-COUNTBLANK(Е4кр)," ",INDIRECT(ADDRESS(SMALL((IF(Е4кр&lt;&gt;" ",ROW(Е4кр),ROW()+ROWS(Е4кр))),ROW()-ROW(Н4кр)+1),COLUMN(Е4кр),4)))</f>
        <v>0</v>
      </c>
      <c r="CF110" s="377">
        <f>IF(N110="х"," ",B110)</f>
        <v>52</v>
      </c>
      <c r="CG110" s="377" t="str">
        <f>IF(CF110=" "," ",N110)</f>
        <v xml:space="preserve"> </v>
      </c>
      <c r="CH110" s="125">
        <f>IF(CF110&lt;CG110,CF110,0)</f>
        <v>52</v>
      </c>
      <c r="CI110">
        <f t="shared" si="197"/>
        <v>52</v>
      </c>
      <c r="CJ110" s="51">
        <f t="array" aca="1" ref="CJ110" ca="1">IF(ROW()-ROW(Н5кр)+1&gt;ROWS(Е5кр)-COUNTBLANK(Е5кр)," ",INDIRECT(ADDRESS(SMALL((IF(Е5кр&lt;&gt;" ",ROW(Е5кр),ROW()+ROWS(Е5кр))),ROW()-ROW(Н5кр)+1),COLUMN(Е5кр),4)))</f>
        <v>0</v>
      </c>
      <c r="CL110" s="377">
        <f>IF(P110="х"," ",B110)</f>
        <v>52</v>
      </c>
      <c r="CM110" s="377" t="str">
        <f>IF(CL110=" "," ",P110)</f>
        <v xml:space="preserve"> </v>
      </c>
      <c r="CN110">
        <f>IF(CL110&lt;CM110,CL110,0)</f>
        <v>52</v>
      </c>
      <c r="CO110">
        <f t="shared" si="191"/>
        <v>52</v>
      </c>
      <c r="CP110">
        <f t="array" aca="1" ref="CP110" ca="1">IF(ROW()-ROW(Н6кр)+1&gt;ROWS(Е6кр)-COUNTBLANK(Е6кр)," ",INDIRECT(ADDRESS(SMALL((IF(Е6кр&lt;&gt;" ",ROW(Е6кр),ROW()+ROWS(Е6кр))),ROW()-ROW(Н6кр)+1),COLUMN(Е6кр),4)))</f>
        <v>0</v>
      </c>
      <c r="CR110" s="377">
        <f t="shared" ref="CR110" si="298">IF(R110="х"," ",B110)</f>
        <v>52</v>
      </c>
      <c r="CS110" s="377" t="str">
        <f t="shared" ref="CS110" si="299">IF(CR110=" "," ",R110)</f>
        <v xml:space="preserve"> </v>
      </c>
      <c r="CT110">
        <f>IF(CR110&lt;CS110,CR110,0)</f>
        <v>52</v>
      </c>
      <c r="CU110">
        <f t="shared" si="192"/>
        <v>52</v>
      </c>
      <c r="CV110">
        <f t="array" aca="1" ref="CV110" ca="1">IF(ROW()-ROW(Н7кр)+1&gt;ROWS(Е7кр)-COUNTBLANK(Е7кр)," ",INDIRECT(ADDRESS(SMALL((IF(Е7кр&lt;&gt;" ",ROW(Е7кр),ROW()+ROWS(Е7кр))),ROW()-ROW(Н7кр)+1),COLUMN(Е7кр),4)))</f>
        <v>0</v>
      </c>
    </row>
    <row r="111" spans="1:100" ht="12" hidden="1" customHeight="1" thickBot="1">
      <c r="A111" s="198"/>
      <c r="B111" s="424"/>
      <c r="C111" s="426"/>
      <c r="D111" s="428"/>
      <c r="E111" s="430"/>
      <c r="F111" s="442"/>
      <c r="G111" s="44"/>
      <c r="H111" s="439"/>
      <c r="I111" s="44"/>
      <c r="J111" s="439"/>
      <c r="K111" s="44"/>
      <c r="L111" s="439"/>
      <c r="M111" s="44"/>
      <c r="N111" s="439"/>
      <c r="O111" s="44"/>
      <c r="P111" s="439"/>
      <c r="Q111" s="44"/>
      <c r="R111" s="439"/>
      <c r="S111" s="44"/>
      <c r="T111" s="439"/>
      <c r="U111" s="47"/>
      <c r="V111" s="439"/>
      <c r="W111" s="44"/>
      <c r="X111" s="439"/>
      <c r="Y111" s="44"/>
      <c r="Z111" s="422"/>
      <c r="AA111" s="465"/>
      <c r="AB111" s="432"/>
      <c r="AC111" s="386"/>
      <c r="AD111" s="387"/>
      <c r="AE111" s="389"/>
      <c r="AF111" s="390"/>
      <c r="AG111" s="390"/>
      <c r="AH111" s="390"/>
      <c r="AI111" s="390"/>
      <c r="AJ111" s="390"/>
      <c r="AK111" s="390"/>
      <c r="AL111" s="390"/>
      <c r="AM111" s="390"/>
      <c r="AN111" s="392"/>
      <c r="AO111" s="387"/>
      <c r="AP111" s="394"/>
      <c r="AQ111" s="387"/>
      <c r="AR111" s="395"/>
      <c r="AS111" s="183"/>
      <c r="AT111" s="183"/>
      <c r="AU111" s="183"/>
      <c r="AV111" s="386"/>
      <c r="BU111" s="377"/>
      <c r="BV111" s="377"/>
      <c r="BW111" s="377"/>
      <c r="BX111" s="377"/>
      <c r="BY111" s="61" t="str">
        <f>IF(BY110&gt;=1,BX110,0)</f>
        <v xml:space="preserve"> </v>
      </c>
      <c r="BZ111" s="61" t="str">
        <f t="shared" si="254"/>
        <v xml:space="preserve"> </v>
      </c>
      <c r="CA111" s="124">
        <f t="array" aca="1" ref="CA1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1" t="str">
        <f>IF(CB110&gt;=1,BW110,0)</f>
        <v xml:space="preserve"> </v>
      </c>
      <c r="CC111" s="125" t="str">
        <f t="shared" si="190"/>
        <v xml:space="preserve"> </v>
      </c>
      <c r="CD111" s="51">
        <f t="array" aca="1" ref="CD111" ca="1">IF(ROW()-ROW(Н4кр)+1&gt;ROWS(Е4кр)-COUNTBLANK(Е4кр)," ",INDIRECT(ADDRESS(SMALL((IF(Е4кр&lt;&gt;" ",ROW(Е4кр),ROW()+ROWS(Е4кр))),ROW()-ROW(Н4кр)+1),COLUMN(Е4кр),4)))</f>
        <v>0</v>
      </c>
      <c r="CF111" s="377"/>
      <c r="CG111" s="377"/>
      <c r="CH111" s="125" t="str">
        <f>IF(CH110&gt;=1,CG110,0)</f>
        <v xml:space="preserve"> </v>
      </c>
      <c r="CI111" t="str">
        <f t="shared" si="197"/>
        <v xml:space="preserve"> </v>
      </c>
      <c r="CJ111" s="51">
        <f t="array" aca="1" ref="CJ111" ca="1">IF(ROW()-ROW(Н5кр)+1&gt;ROWS(Е5кр)-COUNTBLANK(Е5кр)," ",INDIRECT(ADDRESS(SMALL((IF(Е5кр&lt;&gt;" ",ROW(Е5кр),ROW()+ROWS(Е5кр))),ROW()-ROW(Н5кр)+1),COLUMN(Е5кр),4)))</f>
        <v>0</v>
      </c>
      <c r="CL111" s="377"/>
      <c r="CM111" s="377"/>
      <c r="CN111" t="str">
        <f>IF(CN110&gt;=1,CM110,0)</f>
        <v xml:space="preserve"> </v>
      </c>
      <c r="CO111" t="str">
        <f t="shared" si="191"/>
        <v xml:space="preserve"> </v>
      </c>
      <c r="CP111">
        <f t="array" aca="1" ref="CP111" ca="1">IF(ROW()-ROW(Н6кр)+1&gt;ROWS(Е6кр)-COUNTBLANK(Е6кр)," ",INDIRECT(ADDRESS(SMALL((IF(Е6кр&lt;&gt;" ",ROW(Е6кр),ROW()+ROWS(Е6кр))),ROW()-ROW(Н6кр)+1),COLUMN(Е6кр),4)))</f>
        <v>0</v>
      </c>
      <c r="CR111" s="377"/>
      <c r="CS111" s="377"/>
      <c r="CT111" t="str">
        <f>IF(CT110&gt;=1,CS110,0)</f>
        <v xml:space="preserve"> </v>
      </c>
      <c r="CU111" t="str">
        <f t="shared" si="192"/>
        <v xml:space="preserve"> </v>
      </c>
      <c r="CV111">
        <f t="array" aca="1" ref="CV111" ca="1">IF(ROW()-ROW(Н7кр)+1&gt;ROWS(Е7кр)-COUNTBLANK(Е7кр)," ",INDIRECT(ADDRESS(SMALL((IF(Е7кр&lt;&gt;" ",ROW(Е7кр),ROW()+ROWS(Е7кр))),ROW()-ROW(Н7кр)+1),COLUMN(Е7кр),4)))</f>
        <v>0</v>
      </c>
    </row>
    <row r="112" spans="1:100" ht="12" hidden="1" customHeight="1" thickTop="1">
      <c r="A112" s="198"/>
      <c r="B112" s="423">
        <v>53</v>
      </c>
      <c r="C112" s="425" t="e">
        <f>(VLOOKUP(B112,пр.взв!$B$7:$H$76,2,0))</f>
        <v>#N/A</v>
      </c>
      <c r="D112" s="427" t="e">
        <f>(VLOOKUP(B112,пр.взв!$B$7:$H$76,3,0))</f>
        <v>#N/A</v>
      </c>
      <c r="E112" s="429" t="e">
        <f>(VLOOKUP(B112,пр.взв!$B$7:$H$76,5,0))</f>
        <v>#N/A</v>
      </c>
      <c r="F112" s="445">
        <f t="shared" ref="F112" si="300">IF(ISERROR(C112),0,B114)</f>
        <v>0</v>
      </c>
      <c r="G112" s="42"/>
      <c r="H112" s="440"/>
      <c r="I112" s="42"/>
      <c r="J112" s="444" t="str">
        <f>IF(H112="Х","Х",IF(I112+G112&lt;6," ",IF(I112+G112&gt;=6,IF(AA112&gt;=6,"Х",IF(AA112&lt;6," "," ")))))</f>
        <v xml:space="preserve"> </v>
      </c>
      <c r="K112" s="41"/>
      <c r="L112" s="438" t="str">
        <f>IF(J112="Х","Х",IF(K112&lt;2.5," ",IF(K112&gt;=2.5,IF(G112+I112+K112&gt;=6,"Х",IF(AA112&lt;6," "," ")))))</f>
        <v xml:space="preserve"> </v>
      </c>
      <c r="M112" s="41"/>
      <c r="N112" s="438" t="str">
        <f>IF(L112="Х","Х",IF(M112&lt;2.5," ",IF(M112&gt;=2.5,IF(G112+I112+K112+M112&gt;=6,"Х",IF(AA112&lt;6," "," ")))))</f>
        <v xml:space="preserve"> </v>
      </c>
      <c r="O112" s="41"/>
      <c r="P112" s="438" t="str">
        <f>IF(N112="Х","Х",IF(O112&lt;2.5," ",IF(O112&gt;=2.5,IF(G112+I112+K112+M112+O112&gt;=6,"Х",IF(AA112&lt;6," "," ")))))</f>
        <v xml:space="preserve"> </v>
      </c>
      <c r="Q112" s="41"/>
      <c r="R112" s="438" t="str">
        <f>IF(P112="Х","Х",IF(Q112&lt;2.5," ",IF(Q112&gt;=2.5,IF(G112+I112+K112+M112+O112+Q112&gt;=6,"Х",IF(AA112&lt;6," "," ")))))</f>
        <v xml:space="preserve"> </v>
      </c>
      <c r="S112" s="41"/>
      <c r="T112" s="438" t="str">
        <f>IF(R112="Х","Х",IF(S112&lt;2.5," ",IF(S112&gt;=2.5,IF(G112+I112+K112+M112+O112+Q112+S112&gt;=6,"Х",IF(AA112&lt;6," "," ")))))</f>
        <v xml:space="preserve"> </v>
      </c>
      <c r="U112" s="45"/>
      <c r="V112" s="438" t="str">
        <f t="shared" ref="V112" si="301">IF(T112="А1",$AX$7,IF(T112="Б2",$AX$6,IF(T112="Б1",$AY$7,IF(T112="А2",$AY$6,IF(T112="Х","Х",IF(T112&lt;6," "," "))))))</f>
        <v xml:space="preserve"> </v>
      </c>
      <c r="W112" s="41"/>
      <c r="X112" s="438" t="str">
        <f t="shared" ref="X112" si="302">IF(T112="Х","Х",IF(ISBLANK(W112),"",IF(W112&gt;2.5," ",IF(B112=AZ$6,AZ$7,AZ$6))))</f>
        <v/>
      </c>
      <c r="Y112" s="42"/>
      <c r="Z112" s="466" t="b">
        <f>IF(H112="Х","1",IF(J112="Х","2",IF(L112="Х","3",IF(N112="Х","4",IF(P112="Х","5",IF(R112="Х","6",IF(T112="Х","7",IF(V112="Х","8"))))))))</f>
        <v>0</v>
      </c>
      <c r="AA112" s="464">
        <f>SUM(G112+I112+K112+M112+O112+Q112+S112+U112+W112+Y112)</f>
        <v>0</v>
      </c>
      <c r="AB112" s="431">
        <f t="shared" ref="AB112" si="303">AD112+0</f>
        <v>20576</v>
      </c>
      <c r="AC112" s="386">
        <f>AB112</f>
        <v>20576</v>
      </c>
      <c r="AD112" s="387" t="str">
        <f>COUNTIF(AE$6:AE$119,"&gt;"&amp;AE$6:AE$119)+1&amp;REPT("-"&amp;COUNTIF(AE$6:AE$119,"&gt;="&amp;AE$6:AE$119),COUNTIF(AE$6:AE$119,AE112)&gt;1)</f>
        <v>5-56</v>
      </c>
      <c r="AE112" s="388">
        <f t="shared" si="221"/>
        <v>80</v>
      </c>
      <c r="AF112" s="390" t="str">
        <f>IF(OR(F112="Х",F112="св")," ",IF(AND(G112&gt;=0,G112&lt;3),"1"," "))</f>
        <v>1</v>
      </c>
      <c r="AG112" s="390" t="str">
        <f>IF(OR(H112="Х",H112="св")," ",IF(AND(I112&gt;=0,I112&lt;3),"1"," "))</f>
        <v>1</v>
      </c>
      <c r="AH112" s="390" t="str">
        <f>IF(OR(J112="Х",J112="св")," ",IF(AND(K112&gt;=0,K112&lt;3),"1"," "))</f>
        <v>1</v>
      </c>
      <c r="AI112" s="390" t="str">
        <f>IF(OR(L112="Х",L112="св")," ",IF(AND(M112&gt;=0,M112&lt;3),"1"," "))</f>
        <v>1</v>
      </c>
      <c r="AJ112" s="390" t="str">
        <f>IF(OR(N112="Х",N112="св")," ",IF(AND(O112&gt;=0,O112&lt;3),"1"," "))</f>
        <v>1</v>
      </c>
      <c r="AK112" s="390" t="str">
        <f>IF(OR(P112="Х",P112="св")," ",IF(AND(Q112&gt;=0,Q112&lt;3),"1"," "))</f>
        <v>1</v>
      </c>
      <c r="AL112" s="390" t="str">
        <f>IF(OR(R112="Х",R112="св")," ",IF(AND(S112&gt;=0,S112&lt;3),"1"," "))</f>
        <v>1</v>
      </c>
      <c r="AM112" s="390" t="str">
        <f>IF(OR(T112="Х",T112="св")," ",IF(AND(U112&gt;=0,U112&lt;3),"1"," "))</f>
        <v>1</v>
      </c>
      <c r="AN112" s="391">
        <f t="shared" ref="AN112" si="304">COUNTIF(AF112:AM113,1)</f>
        <v>8</v>
      </c>
      <c r="AO112" s="393">
        <f>AE112-AA112</f>
        <v>80</v>
      </c>
      <c r="AP112" s="394">
        <f t="shared" si="196"/>
        <v>0</v>
      </c>
      <c r="AQ112" s="387" t="str">
        <f>COUNTIF(AE$6:AE$119,"&gt;"&amp;AE$6:AE$119)+1&amp;REPT("-"&amp;COUNTIF(AE$6:AE$119,"&gt;="&amp;AE$6:AE$119),COUNTIF(AE$6:AE$119,AE112)&gt;1)</f>
        <v>5-56</v>
      </c>
      <c r="AR112" s="395"/>
      <c r="AS112" s="183"/>
      <c r="AT112" s="183"/>
      <c r="AU112" s="183"/>
      <c r="AV112" s="386">
        <f t="shared" si="237"/>
        <v>53</v>
      </c>
      <c r="BU112" s="377">
        <f>IF(J112="х"," ",B112)</f>
        <v>53</v>
      </c>
      <c r="BV112" s="377">
        <f>IF(L112="х"," ",B112)</f>
        <v>53</v>
      </c>
      <c r="BW112" s="377" t="str">
        <f>IF(BV112=" "," ",L112)</f>
        <v xml:space="preserve"> </v>
      </c>
      <c r="BX112" s="377" t="str">
        <f>IF(BU112=" "," ",J112)</f>
        <v xml:space="preserve"> </v>
      </c>
      <c r="BY112" s="61">
        <f>IF(BU112&lt;BX112,BU112,0)</f>
        <v>53</v>
      </c>
      <c r="BZ112" s="61">
        <f t="shared" si="254"/>
        <v>53</v>
      </c>
      <c r="CA112" s="124">
        <f t="array" aca="1" ref="CA1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2">
        <f>IF(BV112&lt;BW112,BV112,0)</f>
        <v>53</v>
      </c>
      <c r="CC112" s="125">
        <f t="shared" si="190"/>
        <v>53</v>
      </c>
      <c r="CD112" s="51">
        <f t="array" aca="1" ref="CD112" ca="1">IF(ROW()-ROW(Н4кр)+1&gt;ROWS(Е4кр)-COUNTBLANK(Е4кр)," ",INDIRECT(ADDRESS(SMALL((IF(Е4кр&lt;&gt;" ",ROW(Е4кр),ROW()+ROWS(Е4кр))),ROW()-ROW(Н4кр)+1),COLUMN(Е4кр),4)))</f>
        <v>0</v>
      </c>
      <c r="CF112" s="377">
        <f>IF(N112="х"," ",B112)</f>
        <v>53</v>
      </c>
      <c r="CG112" s="377" t="str">
        <f>IF(CF112=" "," ",N112)</f>
        <v xml:space="preserve"> </v>
      </c>
      <c r="CH112" s="125">
        <f>IF(CF112&lt;CG112,CF112,0)</f>
        <v>53</v>
      </c>
      <c r="CI112">
        <f t="shared" si="197"/>
        <v>53</v>
      </c>
      <c r="CJ112" s="51">
        <f t="array" aca="1" ref="CJ112" ca="1">IF(ROW()-ROW(Н5кр)+1&gt;ROWS(Е5кр)-COUNTBLANK(Е5кр)," ",INDIRECT(ADDRESS(SMALL((IF(Е5кр&lt;&gt;" ",ROW(Е5кр),ROW()+ROWS(Е5кр))),ROW()-ROW(Н5кр)+1),COLUMN(Е5кр),4)))</f>
        <v>0</v>
      </c>
      <c r="CL112" s="377">
        <f>IF(P112="х"," ",B112)</f>
        <v>53</v>
      </c>
      <c r="CM112" s="377" t="str">
        <f>IF(CL112=" "," ",P112)</f>
        <v xml:space="preserve"> </v>
      </c>
      <c r="CN112">
        <f>IF(CL112&lt;CM112,CL112,0)</f>
        <v>53</v>
      </c>
      <c r="CO112">
        <f t="shared" si="191"/>
        <v>53</v>
      </c>
      <c r="CP112">
        <f t="array" aca="1" ref="CP112" ca="1">IF(ROW()-ROW(Н6кр)+1&gt;ROWS(Е6кр)-COUNTBLANK(Е6кр)," ",INDIRECT(ADDRESS(SMALL((IF(Е6кр&lt;&gt;" ",ROW(Е6кр),ROW()+ROWS(Е6кр))),ROW()-ROW(Н6кр)+1),COLUMN(Е6кр),4)))</f>
        <v>0</v>
      </c>
      <c r="CR112" s="377">
        <f t="shared" ref="CR112" si="305">IF(R112="х"," ",B112)</f>
        <v>53</v>
      </c>
      <c r="CS112" s="377" t="str">
        <f t="shared" ref="CS112" si="306">IF(CR112=" "," ",R112)</f>
        <v xml:space="preserve"> </v>
      </c>
      <c r="CT112">
        <f>IF(CR112&lt;CS112,CR112,0)</f>
        <v>53</v>
      </c>
      <c r="CU112">
        <f t="shared" si="192"/>
        <v>53</v>
      </c>
      <c r="CV112">
        <f t="array" aca="1" ref="CV112" ca="1">IF(ROW()-ROW(Н7кр)+1&gt;ROWS(Е7кр)-COUNTBLANK(Е7кр)," ",INDIRECT(ADDRESS(SMALL((IF(Е7кр&lt;&gt;" ",ROW(Е7кр),ROW()+ROWS(Е7кр))),ROW()-ROW(Н7кр)+1),COLUMN(Е7кр),4)))</f>
        <v>0</v>
      </c>
    </row>
    <row r="113" spans="1:100" ht="12" hidden="1" customHeight="1" thickBot="1">
      <c r="A113" s="198"/>
      <c r="B113" s="424"/>
      <c r="C113" s="426"/>
      <c r="D113" s="428"/>
      <c r="E113" s="430"/>
      <c r="F113" s="442"/>
      <c r="G113" s="44"/>
      <c r="H113" s="439"/>
      <c r="I113" s="44"/>
      <c r="J113" s="439"/>
      <c r="K113" s="44"/>
      <c r="L113" s="439"/>
      <c r="M113" s="44"/>
      <c r="N113" s="439"/>
      <c r="O113" s="44"/>
      <c r="P113" s="439"/>
      <c r="Q113" s="44"/>
      <c r="R113" s="439"/>
      <c r="S113" s="44"/>
      <c r="T113" s="439"/>
      <c r="U113" s="47"/>
      <c r="V113" s="439"/>
      <c r="W113" s="44"/>
      <c r="X113" s="439"/>
      <c r="Y113" s="44"/>
      <c r="Z113" s="422"/>
      <c r="AA113" s="465"/>
      <c r="AB113" s="432"/>
      <c r="AC113" s="386"/>
      <c r="AD113" s="387"/>
      <c r="AE113" s="389"/>
      <c r="AF113" s="390"/>
      <c r="AG113" s="390"/>
      <c r="AH113" s="390"/>
      <c r="AI113" s="390"/>
      <c r="AJ113" s="390"/>
      <c r="AK113" s="390"/>
      <c r="AL113" s="390"/>
      <c r="AM113" s="390"/>
      <c r="AN113" s="392"/>
      <c r="AO113" s="387"/>
      <c r="AP113" s="394"/>
      <c r="AQ113" s="387"/>
      <c r="AR113" s="395"/>
      <c r="AS113" s="183"/>
      <c r="AT113" s="183"/>
      <c r="AU113" s="183"/>
      <c r="AV113" s="386"/>
      <c r="BU113" s="377"/>
      <c r="BV113" s="377"/>
      <c r="BW113" s="377"/>
      <c r="BX113" s="377"/>
      <c r="BY113" s="61" t="str">
        <f>IF(BY112&gt;=1,BX112,0)</f>
        <v xml:space="preserve"> </v>
      </c>
      <c r="BZ113" s="61" t="str">
        <f t="shared" si="254"/>
        <v xml:space="preserve"> </v>
      </c>
      <c r="CA113" s="124">
        <f t="array" aca="1" ref="CA1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3" t="str">
        <f>IF(CB112&gt;=1,BW112,0)</f>
        <v xml:space="preserve"> </v>
      </c>
      <c r="CC113" s="125" t="str">
        <f t="shared" si="190"/>
        <v xml:space="preserve"> </v>
      </c>
      <c r="CD113" s="51">
        <f t="array" aca="1" ref="CD113" ca="1">IF(ROW()-ROW(Н4кр)+1&gt;ROWS(Е4кр)-COUNTBLANK(Е4кр)," ",INDIRECT(ADDRESS(SMALL((IF(Е4кр&lt;&gt;" ",ROW(Е4кр),ROW()+ROWS(Е4кр))),ROW()-ROW(Н4кр)+1),COLUMN(Е4кр),4)))</f>
        <v>0</v>
      </c>
      <c r="CF113" s="377"/>
      <c r="CG113" s="377"/>
      <c r="CH113" s="125" t="str">
        <f>IF(CH112&gt;=1,CG112,0)</f>
        <v xml:space="preserve"> </v>
      </c>
      <c r="CI113" t="str">
        <f t="shared" si="197"/>
        <v xml:space="preserve"> </v>
      </c>
      <c r="CJ113" s="51">
        <f t="array" aca="1" ref="CJ113" ca="1">IF(ROW()-ROW(Н5кр)+1&gt;ROWS(Е5кр)-COUNTBLANK(Е5кр)," ",INDIRECT(ADDRESS(SMALL((IF(Е5кр&lt;&gt;" ",ROW(Е5кр),ROW()+ROWS(Е5кр))),ROW()-ROW(Н5кр)+1),COLUMN(Е5кр),4)))</f>
        <v>0</v>
      </c>
      <c r="CL113" s="377"/>
      <c r="CM113" s="377"/>
      <c r="CN113" t="str">
        <f>IF(CN112&gt;=1,CM112,0)</f>
        <v xml:space="preserve"> </v>
      </c>
      <c r="CO113" t="str">
        <f t="shared" si="191"/>
        <v xml:space="preserve"> </v>
      </c>
      <c r="CP113">
        <f t="array" aca="1" ref="CP113" ca="1">IF(ROW()-ROW(Н6кр)+1&gt;ROWS(Е6кр)-COUNTBLANK(Е6кр)," ",INDIRECT(ADDRESS(SMALL((IF(Е6кр&lt;&gt;" ",ROW(Е6кр),ROW()+ROWS(Е6кр))),ROW()-ROW(Н6кр)+1),COLUMN(Е6кр),4)))</f>
        <v>0</v>
      </c>
      <c r="CR113" s="377"/>
      <c r="CS113" s="377"/>
      <c r="CT113" t="str">
        <f>IF(CT112&gt;=1,CS112,0)</f>
        <v xml:space="preserve"> </v>
      </c>
      <c r="CU113" t="str">
        <f t="shared" si="192"/>
        <v xml:space="preserve"> </v>
      </c>
      <c r="CV113">
        <f t="array" aca="1" ref="CV113" ca="1">IF(ROW()-ROW(Н7кр)+1&gt;ROWS(Е7кр)-COUNTBLANK(Е7кр)," ",INDIRECT(ADDRESS(SMALL((IF(Е7кр&lt;&gt;" ",ROW(Е7кр),ROW()+ROWS(Е7кр))),ROW()-ROW(Н7кр)+1),COLUMN(Е7кр),4)))</f>
        <v>0</v>
      </c>
    </row>
    <row r="114" spans="1:100" ht="12" hidden="1" customHeight="1" thickTop="1">
      <c r="A114" s="198"/>
      <c r="B114" s="423">
        <v>54</v>
      </c>
      <c r="C114" s="425" t="e">
        <f>(VLOOKUP(B114,пр.взв!$B$7:$H$76,2,0))</f>
        <v>#N/A</v>
      </c>
      <c r="D114" s="427" t="e">
        <f>(VLOOKUP(B114,пр.взв!$B$7:$H$76,3,0))</f>
        <v>#N/A</v>
      </c>
      <c r="E114" s="429" t="e">
        <f>(VLOOKUP(B114,пр.взв!$B$7:$H$76,5,0))</f>
        <v>#N/A</v>
      </c>
      <c r="F114" s="443">
        <f t="shared" ref="F114" si="307">IF(ISERROR(C114),0,B112)</f>
        <v>0</v>
      </c>
      <c r="G114" s="42"/>
      <c r="H114" s="440"/>
      <c r="I114" s="42"/>
      <c r="J114" s="444" t="str">
        <f>IF(H114="Х","Х",IF(I114+G114&lt;6," ",IF(I114+G114&gt;=6,IF(AA114&gt;=6,"Х",IF(AA114&lt;6," "," ")))))</f>
        <v xml:space="preserve"> </v>
      </c>
      <c r="K114" s="41"/>
      <c r="L114" s="438" t="str">
        <f>IF(J114="Х","Х",IF(K114&lt;2.5," ",IF(K114&gt;=2.5,IF(G114+I114+K114&gt;=6,"Х",IF(AA114&lt;6," "," ")))))</f>
        <v xml:space="preserve"> </v>
      </c>
      <c r="M114" s="41"/>
      <c r="N114" s="438" t="str">
        <f>IF(L114="Х","Х",IF(M114&lt;2.5," ",IF(M114&gt;=2.5,IF(G114+I114+K114+M114&gt;=6,"Х",IF(AA114&lt;6," "," ")))))</f>
        <v xml:space="preserve"> </v>
      </c>
      <c r="O114" s="41"/>
      <c r="P114" s="438" t="str">
        <f>IF(N114="Х","Х",IF(O114&lt;2.5," ",IF(O114&gt;=2.5,IF(G114+I114+K114+M114+O114&gt;=6,"Х",IF(AA114&lt;6," "," ")))))</f>
        <v xml:space="preserve"> </v>
      </c>
      <c r="Q114" s="41"/>
      <c r="R114" s="438" t="str">
        <f>IF(P114="Х","Х",IF(Q114&lt;2.5," ",IF(Q114&gt;=2.5,IF(G114+I114+K114+M114+O114+Q114&gt;=6,"Х",IF(AA114&lt;6," "," ")))))</f>
        <v xml:space="preserve"> </v>
      </c>
      <c r="S114" s="41"/>
      <c r="T114" s="438" t="str">
        <f>IF(R114="Х","Х",IF(S114&lt;2.5," ",IF(S114&gt;=2.5,IF(G114+I114+K114+M114+O114+Q114+S114&gt;=6,"Х",IF(AA114&lt;6," "," ")))))</f>
        <v xml:space="preserve"> </v>
      </c>
      <c r="U114" s="45"/>
      <c r="V114" s="438" t="str">
        <f t="shared" ref="V114" si="308">IF(T114="А1",$AX$7,IF(T114="Б2",$AX$6,IF(T114="Б1",$AY$7,IF(T114="А2",$AY$6,IF(T114="Х","Х",IF(T114&lt;6," "," "))))))</f>
        <v xml:space="preserve"> </v>
      </c>
      <c r="W114" s="41"/>
      <c r="X114" s="438" t="str">
        <f t="shared" ref="X114" si="309">IF(T114="Х","Х",IF(ISBLANK(W114),"",IF(W114&gt;2.5," ",IF(B114=AZ$6,AZ$7,AZ$6))))</f>
        <v/>
      </c>
      <c r="Y114" s="42"/>
      <c r="Z114" s="466" t="b">
        <f>IF(H114="Х","1",IF(J114="Х","2",IF(L114="Х","3",IF(N114="Х","4",IF(P114="Х","5",IF(R114="Х","6",IF(T114="Х","7",IF(V114="Х","8"))))))))</f>
        <v>0</v>
      </c>
      <c r="AA114" s="464">
        <f>SUM(G114+I114+K114+M114+O114+Q114+S114+U114+W114+Y114)</f>
        <v>0</v>
      </c>
      <c r="AB114" s="431">
        <f t="shared" ref="AB114" si="310">AD114+0</f>
        <v>20576</v>
      </c>
      <c r="AC114" s="386">
        <f>AB114</f>
        <v>20576</v>
      </c>
      <c r="AD114" s="387" t="str">
        <f>COUNTIF(AE$6:AE$119,"&gt;"&amp;AE$6:AE$119)+1&amp;REPT("-"&amp;COUNTIF(AE$6:AE$119,"&gt;="&amp;AE$6:AE$119),COUNTIF(AE$6:AE$119,AE114)&gt;1)</f>
        <v>5-56</v>
      </c>
      <c r="AE114" s="388">
        <f t="shared" si="221"/>
        <v>80</v>
      </c>
      <c r="AF114" s="390" t="str">
        <f>IF(OR(F114="Х",F114="св")," ",IF(AND(G114&gt;=0,G114&lt;3),"1"," "))</f>
        <v>1</v>
      </c>
      <c r="AG114" s="390" t="str">
        <f>IF(OR(H114="Х",H114="св")," ",IF(AND(I114&gt;=0,I114&lt;3),"1"," "))</f>
        <v>1</v>
      </c>
      <c r="AH114" s="390" t="str">
        <f>IF(OR(J114="Х",J114="св")," ",IF(AND(K114&gt;=0,K114&lt;3),"1"," "))</f>
        <v>1</v>
      </c>
      <c r="AI114" s="390" t="str">
        <f>IF(OR(L114="Х",L114="св")," ",IF(AND(M114&gt;=0,M114&lt;3),"1"," "))</f>
        <v>1</v>
      </c>
      <c r="AJ114" s="390" t="str">
        <f>IF(OR(N114="Х",N114="св")," ",IF(AND(O114&gt;=0,O114&lt;3),"1"," "))</f>
        <v>1</v>
      </c>
      <c r="AK114" s="390" t="str">
        <f>IF(OR(P114="Х",P114="св")," ",IF(AND(Q114&gt;=0,Q114&lt;3),"1"," "))</f>
        <v>1</v>
      </c>
      <c r="AL114" s="390" t="str">
        <f>IF(OR(R114="Х",R114="св")," ",IF(AND(S114&gt;=0,S114&lt;3),"1"," "))</f>
        <v>1</v>
      </c>
      <c r="AM114" s="390" t="str">
        <f>IF(OR(T114="Х",T114="св")," ",IF(AND(U114&gt;=0,U114&lt;3),"1"," "))</f>
        <v>1</v>
      </c>
      <c r="AN114" s="391">
        <f t="shared" ref="AN114" si="311">COUNTIF(AF114:AM115,1)</f>
        <v>8</v>
      </c>
      <c r="AO114" s="393">
        <f>AE114-AA114</f>
        <v>80</v>
      </c>
      <c r="AP114" s="394">
        <f t="shared" si="196"/>
        <v>0</v>
      </c>
      <c r="AQ114" s="387" t="str">
        <f>COUNTIF(AE$6:AE$119,"&gt;"&amp;AE$6:AE$119)+1&amp;REPT("-"&amp;COUNTIF(AE$6:AE$119,"&gt;="&amp;AE$6:AE$119),COUNTIF(AE$6:AE$119,AE114)&gt;1)</f>
        <v>5-56</v>
      </c>
      <c r="AR114" s="395"/>
      <c r="AS114" s="183"/>
      <c r="AT114" s="183"/>
      <c r="AU114" s="183"/>
      <c r="AV114" s="386">
        <f t="shared" si="237"/>
        <v>54</v>
      </c>
      <c r="BU114" s="377">
        <f>IF(J114="х"," ",B114)</f>
        <v>54</v>
      </c>
      <c r="BV114" s="377">
        <f>IF(L114="х"," ",B114)</f>
        <v>54</v>
      </c>
      <c r="BW114" s="377" t="str">
        <f>IF(BV114=" "," ",L114)</f>
        <v xml:space="preserve"> </v>
      </c>
      <c r="BX114" s="377" t="str">
        <f>IF(BU114=" "," ",J114)</f>
        <v xml:space="preserve"> </v>
      </c>
      <c r="BY114" s="61">
        <f>IF(BU114&lt;BX114,BU114,0)</f>
        <v>54</v>
      </c>
      <c r="BZ114" s="61">
        <f t="shared" si="254"/>
        <v>54</v>
      </c>
      <c r="CA114" s="124">
        <f t="array" aca="1" ref="CA1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4">
        <f>IF(BV114&lt;BW114,BV114,0)</f>
        <v>54</v>
      </c>
      <c r="CC114" s="125">
        <f t="shared" si="190"/>
        <v>54</v>
      </c>
      <c r="CD114" s="51">
        <f t="array" aca="1" ref="CD114" ca="1">IF(ROW()-ROW(Н4кр)+1&gt;ROWS(Е4кр)-COUNTBLANK(Е4кр)," ",INDIRECT(ADDRESS(SMALL((IF(Е4кр&lt;&gt;" ",ROW(Е4кр),ROW()+ROWS(Е4кр))),ROW()-ROW(Н4кр)+1),COLUMN(Е4кр),4)))</f>
        <v>0</v>
      </c>
      <c r="CF114" s="377">
        <f>IF(N114="х"," ",B114)</f>
        <v>54</v>
      </c>
      <c r="CG114" s="377" t="str">
        <f>IF(CF114=" "," ",N114)</f>
        <v xml:space="preserve"> </v>
      </c>
      <c r="CH114" s="125">
        <f>IF(CF114&lt;CG114,CF114,0)</f>
        <v>54</v>
      </c>
      <c r="CI114">
        <f t="shared" si="197"/>
        <v>54</v>
      </c>
      <c r="CJ114" s="51">
        <f t="array" aca="1" ref="CJ114" ca="1">IF(ROW()-ROW(Н5кр)+1&gt;ROWS(Е5кр)-COUNTBLANK(Е5кр)," ",INDIRECT(ADDRESS(SMALL((IF(Е5кр&lt;&gt;" ",ROW(Е5кр),ROW()+ROWS(Е5кр))),ROW()-ROW(Н5кр)+1),COLUMN(Е5кр),4)))</f>
        <v>0</v>
      </c>
      <c r="CL114" s="377">
        <f>IF(P114="х"," ",B114)</f>
        <v>54</v>
      </c>
      <c r="CM114" s="377" t="str">
        <f>IF(CL114=" "," ",P114)</f>
        <v xml:space="preserve"> </v>
      </c>
      <c r="CN114">
        <f>IF(CL114&lt;CM114,CL114,0)</f>
        <v>54</v>
      </c>
      <c r="CO114">
        <f t="shared" si="191"/>
        <v>54</v>
      </c>
      <c r="CP114">
        <f t="array" aca="1" ref="CP114" ca="1">IF(ROW()-ROW(Н6кр)+1&gt;ROWS(Е6кр)-COUNTBLANK(Е6кр)," ",INDIRECT(ADDRESS(SMALL((IF(Е6кр&lt;&gt;" ",ROW(Е6кр),ROW()+ROWS(Е6кр))),ROW()-ROW(Н6кр)+1),COLUMN(Е6кр),4)))</f>
        <v>0</v>
      </c>
      <c r="CR114" s="377">
        <f t="shared" ref="CR114" si="312">IF(R114="х"," ",B114)</f>
        <v>54</v>
      </c>
      <c r="CS114" s="377" t="str">
        <f t="shared" ref="CS114" si="313">IF(CR114=" "," ",R114)</f>
        <v xml:space="preserve"> </v>
      </c>
      <c r="CT114">
        <f>IF(CR114&lt;CS114,CR114,0)</f>
        <v>54</v>
      </c>
      <c r="CU114">
        <f t="shared" si="192"/>
        <v>54</v>
      </c>
      <c r="CV114">
        <f t="array" aca="1" ref="CV114" ca="1">IF(ROW()-ROW(Н7кр)+1&gt;ROWS(Е7кр)-COUNTBLANK(Е7кр)," ",INDIRECT(ADDRESS(SMALL((IF(Е7кр&lt;&gt;" ",ROW(Е7кр),ROW()+ROWS(Е7кр))),ROW()-ROW(Н7кр)+1),COLUMN(Е7кр),4)))</f>
        <v>0</v>
      </c>
    </row>
    <row r="115" spans="1:100" ht="12" hidden="1" customHeight="1" thickBot="1">
      <c r="A115" s="198"/>
      <c r="B115" s="424"/>
      <c r="C115" s="426"/>
      <c r="D115" s="428"/>
      <c r="E115" s="430"/>
      <c r="F115" s="442"/>
      <c r="G115" s="44"/>
      <c r="H115" s="439"/>
      <c r="I115" s="44"/>
      <c r="J115" s="439"/>
      <c r="K115" s="44"/>
      <c r="L115" s="439"/>
      <c r="M115" s="44"/>
      <c r="N115" s="439"/>
      <c r="O115" s="44"/>
      <c r="P115" s="439"/>
      <c r="Q115" s="44"/>
      <c r="R115" s="439"/>
      <c r="S115" s="44"/>
      <c r="T115" s="439"/>
      <c r="U115" s="47"/>
      <c r="V115" s="439"/>
      <c r="W115" s="44"/>
      <c r="X115" s="439"/>
      <c r="Y115" s="44"/>
      <c r="Z115" s="422"/>
      <c r="AA115" s="465"/>
      <c r="AB115" s="432"/>
      <c r="AC115" s="386"/>
      <c r="AD115" s="387"/>
      <c r="AE115" s="389"/>
      <c r="AF115" s="390"/>
      <c r="AG115" s="390"/>
      <c r="AH115" s="390"/>
      <c r="AI115" s="390"/>
      <c r="AJ115" s="390"/>
      <c r="AK115" s="390"/>
      <c r="AL115" s="390"/>
      <c r="AM115" s="390"/>
      <c r="AN115" s="392"/>
      <c r="AO115" s="387"/>
      <c r="AP115" s="394"/>
      <c r="AQ115" s="387"/>
      <c r="AR115" s="395"/>
      <c r="AS115" s="183"/>
      <c r="AT115" s="183"/>
      <c r="AU115" s="183"/>
      <c r="AV115" s="386"/>
      <c r="BU115" s="377"/>
      <c r="BV115" s="377"/>
      <c r="BW115" s="377"/>
      <c r="BX115" s="377"/>
      <c r="BY115" s="61" t="str">
        <f>IF(BY114&gt;=1,BX114,0)</f>
        <v xml:space="preserve"> </v>
      </c>
      <c r="BZ115" s="61" t="str">
        <f t="shared" si="254"/>
        <v xml:space="preserve"> </v>
      </c>
      <c r="CA115" s="124" t="str">
        <f t="array" aca="1" ref="CA1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5" t="str">
        <f>IF(CB114&gt;=1,BW114,0)</f>
        <v xml:space="preserve"> </v>
      </c>
      <c r="CC115" s="125" t="str">
        <f t="shared" si="190"/>
        <v xml:space="preserve"> </v>
      </c>
      <c r="CD115" s="51" t="str">
        <f t="array" aca="1" ref="CD115" ca="1">IF(ROW()-ROW(Н4кр)+1&gt;ROWS(Е4кр)-COUNTBLANK(Е4кр)," ",INDIRECT(ADDRESS(SMALL((IF(Е4кр&lt;&gt;" ",ROW(Е4кр),ROW()+ROWS(Е4кр))),ROW()-ROW(Н4кр)+1),COLUMN(Е4кр),4)))</f>
        <v xml:space="preserve"> </v>
      </c>
      <c r="CF115" s="377"/>
      <c r="CG115" s="377"/>
      <c r="CH115" s="125" t="str">
        <f>IF(CH114&gt;=1,CG114,0)</f>
        <v xml:space="preserve"> </v>
      </c>
      <c r="CI115" t="str">
        <f t="shared" si="197"/>
        <v xml:space="preserve"> </v>
      </c>
      <c r="CJ115" s="51" t="str">
        <f t="array" aca="1" ref="CJ115" ca="1">IF(ROW()-ROW(Н5кр)+1&gt;ROWS(Е5кр)-COUNTBLANK(Е5кр)," ",INDIRECT(ADDRESS(SMALL((IF(Е5кр&lt;&gt;" ",ROW(Е5кр),ROW()+ROWS(Е5кр))),ROW()-ROW(Н5кр)+1),COLUMN(Е5кр),4)))</f>
        <v xml:space="preserve"> </v>
      </c>
      <c r="CL115" s="377"/>
      <c r="CM115" s="377"/>
      <c r="CN115" t="str">
        <f>IF(CN114&gt;=1,CM114,0)</f>
        <v xml:space="preserve"> </v>
      </c>
      <c r="CO115" t="str">
        <f t="shared" si="191"/>
        <v xml:space="preserve"> </v>
      </c>
      <c r="CP115" t="str">
        <f t="array" aca="1" ref="CP115" ca="1">IF(ROW()-ROW(Н6кр)+1&gt;ROWS(Е6кр)-COUNTBLANK(Е6кр)," ",INDIRECT(ADDRESS(SMALL((IF(Е6кр&lt;&gt;" ",ROW(Е6кр),ROW()+ROWS(Е6кр))),ROW()-ROW(Н6кр)+1),COLUMN(Е6кр),4)))</f>
        <v xml:space="preserve"> </v>
      </c>
      <c r="CR115" s="377"/>
      <c r="CS115" s="377"/>
      <c r="CT115" t="str">
        <f>IF(CT114&gt;=1,CS114,0)</f>
        <v xml:space="preserve"> </v>
      </c>
      <c r="CU115" t="str">
        <f t="shared" si="192"/>
        <v xml:space="preserve"> </v>
      </c>
      <c r="CV115" t="str">
        <f t="array" aca="1" ref="CV115" ca="1">IF(ROW()-ROW(Н7кр)+1&gt;ROWS(Е7кр)-COUNTBLANK(Е7кр)," ",INDIRECT(ADDRESS(SMALL((IF(Е7кр&lt;&gt;" ",ROW(Е7кр),ROW()+ROWS(Е7кр))),ROW()-ROW(Н7кр)+1),COLUMN(Е7кр),4)))</f>
        <v xml:space="preserve"> </v>
      </c>
    </row>
    <row r="116" spans="1:100" ht="12" hidden="1" customHeight="1" thickTop="1">
      <c r="A116" s="198"/>
      <c r="B116" s="423">
        <v>55</v>
      </c>
      <c r="C116" s="425" t="e">
        <f>(VLOOKUP(B116,пр.взв!$B$7:$H$76,2,0))</f>
        <v>#N/A</v>
      </c>
      <c r="D116" s="427" t="e">
        <f>(VLOOKUP(B116,пр.взв!$B$7:$H$76,3,0))</f>
        <v>#N/A</v>
      </c>
      <c r="E116" s="429" t="e">
        <f>(VLOOKUP(B116,пр.взв!$B$7:$H$76,5,0))</f>
        <v>#N/A</v>
      </c>
      <c r="F116" s="445">
        <f t="shared" si="218"/>
        <v>0</v>
      </c>
      <c r="G116" s="42"/>
      <c r="H116" s="440"/>
      <c r="I116" s="42"/>
      <c r="J116" s="444" t="str">
        <f>IF(H116="Х","Х",IF(I116+G116&lt;6," ",IF(I116+G116&gt;=6,IF(AA116&gt;=6,"Х",IF(AA116&lt;6," "," ")))))</f>
        <v xml:space="preserve"> </v>
      </c>
      <c r="K116" s="41"/>
      <c r="L116" s="438" t="str">
        <f>IF(J116="Х","Х",IF(K116&lt;2.5," ",IF(K116&gt;=2.5,IF(G116+I116+K116&gt;=6,"Х",IF(AA116&lt;6," "," ")))))</f>
        <v xml:space="preserve"> </v>
      </c>
      <c r="M116" s="41"/>
      <c r="N116" s="438" t="str">
        <f>IF(L116="Х","Х",IF(M116&lt;2.5," ",IF(M116&gt;=2.5,IF(G116+I116+K116+M116&gt;=6,"Х",IF(AA116&lt;6," "," ")))))</f>
        <v xml:space="preserve"> </v>
      </c>
      <c r="O116" s="41"/>
      <c r="P116" s="438" t="str">
        <f>IF(N116="Х","Х",IF(O116&lt;2.5," ",IF(O116&gt;=2.5,IF(G116+I116+K116+M116+O116&gt;=6,"Х",IF(AA116&lt;6," "," ")))))</f>
        <v xml:space="preserve"> </v>
      </c>
      <c r="Q116" s="41"/>
      <c r="R116" s="438" t="str">
        <f>IF(P116="Х","Х",IF(Q116&lt;2.5," ",IF(Q116&gt;=2.5,IF(G116+I116+K116+M116+O116+Q116&gt;=6,"Х",IF(AA116&lt;6," "," ")))))</f>
        <v xml:space="preserve"> </v>
      </c>
      <c r="S116" s="41"/>
      <c r="T116" s="438" t="str">
        <f>IF(R116="Х","Х",IF(S116&lt;2.5," ",IF(S116&gt;=2.5,IF(G116+I116+K116+M116+O116+Q116+S116&gt;=6,"Х",IF(AA116&lt;6," "," ")))))</f>
        <v xml:space="preserve"> </v>
      </c>
      <c r="U116" s="45"/>
      <c r="V116" s="438" t="str">
        <f t="shared" ref="V116" si="314">IF(T116="А1",$AX$7,IF(T116="Б2",$AX$6,IF(T116="Б1",$AY$7,IF(T116="А2",$AY$6,IF(T116="Х","Х",IF(T116&lt;6," "," "))))))</f>
        <v xml:space="preserve"> </v>
      </c>
      <c r="W116" s="41"/>
      <c r="X116" s="438" t="str">
        <f t="shared" ref="X116" si="315">IF(T116="Х","Х",IF(ISBLANK(W116),"",IF(W116&gt;2.5," ",IF(B116=AZ$6,AZ$7,AZ$6))))</f>
        <v/>
      </c>
      <c r="Y116" s="42"/>
      <c r="Z116" s="466" t="b">
        <f>IF(H116="Х","1",IF(J116="Х","2",IF(L116="Х","3",IF(N116="Х","4",IF(P116="Х","5",IF(R116="Х","6",IF(T116="Х","7",IF(V116="Х","8"))))))))</f>
        <v>0</v>
      </c>
      <c r="AA116" s="464">
        <f>SUM(G116+I116+K116+M116+O116+Q116+S116+U116+W116+Y116)</f>
        <v>0</v>
      </c>
      <c r="AB116" s="431">
        <f t="shared" ref="AB116" si="316">AD116+0</f>
        <v>20576</v>
      </c>
      <c r="AC116" s="386">
        <f>AB116</f>
        <v>20576</v>
      </c>
      <c r="AD116" s="387" t="str">
        <f>COUNTIF(AE$6:AE$119,"&gt;"&amp;AE$6:AE$119)+1&amp;REPT("-"&amp;COUNTIF(AE$6:AE$119,"&gt;="&amp;AE$6:AE$119),COUNTIF(AE$6:AE$119,AE116)&gt;1)</f>
        <v>5-56</v>
      </c>
      <c r="AE116" s="388">
        <f t="shared" si="221"/>
        <v>80</v>
      </c>
      <c r="AF116" s="390" t="str">
        <f>IF(OR(F116="Х",F116="св")," ",IF(AND(G116&gt;=0,G116&lt;3),"1"," "))</f>
        <v>1</v>
      </c>
      <c r="AG116" s="390" t="str">
        <f>IF(OR(H116="Х",H116="св")," ",IF(AND(I116&gt;=0,I116&lt;3),"1"," "))</f>
        <v>1</v>
      </c>
      <c r="AH116" s="390" t="str">
        <f>IF(OR(J116="Х",J116="св")," ",IF(AND(K116&gt;=0,K116&lt;3),"1"," "))</f>
        <v>1</v>
      </c>
      <c r="AI116" s="390" t="str">
        <f>IF(OR(L116="Х",L116="св")," ",IF(AND(M116&gt;=0,M116&lt;3),"1"," "))</f>
        <v>1</v>
      </c>
      <c r="AJ116" s="390" t="str">
        <f>IF(OR(N116="Х",N116="св")," ",IF(AND(O116&gt;=0,O116&lt;3),"1"," "))</f>
        <v>1</v>
      </c>
      <c r="AK116" s="390" t="str">
        <f>IF(OR(P116="Х",P116="св")," ",IF(AND(Q116&gt;=0,Q116&lt;3),"1"," "))</f>
        <v>1</v>
      </c>
      <c r="AL116" s="390" t="str">
        <f>IF(OR(R116="Х",R116="св")," ",IF(AND(S116&gt;=0,S116&lt;3),"1"," "))</f>
        <v>1</v>
      </c>
      <c r="AM116" s="390" t="str">
        <f>IF(OR(T116="Х",T116="св")," ",IF(AND(U116&gt;=0,U116&lt;3),"1"," "))</f>
        <v>1</v>
      </c>
      <c r="AN116" s="391">
        <f t="shared" ref="AN116" si="317">COUNTIF(AF116:AM117,1)</f>
        <v>8</v>
      </c>
      <c r="AO116" s="393">
        <f>AE116-AA116</f>
        <v>80</v>
      </c>
      <c r="AP116" s="394">
        <f t="shared" si="196"/>
        <v>0</v>
      </c>
      <c r="AQ116" s="387" t="str">
        <f>COUNTIF(AE$6:AE$119,"&gt;"&amp;AE$6:AE$119)+1&amp;REPT("-"&amp;COUNTIF(AE$6:AE$119,"&gt;="&amp;AE$6:AE$119),COUNTIF(AE$6:AE$119,AE116)&gt;1)</f>
        <v>5-56</v>
      </c>
      <c r="AR116" s="395"/>
      <c r="AS116" s="183"/>
      <c r="AT116" s="183"/>
      <c r="AU116" s="183"/>
      <c r="AV116" s="386">
        <f t="shared" si="237"/>
        <v>55</v>
      </c>
      <c r="BU116" s="377">
        <f>IF(J116="х"," ",B116)</f>
        <v>55</v>
      </c>
      <c r="BV116" s="377">
        <f>IF(L116="х"," ",B116)</f>
        <v>55</v>
      </c>
      <c r="BW116" s="377" t="str">
        <f>IF(BV116=" "," ",L116)</f>
        <v xml:space="preserve"> </v>
      </c>
      <c r="BX116" s="377" t="str">
        <f>IF(BU116=" "," ",J116)</f>
        <v xml:space="preserve"> </v>
      </c>
      <c r="BY116" s="61">
        <f>IF(BU116&lt;BX116,BU116,0)</f>
        <v>55</v>
      </c>
      <c r="BZ116" s="61">
        <f t="shared" si="254"/>
        <v>55</v>
      </c>
      <c r="CA116" s="124" t="str">
        <f t="array" aca="1" ref="CA1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6">
        <f>IF(BV116&lt;BW116,BV116,0)</f>
        <v>55</v>
      </c>
      <c r="CC116" s="125">
        <f t="shared" si="190"/>
        <v>55</v>
      </c>
      <c r="CD116" s="51" t="str">
        <f t="array" aca="1" ref="CD116" ca="1">IF(ROW()-ROW(Н4кр)+1&gt;ROWS(Е4кр)-COUNTBLANK(Е4кр)," ",INDIRECT(ADDRESS(SMALL((IF(Е4кр&lt;&gt;" ",ROW(Е4кр),ROW()+ROWS(Е4кр))),ROW()-ROW(Н4кр)+1),COLUMN(Е4кр),4)))</f>
        <v xml:space="preserve"> </v>
      </c>
      <c r="CF116" s="377">
        <f>IF(N116="х"," ",B116)</f>
        <v>55</v>
      </c>
      <c r="CG116" s="377" t="str">
        <f>IF(CF116=" "," ",N116)</f>
        <v xml:space="preserve"> </v>
      </c>
      <c r="CH116" s="125">
        <f>IF(CF116&lt;CG116,CF116,0)</f>
        <v>55</v>
      </c>
      <c r="CI116">
        <f t="shared" si="197"/>
        <v>55</v>
      </c>
      <c r="CJ116" s="51" t="str">
        <f t="array" aca="1" ref="CJ116" ca="1">IF(ROW()-ROW(Н5кр)+1&gt;ROWS(Е5кр)-COUNTBLANK(Е5кр)," ",INDIRECT(ADDRESS(SMALL((IF(Е5кр&lt;&gt;" ",ROW(Е5кр),ROW()+ROWS(Е5кр))),ROW()-ROW(Н5кр)+1),COLUMN(Е5кр),4)))</f>
        <v xml:space="preserve"> </v>
      </c>
      <c r="CL116" s="377">
        <f>IF(P116="х"," ",B116)</f>
        <v>55</v>
      </c>
      <c r="CM116" s="377" t="str">
        <f>IF(CL116=" "," ",P116)</f>
        <v xml:space="preserve"> </v>
      </c>
      <c r="CN116">
        <f>IF(CL116&lt;CM116,CL116,0)</f>
        <v>55</v>
      </c>
      <c r="CO116">
        <f t="shared" si="191"/>
        <v>55</v>
      </c>
      <c r="CP116" t="str">
        <f t="array" aca="1" ref="CP116" ca="1">IF(ROW()-ROW(Н6кр)+1&gt;ROWS(Е6кр)-COUNTBLANK(Е6кр)," ",INDIRECT(ADDRESS(SMALL((IF(Е6кр&lt;&gt;" ",ROW(Е6кр),ROW()+ROWS(Е6кр))),ROW()-ROW(Н6кр)+1),COLUMN(Е6кр),4)))</f>
        <v xml:space="preserve"> </v>
      </c>
      <c r="CR116" s="377">
        <f t="shared" ref="CR116" si="318">IF(R116="х"," ",B116)</f>
        <v>55</v>
      </c>
      <c r="CS116" s="377" t="str">
        <f t="shared" ref="CS116" si="319">IF(CR116=" "," ",R116)</f>
        <v xml:space="preserve"> </v>
      </c>
      <c r="CT116">
        <f>IF(CR116&lt;CS116,CR116,0)</f>
        <v>55</v>
      </c>
      <c r="CU116">
        <f t="shared" si="192"/>
        <v>55</v>
      </c>
      <c r="CV116" t="str">
        <f t="array" aca="1" ref="CV116" ca="1">IF(ROW()-ROW(Н7кр)+1&gt;ROWS(Е7кр)-COUNTBLANK(Е7кр)," ",INDIRECT(ADDRESS(SMALL((IF(Е7кр&lt;&gt;" ",ROW(Е7кр),ROW()+ROWS(Е7кр))),ROW()-ROW(Н7кр)+1),COLUMN(Е7кр),4)))</f>
        <v xml:space="preserve"> </v>
      </c>
    </row>
    <row r="117" spans="1:100" ht="12" hidden="1" customHeight="1" thickBot="1">
      <c r="A117" s="198"/>
      <c r="B117" s="424"/>
      <c r="C117" s="426"/>
      <c r="D117" s="428"/>
      <c r="E117" s="430"/>
      <c r="F117" s="442"/>
      <c r="G117" s="44"/>
      <c r="H117" s="439"/>
      <c r="I117" s="44"/>
      <c r="J117" s="439"/>
      <c r="K117" s="44"/>
      <c r="L117" s="439"/>
      <c r="M117" s="44"/>
      <c r="N117" s="439"/>
      <c r="O117" s="44"/>
      <c r="P117" s="439"/>
      <c r="Q117" s="44"/>
      <c r="R117" s="439"/>
      <c r="S117" s="44"/>
      <c r="T117" s="439"/>
      <c r="U117" s="47"/>
      <c r="V117" s="439"/>
      <c r="W117" s="44"/>
      <c r="X117" s="439"/>
      <c r="Y117" s="44"/>
      <c r="Z117" s="422"/>
      <c r="AA117" s="465"/>
      <c r="AB117" s="432"/>
      <c r="AC117" s="386"/>
      <c r="AD117" s="387"/>
      <c r="AE117" s="389"/>
      <c r="AF117" s="390"/>
      <c r="AG117" s="390"/>
      <c r="AH117" s="390"/>
      <c r="AI117" s="390"/>
      <c r="AJ117" s="390"/>
      <c r="AK117" s="390"/>
      <c r="AL117" s="390"/>
      <c r="AM117" s="390"/>
      <c r="AN117" s="392"/>
      <c r="AO117" s="387"/>
      <c r="AP117" s="394"/>
      <c r="AQ117" s="387"/>
      <c r="AR117" s="395"/>
      <c r="AS117" s="183"/>
      <c r="AT117" s="183"/>
      <c r="AU117" s="183"/>
      <c r="AV117" s="386"/>
      <c r="BU117" s="377"/>
      <c r="BV117" s="377"/>
      <c r="BW117" s="377"/>
      <c r="BX117" s="377"/>
      <c r="BY117" s="61" t="str">
        <f>IF(BY116&gt;=1,BX116,0)</f>
        <v xml:space="preserve"> </v>
      </c>
      <c r="BZ117" s="61" t="str">
        <f t="shared" si="254"/>
        <v xml:space="preserve"> </v>
      </c>
      <c r="CB117" t="str">
        <f>IF(CB116&gt;=1,BW116,0)</f>
        <v xml:space="preserve"> </v>
      </c>
      <c r="CC117" s="125" t="str">
        <f t="shared" si="190"/>
        <v xml:space="preserve"> </v>
      </c>
      <c r="CF117" s="377"/>
      <c r="CG117" s="377"/>
      <c r="CH117" s="125" t="str">
        <f>IF(CH116&gt;=1,CG116,0)</f>
        <v xml:space="preserve"> </v>
      </c>
      <c r="CI117" t="str">
        <f t="shared" si="197"/>
        <v xml:space="preserve"> </v>
      </c>
      <c r="CL117" s="377"/>
      <c r="CM117" s="377"/>
      <c r="CN117" t="str">
        <f>IF(CN116&gt;=1,CM116,0)</f>
        <v xml:space="preserve"> </v>
      </c>
      <c r="CO117" t="str">
        <f t="shared" si="191"/>
        <v xml:space="preserve"> </v>
      </c>
      <c r="CR117" s="377"/>
      <c r="CS117" s="377"/>
      <c r="CT117" t="str">
        <f>IF(CT116&gt;=1,CS116,0)</f>
        <v xml:space="preserve"> </v>
      </c>
      <c r="CU117" t="str">
        <f t="shared" si="192"/>
        <v xml:space="preserve"> </v>
      </c>
    </row>
    <row r="118" spans="1:100" ht="12" hidden="1" customHeight="1" thickTop="1">
      <c r="A118" s="198"/>
      <c r="B118" s="423">
        <v>56</v>
      </c>
      <c r="C118" s="425" t="e">
        <f>(VLOOKUP(B118,пр.взв!$B$7:$H$76,2,0))</f>
        <v>#N/A</v>
      </c>
      <c r="D118" s="427" t="e">
        <f>(VLOOKUP(B118,пр.взв!$B$7:$H$76,3,0))</f>
        <v>#N/A</v>
      </c>
      <c r="E118" s="429" t="e">
        <f>(VLOOKUP(B118,пр.взв!$B$7:$H$76,5,0))</f>
        <v>#N/A</v>
      </c>
      <c r="F118" s="443">
        <f t="shared" si="224"/>
        <v>0</v>
      </c>
      <c r="G118" s="42"/>
      <c r="H118" s="440"/>
      <c r="I118" s="42"/>
      <c r="J118" s="444" t="str">
        <f>IF(H118="Х","Х",IF(I118+G118&lt;6," ",IF(I118+G118&gt;=6,IF(AA118&gt;=6,"Х",IF(AA118&lt;6," "," ")))))</f>
        <v xml:space="preserve"> </v>
      </c>
      <c r="K118" s="41"/>
      <c r="L118" s="438" t="str">
        <f>IF(J118="Х","Х",IF(K118&lt;2.5," ",IF(K118&gt;=2.5,IF(G118+I118+K118&gt;=6,"Х",IF(AA118&lt;6," "," ")))))</f>
        <v xml:space="preserve"> </v>
      </c>
      <c r="M118" s="41"/>
      <c r="N118" s="438" t="str">
        <f>IF(L118="Х","Х",IF(M118&lt;2.5," ",IF(M118&gt;=2.5,IF(G118+I118+K118+M118&gt;=6,"Х",IF(AA118&lt;6," "," ")))))</f>
        <v xml:space="preserve"> </v>
      </c>
      <c r="O118" s="41"/>
      <c r="P118" s="438" t="str">
        <f>IF(N118="Х","Х",IF(O118&lt;2.5," ",IF(O118&gt;=2.5,IF(G118+I118+K118+M118+O118&gt;=6,"Х",IF(AA118&lt;6," "," ")))))</f>
        <v xml:space="preserve"> </v>
      </c>
      <c r="Q118" s="41"/>
      <c r="R118" s="438" t="str">
        <f>IF(P118="Х","Х",IF(Q118&lt;2.5," ",IF(Q118&gt;=2.5,IF(G118+I118+K118+M118+O118+Q118&gt;=6,"Х",IF(AA118&lt;6," "," ")))))</f>
        <v xml:space="preserve"> </v>
      </c>
      <c r="S118" s="41"/>
      <c r="T118" s="438" t="str">
        <f>IF(R118="Х","Х",IF(S118&lt;2.5," ",IF(S118&gt;=2.5,IF(G118+I118+K118+M118+O118+Q118+S118&gt;=6,"Х",IF(AA118&lt;6," "," ")))))</f>
        <v xml:space="preserve"> </v>
      </c>
      <c r="U118" s="45"/>
      <c r="V118" s="438" t="str">
        <f t="shared" ref="V118" si="320">IF(T118="А1",$AX$7,IF(T118="Б2",$AX$6,IF(T118="Б1",$AY$7,IF(T118="А2",$AY$6,IF(T118="Х","Х",IF(T118&lt;6," "," "))))))</f>
        <v xml:space="preserve"> </v>
      </c>
      <c r="W118" s="41"/>
      <c r="X118" s="438" t="str">
        <f t="shared" ref="X118" si="321">IF(T118="Х","Х",IF(ISBLANK(W118),"",IF(W118&gt;2.5," ",IF(B118=AZ$6,AZ$7,AZ$6))))</f>
        <v/>
      </c>
      <c r="Y118" s="42"/>
      <c r="Z118" s="466" t="b">
        <f>IF(H118="Х","1",IF(J118="Х","2",IF(L118="Х","3",IF(N118="Х","4",IF(P118="Х","5",IF(R118="Х","6",IF(T118="Х","7",IF(V118="Х","8"))))))))</f>
        <v>0</v>
      </c>
      <c r="AA118" s="464">
        <f>SUM(G118+I118+K118+M118+O118+Q118+S118+U118+W118+Y118)</f>
        <v>0</v>
      </c>
      <c r="AB118" s="431">
        <f t="shared" ref="AB118" si="322">AD118+0</f>
        <v>20576</v>
      </c>
      <c r="AC118" s="386">
        <f>AB118</f>
        <v>20576</v>
      </c>
      <c r="AD118" s="387" t="str">
        <f>COUNTIF(AE$6:AE$119,"&gt;"&amp;AE$6:AE$119)+1&amp;REPT("-"&amp;COUNTIF(AE$6:AE$119,"&gt;="&amp;AE$6:AE$119),COUNTIF(AE$6:AE$119,AE118)&gt;1)</f>
        <v>5-56</v>
      </c>
      <c r="AE118" s="388">
        <f t="shared" si="221"/>
        <v>80</v>
      </c>
      <c r="AF118" s="390" t="str">
        <f>IF(OR(F118="Х",F118="св")," ",IF(AND(G118&gt;=0,G118&lt;3),"1"," "))</f>
        <v>1</v>
      </c>
      <c r="AG118" s="390" t="str">
        <f>IF(OR(H118="Х",H118="св")," ",IF(AND(I118&gt;=0,I118&lt;3),"1"," "))</f>
        <v>1</v>
      </c>
      <c r="AH118" s="390" t="str">
        <f>IF(OR(J118="Х",J118="св")," ",IF(AND(K118&gt;=0,K118&lt;3),"1"," "))</f>
        <v>1</v>
      </c>
      <c r="AI118" s="390" t="str">
        <f>IF(OR(L118="Х",L118="св")," ",IF(AND(M118&gt;=0,M118&lt;3),"1"," "))</f>
        <v>1</v>
      </c>
      <c r="AJ118" s="390" t="str">
        <f>IF(OR(N118="Х",N118="св")," ",IF(AND(O118&gt;=0,O118&lt;3),"1"," "))</f>
        <v>1</v>
      </c>
      <c r="AK118" s="390" t="str">
        <f>IF(OR(P118="Х",P118="св")," ",IF(AND(Q118&gt;=0,Q118&lt;3),"1"," "))</f>
        <v>1</v>
      </c>
      <c r="AL118" s="390" t="str">
        <f>IF(OR(R118="Х",R118="св")," ",IF(AND(S118&gt;=0,S118&lt;3),"1"," "))</f>
        <v>1</v>
      </c>
      <c r="AM118" s="390" t="str">
        <f>IF(OR(T118="Х",T118="св")," ",IF(AND(U118&gt;=0,U118&lt;3),"1"," "))</f>
        <v>1</v>
      </c>
      <c r="AN118" s="391">
        <f t="shared" ref="AN118" si="323">COUNTIF(AF118:AM119,1)</f>
        <v>8</v>
      </c>
      <c r="AO118" s="393">
        <f>AE118-AA118</f>
        <v>80</v>
      </c>
      <c r="AP118" s="394">
        <f t="shared" si="196"/>
        <v>0</v>
      </c>
      <c r="AQ118" s="387" t="str">
        <f>COUNTIF(AE$6:AE$119,"&gt;"&amp;AE$6:AE$119)+1&amp;REPT("-"&amp;COUNTIF(AE$6:AE$119,"&gt;="&amp;AE$6:AE$119),COUNTIF(AE$6:AE$119,AE118)&gt;1)</f>
        <v>5-56</v>
      </c>
      <c r="AR118" s="395"/>
      <c r="AS118" s="183"/>
      <c r="AT118" s="183"/>
      <c r="AU118" s="183"/>
      <c r="AV118" s="386">
        <f t="shared" si="237"/>
        <v>56</v>
      </c>
      <c r="BU118" s="377">
        <f>IF(J118="х"," ",B118)</f>
        <v>56</v>
      </c>
      <c r="BV118" s="377">
        <f>IF(L118="х"," ",B118)</f>
        <v>56</v>
      </c>
      <c r="BW118" s="377" t="str">
        <f>IF(BV118=" "," ",L118)</f>
        <v xml:space="preserve"> </v>
      </c>
      <c r="BX118" s="377" t="str">
        <f>IF(BU118=" "," ",J118)</f>
        <v xml:space="preserve"> </v>
      </c>
      <c r="BY118" s="61">
        <f>IF(BU118&lt;BX118,BU118,0)</f>
        <v>56</v>
      </c>
      <c r="BZ118" s="61">
        <f t="shared" si="254"/>
        <v>56</v>
      </c>
      <c r="CB118">
        <f>IF(BV118&lt;BW118,BV118,0)</f>
        <v>56</v>
      </c>
      <c r="CC118" s="125">
        <f t="shared" si="190"/>
        <v>56</v>
      </c>
      <c r="CF118" s="377">
        <f>IF(N118="х"," ",B118)</f>
        <v>56</v>
      </c>
      <c r="CG118" s="377" t="str">
        <f>IF(CF118=" "," ",N118)</f>
        <v xml:space="preserve"> </v>
      </c>
      <c r="CH118" s="125">
        <f>IF(CF118&lt;CG118,CF118,0)</f>
        <v>56</v>
      </c>
      <c r="CI118">
        <f t="shared" si="197"/>
        <v>56</v>
      </c>
      <c r="CL118" s="377">
        <f>IF(P118="х"," ",B118)</f>
        <v>56</v>
      </c>
      <c r="CM118" s="377" t="str">
        <f>IF(CL118=" "," ",P118)</f>
        <v xml:space="preserve"> </v>
      </c>
      <c r="CN118">
        <f>IF(CL118&lt;CM118,CL118,0)</f>
        <v>56</v>
      </c>
      <c r="CO118">
        <f t="shared" si="191"/>
        <v>56</v>
      </c>
      <c r="CR118" s="377">
        <f t="shared" ref="CR118" si="324">IF(R118="х"," ",B118)</f>
        <v>56</v>
      </c>
      <c r="CS118" s="377" t="str">
        <f t="shared" ref="CS118" si="325">IF(CR118=" "," ",R118)</f>
        <v xml:space="preserve"> </v>
      </c>
      <c r="CT118">
        <f>IF(CR118&lt;CS118,CR118,0)</f>
        <v>56</v>
      </c>
      <c r="CU118">
        <f t="shared" si="192"/>
        <v>56</v>
      </c>
    </row>
    <row r="119" spans="1:100" ht="12" hidden="1" customHeight="1" thickBot="1">
      <c r="A119" s="198"/>
      <c r="B119" s="424"/>
      <c r="C119" s="426"/>
      <c r="D119" s="428"/>
      <c r="E119" s="430"/>
      <c r="F119" s="442"/>
      <c r="G119" s="44"/>
      <c r="H119" s="439"/>
      <c r="I119" s="44"/>
      <c r="J119" s="439"/>
      <c r="K119" s="44"/>
      <c r="L119" s="439"/>
      <c r="M119" s="44"/>
      <c r="N119" s="439"/>
      <c r="O119" s="44"/>
      <c r="P119" s="439"/>
      <c r="Q119" s="44"/>
      <c r="R119" s="439"/>
      <c r="S119" s="44"/>
      <c r="T119" s="439"/>
      <c r="U119" s="47"/>
      <c r="V119" s="439"/>
      <c r="W119" s="44"/>
      <c r="X119" s="439"/>
      <c r="Y119" s="44"/>
      <c r="Z119" s="422"/>
      <c r="AA119" s="465"/>
      <c r="AB119" s="432"/>
      <c r="AC119" s="386"/>
      <c r="AD119" s="387"/>
      <c r="AE119" s="389"/>
      <c r="AF119" s="390"/>
      <c r="AG119" s="390"/>
      <c r="AH119" s="390"/>
      <c r="AI119" s="390"/>
      <c r="AJ119" s="390"/>
      <c r="AK119" s="390"/>
      <c r="AL119" s="390"/>
      <c r="AM119" s="390"/>
      <c r="AN119" s="392"/>
      <c r="AO119" s="387"/>
      <c r="AP119" s="394"/>
      <c r="AQ119" s="387"/>
      <c r="AR119" s="395"/>
      <c r="AS119" s="183"/>
      <c r="AT119" s="183"/>
      <c r="AU119" s="183"/>
      <c r="AV119" s="386"/>
      <c r="BU119" s="377"/>
      <c r="BV119" s="377"/>
      <c r="BW119" s="377"/>
      <c r="BX119" s="377"/>
      <c r="BY119" s="61" t="str">
        <f>IF(BY118&gt;=1,BX118,0)</f>
        <v xml:space="preserve"> </v>
      </c>
      <c r="BZ119" s="61" t="str">
        <f t="shared" si="254"/>
        <v xml:space="preserve"> </v>
      </c>
      <c r="CB119" t="str">
        <f>IF(CB118&gt;=1,BW118,0)</f>
        <v xml:space="preserve"> </v>
      </c>
      <c r="CC119" s="125" t="str">
        <f t="shared" si="190"/>
        <v xml:space="preserve"> </v>
      </c>
      <c r="CF119" s="377"/>
      <c r="CG119" s="377"/>
      <c r="CH119" s="125" t="str">
        <f>IF(CH118&gt;=1,CG118,0)</f>
        <v xml:space="preserve"> </v>
      </c>
      <c r="CI119" t="str">
        <f t="shared" si="197"/>
        <v xml:space="preserve"> </v>
      </c>
      <c r="CL119" s="377"/>
      <c r="CM119" s="377"/>
      <c r="CN119" t="str">
        <f>IF(CN118&gt;=1,CM118,0)</f>
        <v xml:space="preserve"> </v>
      </c>
      <c r="CO119" t="str">
        <f t="shared" si="191"/>
        <v xml:space="preserve"> </v>
      </c>
      <c r="CR119" s="377"/>
      <c r="CS119" s="377"/>
      <c r="CT119" t="str">
        <f>IF(CT118&gt;=1,CS118,0)</f>
        <v xml:space="preserve"> </v>
      </c>
      <c r="CU119" t="str">
        <f t="shared" si="192"/>
        <v xml:space="preserve"> </v>
      </c>
    </row>
    <row r="120" spans="1:100" ht="11.15" customHeight="1" thickTop="1">
      <c r="A120" s="198"/>
      <c r="B120" s="127"/>
      <c r="C120" s="16"/>
      <c r="D120" s="16"/>
      <c r="E120" s="16"/>
      <c r="F120" s="18"/>
      <c r="G120" s="15"/>
      <c r="H120" s="18"/>
      <c r="I120" s="15"/>
      <c r="J120" s="18"/>
      <c r="K120" s="15"/>
      <c r="L120" s="18"/>
      <c r="M120" s="15"/>
      <c r="N120" s="18"/>
      <c r="O120" s="15"/>
      <c r="P120" s="18"/>
      <c r="Q120" s="15"/>
      <c r="R120" s="18"/>
      <c r="S120" s="15"/>
      <c r="T120" s="18"/>
      <c r="U120" s="15"/>
      <c r="V120" s="18"/>
      <c r="W120" s="15"/>
      <c r="X120" s="18"/>
      <c r="Y120" s="15"/>
      <c r="Z120" s="19"/>
      <c r="AA120" s="19"/>
      <c r="AB120" s="19"/>
    </row>
    <row r="121" spans="1:100" ht="27.75" customHeight="1">
      <c r="A121" s="198"/>
      <c r="B121" s="202" t="str">
        <f>[4]реквизиты!$A$6</f>
        <v>Гл. судья, судья ВК</v>
      </c>
      <c r="C121" s="93"/>
      <c r="D121" s="93"/>
      <c r="E121" s="22"/>
      <c r="F121" s="98"/>
      <c r="G121" s="198"/>
      <c r="H121" s="198"/>
      <c r="I121" s="198"/>
      <c r="J121" s="198"/>
      <c r="K121" s="198"/>
      <c r="L121" s="198"/>
      <c r="M121" s="198"/>
      <c r="N121" s="94" t="str">
        <f>[4]реквизиты!$G$6</f>
        <v>А.С.Тимошин</v>
      </c>
      <c r="O121" s="22"/>
      <c r="P121" s="22"/>
      <c r="Q121" s="22"/>
      <c r="R121" s="24"/>
      <c r="S121" s="23"/>
      <c r="T121" s="24"/>
      <c r="U121" s="23"/>
      <c r="V121" s="24"/>
      <c r="W121" s="95" t="str">
        <f>[4]реквизиты!$G$7</f>
        <v>/г.Рыбинск/</v>
      </c>
      <c r="X121" s="24"/>
      <c r="Y121" s="23"/>
      <c r="Z121" s="19"/>
      <c r="AA121" s="19"/>
      <c r="AB121" s="19"/>
    </row>
    <row r="122" spans="1:100" ht="41.25" customHeight="1">
      <c r="A122" s="198"/>
      <c r="B122" s="202" t="str">
        <f>[4]реквизиты!$A$8</f>
        <v>Гл. секретарь, судья ВК</v>
      </c>
      <c r="C122" s="93"/>
      <c r="D122" s="96"/>
      <c r="E122" s="99"/>
      <c r="F122" s="100"/>
      <c r="G122" s="203"/>
      <c r="H122" s="203"/>
      <c r="I122" s="203"/>
      <c r="J122" s="203"/>
      <c r="K122" s="203"/>
      <c r="L122" s="203"/>
      <c r="M122" s="203"/>
      <c r="N122" s="94" t="str">
        <f>[4]реквизиты!$G$8</f>
        <v>Д.П.Сапунов</v>
      </c>
      <c r="O122" s="22"/>
      <c r="P122" s="22"/>
      <c r="Q122" s="22"/>
      <c r="R122" s="24"/>
      <c r="S122" s="23"/>
      <c r="T122" s="24"/>
      <c r="U122" s="23"/>
      <c r="V122" s="24"/>
      <c r="W122" s="95" t="str">
        <f>[4]реквизиты!$G$9</f>
        <v>/г.Качканар/</v>
      </c>
      <c r="X122" s="24"/>
      <c r="Y122" s="23"/>
      <c r="Z122" s="19"/>
      <c r="AA122" s="19"/>
      <c r="AB122" s="19"/>
    </row>
    <row r="123" spans="1:100" ht="11.15" customHeight="1">
      <c r="B123" s="17"/>
      <c r="C123" s="16"/>
      <c r="D123" s="16"/>
      <c r="E123" s="16"/>
      <c r="F123" s="18"/>
      <c r="G123" s="15"/>
      <c r="H123" s="18"/>
      <c r="I123" s="15"/>
      <c r="J123" s="18"/>
      <c r="K123" s="15"/>
      <c r="L123" s="18"/>
      <c r="M123" s="15"/>
      <c r="N123" s="18"/>
      <c r="O123" s="15"/>
      <c r="P123" s="18"/>
      <c r="Q123" s="15"/>
      <c r="R123" s="18"/>
      <c r="S123" s="15"/>
      <c r="T123" s="18"/>
      <c r="U123" s="15"/>
      <c r="V123" s="18"/>
      <c r="W123" s="15"/>
      <c r="X123" s="18"/>
      <c r="Y123" s="15"/>
      <c r="Z123" s="19"/>
      <c r="AA123" s="19"/>
      <c r="AB123" s="19"/>
    </row>
    <row r="124" spans="1:100" ht="11.15" customHeight="1">
      <c r="B124" s="20"/>
      <c r="C124" s="16"/>
      <c r="D124" s="16"/>
      <c r="E124" s="16"/>
      <c r="F124" s="18"/>
      <c r="G124" s="14"/>
      <c r="H124" s="18"/>
      <c r="I124" s="14"/>
      <c r="J124" s="18"/>
      <c r="K124" s="14"/>
      <c r="L124" s="18"/>
      <c r="M124" s="14"/>
      <c r="N124" s="18"/>
      <c r="O124" s="14"/>
      <c r="P124" s="18"/>
      <c r="Q124" s="14"/>
      <c r="R124" s="18"/>
      <c r="S124" s="14"/>
      <c r="T124" s="18"/>
      <c r="U124" s="14"/>
      <c r="V124" s="18"/>
      <c r="W124" s="14"/>
      <c r="X124" s="18"/>
      <c r="Y124" s="14"/>
      <c r="Z124" s="19"/>
      <c r="AA124" s="19"/>
      <c r="AB124" s="19"/>
    </row>
    <row r="125" spans="1:100" ht="11.15" customHeight="1">
      <c r="B125" s="17"/>
      <c r="C125" s="16"/>
      <c r="D125" s="16"/>
      <c r="E125" s="16"/>
      <c r="F125" s="18"/>
      <c r="G125" s="15"/>
      <c r="H125" s="18"/>
      <c r="I125" s="15"/>
      <c r="J125" s="18"/>
      <c r="K125" s="15"/>
      <c r="L125" s="18"/>
      <c r="M125" s="15"/>
      <c r="N125" s="18"/>
      <c r="O125" s="15"/>
      <c r="P125" s="18"/>
      <c r="Q125" s="15"/>
      <c r="R125" s="18"/>
      <c r="S125" s="15"/>
      <c r="T125" s="18"/>
      <c r="U125" s="15"/>
      <c r="V125" s="18"/>
      <c r="W125" s="15"/>
      <c r="X125" s="18"/>
      <c r="Y125" s="15"/>
      <c r="Z125" s="19"/>
      <c r="AA125" s="19"/>
      <c r="AB125" s="19"/>
    </row>
  </sheetData>
  <mergeCells count="2534">
    <mergeCell ref="B10:AB11"/>
    <mergeCell ref="CL112:CL113"/>
    <mergeCell ref="CL108:CL109"/>
    <mergeCell ref="B1:AB1"/>
    <mergeCell ref="BU116:BU117"/>
    <mergeCell ref="BV116:BV117"/>
    <mergeCell ref="BW116:BW117"/>
    <mergeCell ref="BX116:BX117"/>
    <mergeCell ref="CF116:CF117"/>
    <mergeCell ref="CG116:CG117"/>
    <mergeCell ref="CL116:CL117"/>
    <mergeCell ref="CM116:CM117"/>
    <mergeCell ref="BU118:BU119"/>
    <mergeCell ref="BV118:BV119"/>
    <mergeCell ref="BW118:BW119"/>
    <mergeCell ref="BX118:BX119"/>
    <mergeCell ref="CF118:CF119"/>
    <mergeCell ref="CG118:CG119"/>
    <mergeCell ref="CL118:CL119"/>
    <mergeCell ref="CM118:CM119"/>
    <mergeCell ref="BU110:BU111"/>
    <mergeCell ref="BV110:BV111"/>
    <mergeCell ref="BW110:BW111"/>
    <mergeCell ref="BX110:BX111"/>
    <mergeCell ref="CF110:CF111"/>
    <mergeCell ref="CG110:CG111"/>
    <mergeCell ref="CL110:CL111"/>
    <mergeCell ref="CM110:CM111"/>
    <mergeCell ref="BU112:BU113"/>
    <mergeCell ref="BV112:BV113"/>
    <mergeCell ref="BW112:BW113"/>
    <mergeCell ref="BX112:BX113"/>
    <mergeCell ref="CF112:CF113"/>
    <mergeCell ref="CG112:CG113"/>
    <mergeCell ref="CM102:CM103"/>
    <mergeCell ref="CM112:CM113"/>
    <mergeCell ref="BU114:BU115"/>
    <mergeCell ref="BV114:BV115"/>
    <mergeCell ref="BW114:BW115"/>
    <mergeCell ref="BX114:BX115"/>
    <mergeCell ref="CF114:CF115"/>
    <mergeCell ref="CG114:CG115"/>
    <mergeCell ref="CL114:CL115"/>
    <mergeCell ref="CM114:CM115"/>
    <mergeCell ref="BU104:BU105"/>
    <mergeCell ref="BV104:BV105"/>
    <mergeCell ref="BW104:BW105"/>
    <mergeCell ref="BX104:BX105"/>
    <mergeCell ref="CF104:CF105"/>
    <mergeCell ref="CG104:CG105"/>
    <mergeCell ref="CL104:CL105"/>
    <mergeCell ref="CM104:CM105"/>
    <mergeCell ref="BU106:BU107"/>
    <mergeCell ref="BV106:BV107"/>
    <mergeCell ref="BW106:BW107"/>
    <mergeCell ref="BX106:BX107"/>
    <mergeCell ref="CF106:CF107"/>
    <mergeCell ref="CG106:CG107"/>
    <mergeCell ref="CL106:CL107"/>
    <mergeCell ref="CM106:CM107"/>
    <mergeCell ref="BU108:BU109"/>
    <mergeCell ref="BV108:BV109"/>
    <mergeCell ref="BW108:BW109"/>
    <mergeCell ref="BX108:BX109"/>
    <mergeCell ref="CF108:CF109"/>
    <mergeCell ref="CG108:CG109"/>
    <mergeCell ref="BU96:BU97"/>
    <mergeCell ref="BV96:BV97"/>
    <mergeCell ref="BW96:BW97"/>
    <mergeCell ref="BX96:BX97"/>
    <mergeCell ref="CF96:CF97"/>
    <mergeCell ref="CG96:CG97"/>
    <mergeCell ref="CL96:CL97"/>
    <mergeCell ref="CM96:CM97"/>
    <mergeCell ref="CM108:CM109"/>
    <mergeCell ref="BU98:BU99"/>
    <mergeCell ref="BV98:BV99"/>
    <mergeCell ref="BW98:BW99"/>
    <mergeCell ref="BX98:BX99"/>
    <mergeCell ref="CF98:CF99"/>
    <mergeCell ref="CG98:CG99"/>
    <mergeCell ref="CL98:CL99"/>
    <mergeCell ref="CM98:CM99"/>
    <mergeCell ref="BU100:BU101"/>
    <mergeCell ref="BV100:BV101"/>
    <mergeCell ref="BW100:BW101"/>
    <mergeCell ref="BX100:BX101"/>
    <mergeCell ref="CF100:CF101"/>
    <mergeCell ref="CG100:CG101"/>
    <mergeCell ref="CL100:CL101"/>
    <mergeCell ref="CM100:CM101"/>
    <mergeCell ref="BU102:BU103"/>
    <mergeCell ref="BV102:BV103"/>
    <mergeCell ref="BW102:BW103"/>
    <mergeCell ref="BX102:BX103"/>
    <mergeCell ref="CF102:CF103"/>
    <mergeCell ref="CG102:CG103"/>
    <mergeCell ref="CL102:CL103"/>
    <mergeCell ref="BU90:BU91"/>
    <mergeCell ref="BV90:BV91"/>
    <mergeCell ref="BW90:BW91"/>
    <mergeCell ref="BX90:BX91"/>
    <mergeCell ref="CF90:CF91"/>
    <mergeCell ref="CG90:CG91"/>
    <mergeCell ref="CL90:CL91"/>
    <mergeCell ref="CM90:CM91"/>
    <mergeCell ref="BU92:BU93"/>
    <mergeCell ref="BV92:BV93"/>
    <mergeCell ref="BW92:BW93"/>
    <mergeCell ref="BX92:BX93"/>
    <mergeCell ref="CF92:CF93"/>
    <mergeCell ref="CG92:CG93"/>
    <mergeCell ref="CL92:CL93"/>
    <mergeCell ref="CM92:CM93"/>
    <mergeCell ref="BU94:BU95"/>
    <mergeCell ref="BV94:BV95"/>
    <mergeCell ref="BW94:BW95"/>
    <mergeCell ref="BX94:BX95"/>
    <mergeCell ref="CF94:CF95"/>
    <mergeCell ref="CG94:CG95"/>
    <mergeCell ref="CL94:CL95"/>
    <mergeCell ref="CM94:CM95"/>
    <mergeCell ref="BU84:BU85"/>
    <mergeCell ref="BV84:BV85"/>
    <mergeCell ref="BW84:BW85"/>
    <mergeCell ref="BX84:BX85"/>
    <mergeCell ref="CF84:CF85"/>
    <mergeCell ref="CG84:CG85"/>
    <mergeCell ref="CL84:CL85"/>
    <mergeCell ref="CM84:CM85"/>
    <mergeCell ref="BU86:BU87"/>
    <mergeCell ref="BV86:BV87"/>
    <mergeCell ref="BW86:BW87"/>
    <mergeCell ref="BX86:BX87"/>
    <mergeCell ref="CF86:CF87"/>
    <mergeCell ref="CG86:CG87"/>
    <mergeCell ref="CL86:CL87"/>
    <mergeCell ref="CM86:CM87"/>
    <mergeCell ref="BU88:BU89"/>
    <mergeCell ref="BV88:BV89"/>
    <mergeCell ref="BW88:BW89"/>
    <mergeCell ref="BX88:BX89"/>
    <mergeCell ref="CF88:CF89"/>
    <mergeCell ref="CG88:CG89"/>
    <mergeCell ref="CL88:CL89"/>
    <mergeCell ref="CM88:CM89"/>
    <mergeCell ref="BU78:BU79"/>
    <mergeCell ref="BV78:BV79"/>
    <mergeCell ref="BW78:BW79"/>
    <mergeCell ref="BX78:BX79"/>
    <mergeCell ref="CF78:CF79"/>
    <mergeCell ref="CG78:CG79"/>
    <mergeCell ref="CL78:CL79"/>
    <mergeCell ref="CM78:CM79"/>
    <mergeCell ref="BU80:BU81"/>
    <mergeCell ref="BV80:BV81"/>
    <mergeCell ref="BW80:BW81"/>
    <mergeCell ref="BX80:BX81"/>
    <mergeCell ref="CF80:CF81"/>
    <mergeCell ref="CG80:CG81"/>
    <mergeCell ref="CL80:CL81"/>
    <mergeCell ref="CM80:CM81"/>
    <mergeCell ref="BU82:BU83"/>
    <mergeCell ref="BV82:BV83"/>
    <mergeCell ref="BW82:BW83"/>
    <mergeCell ref="BX82:BX83"/>
    <mergeCell ref="CF82:CF83"/>
    <mergeCell ref="CG82:CG83"/>
    <mergeCell ref="CL82:CL83"/>
    <mergeCell ref="CM82:CM83"/>
    <mergeCell ref="BU72:BU73"/>
    <mergeCell ref="BV72:BV73"/>
    <mergeCell ref="BW72:BW73"/>
    <mergeCell ref="BX72:BX73"/>
    <mergeCell ref="CF72:CF73"/>
    <mergeCell ref="CG72:CG73"/>
    <mergeCell ref="CL72:CL73"/>
    <mergeCell ref="CM72:CM73"/>
    <mergeCell ref="BU74:BU75"/>
    <mergeCell ref="BV74:BV75"/>
    <mergeCell ref="BW74:BW75"/>
    <mergeCell ref="BX74:BX75"/>
    <mergeCell ref="CF74:CF75"/>
    <mergeCell ref="CG74:CG75"/>
    <mergeCell ref="CL74:CL75"/>
    <mergeCell ref="CM74:CM75"/>
    <mergeCell ref="BU76:BU77"/>
    <mergeCell ref="BV76:BV77"/>
    <mergeCell ref="BW76:BW77"/>
    <mergeCell ref="BX76:BX77"/>
    <mergeCell ref="CF76:CF77"/>
    <mergeCell ref="CG76:CG77"/>
    <mergeCell ref="CL76:CL77"/>
    <mergeCell ref="CM76:CM77"/>
    <mergeCell ref="BU66:BU67"/>
    <mergeCell ref="BV66:BV67"/>
    <mergeCell ref="BW66:BW67"/>
    <mergeCell ref="BX66:BX67"/>
    <mergeCell ref="CF66:CF67"/>
    <mergeCell ref="CG66:CG67"/>
    <mergeCell ref="CL66:CL67"/>
    <mergeCell ref="CM66:CM67"/>
    <mergeCell ref="BU68:BU69"/>
    <mergeCell ref="BV68:BV69"/>
    <mergeCell ref="BW68:BW69"/>
    <mergeCell ref="BX68:BX69"/>
    <mergeCell ref="CF68:CF69"/>
    <mergeCell ref="CG68:CG69"/>
    <mergeCell ref="CL68:CL69"/>
    <mergeCell ref="CM68:CM69"/>
    <mergeCell ref="BU70:BU71"/>
    <mergeCell ref="BV70:BV71"/>
    <mergeCell ref="BW70:BW71"/>
    <mergeCell ref="BX70:BX71"/>
    <mergeCell ref="CF70:CF71"/>
    <mergeCell ref="CG70:CG71"/>
    <mergeCell ref="CL70:CL71"/>
    <mergeCell ref="CM70:CM71"/>
    <mergeCell ref="BU60:BU61"/>
    <mergeCell ref="BV60:BV61"/>
    <mergeCell ref="BW60:BW61"/>
    <mergeCell ref="BX60:BX61"/>
    <mergeCell ref="CF60:CF61"/>
    <mergeCell ref="CG60:CG61"/>
    <mergeCell ref="CL60:CL61"/>
    <mergeCell ref="CM60:CM61"/>
    <mergeCell ref="BU62:BU63"/>
    <mergeCell ref="BV62:BV63"/>
    <mergeCell ref="BW62:BW63"/>
    <mergeCell ref="BX62:BX63"/>
    <mergeCell ref="CF62:CF63"/>
    <mergeCell ref="CG62:CG63"/>
    <mergeCell ref="CL62:CL63"/>
    <mergeCell ref="CM62:CM63"/>
    <mergeCell ref="BU64:BU65"/>
    <mergeCell ref="BV64:BV65"/>
    <mergeCell ref="BW64:BW65"/>
    <mergeCell ref="BX64:BX65"/>
    <mergeCell ref="CF64:CF65"/>
    <mergeCell ref="CG64:CG65"/>
    <mergeCell ref="CL64:CL65"/>
    <mergeCell ref="CM64:CM65"/>
    <mergeCell ref="BU54:BU55"/>
    <mergeCell ref="BV54:BV55"/>
    <mergeCell ref="BW54:BW55"/>
    <mergeCell ref="BX54:BX55"/>
    <mergeCell ref="CF54:CF55"/>
    <mergeCell ref="CG54:CG55"/>
    <mergeCell ref="CL54:CL55"/>
    <mergeCell ref="CM54:CM55"/>
    <mergeCell ref="BU56:BU57"/>
    <mergeCell ref="BV56:BV57"/>
    <mergeCell ref="BW56:BW57"/>
    <mergeCell ref="BX56:BX57"/>
    <mergeCell ref="CF56:CF57"/>
    <mergeCell ref="CG56:CG57"/>
    <mergeCell ref="CL56:CL57"/>
    <mergeCell ref="CM56:CM57"/>
    <mergeCell ref="BU58:BU59"/>
    <mergeCell ref="BV58:BV59"/>
    <mergeCell ref="BW58:BW59"/>
    <mergeCell ref="BX58:BX59"/>
    <mergeCell ref="CF58:CF59"/>
    <mergeCell ref="CG58:CG59"/>
    <mergeCell ref="CL58:CL59"/>
    <mergeCell ref="CM58:CM59"/>
    <mergeCell ref="BU48:BU49"/>
    <mergeCell ref="BV48:BV49"/>
    <mergeCell ref="BW48:BW49"/>
    <mergeCell ref="BX48:BX49"/>
    <mergeCell ref="CF48:CF49"/>
    <mergeCell ref="CG48:CG49"/>
    <mergeCell ref="CL48:CL49"/>
    <mergeCell ref="CM48:CM49"/>
    <mergeCell ref="BU50:BU51"/>
    <mergeCell ref="BV50:BV51"/>
    <mergeCell ref="BW50:BW51"/>
    <mergeCell ref="BX50:BX51"/>
    <mergeCell ref="CF50:CF51"/>
    <mergeCell ref="CG50:CG51"/>
    <mergeCell ref="CL50:CL51"/>
    <mergeCell ref="CM50:CM51"/>
    <mergeCell ref="BU52:BU53"/>
    <mergeCell ref="BV52:BV53"/>
    <mergeCell ref="BW52:BW53"/>
    <mergeCell ref="BX52:BX53"/>
    <mergeCell ref="CF52:CF53"/>
    <mergeCell ref="CG52:CG53"/>
    <mergeCell ref="CL52:CL53"/>
    <mergeCell ref="CM52:CM53"/>
    <mergeCell ref="BU42:BU43"/>
    <mergeCell ref="BV42:BV43"/>
    <mergeCell ref="BW42:BW43"/>
    <mergeCell ref="BX42:BX43"/>
    <mergeCell ref="CF42:CF43"/>
    <mergeCell ref="CG42:CG43"/>
    <mergeCell ref="CL42:CL43"/>
    <mergeCell ref="CM42:CM43"/>
    <mergeCell ref="BU44:BU45"/>
    <mergeCell ref="BV44:BV45"/>
    <mergeCell ref="BW44:BW45"/>
    <mergeCell ref="BX44:BX45"/>
    <mergeCell ref="CF44:CF45"/>
    <mergeCell ref="CG44:CG45"/>
    <mergeCell ref="CL44:CL45"/>
    <mergeCell ref="CM44:CM45"/>
    <mergeCell ref="BU46:BU47"/>
    <mergeCell ref="BV46:BV47"/>
    <mergeCell ref="BW46:BW47"/>
    <mergeCell ref="BX46:BX47"/>
    <mergeCell ref="CF46:CF47"/>
    <mergeCell ref="CG46:CG47"/>
    <mergeCell ref="CL46:CL47"/>
    <mergeCell ref="CM46:CM47"/>
    <mergeCell ref="BU36:BU37"/>
    <mergeCell ref="BV36:BV37"/>
    <mergeCell ref="BW36:BW37"/>
    <mergeCell ref="BX36:BX37"/>
    <mergeCell ref="CF36:CF37"/>
    <mergeCell ref="CG36:CG37"/>
    <mergeCell ref="CL36:CL37"/>
    <mergeCell ref="CM36:CM37"/>
    <mergeCell ref="BU38:BU39"/>
    <mergeCell ref="BV38:BV39"/>
    <mergeCell ref="BW38:BW39"/>
    <mergeCell ref="BX38:BX39"/>
    <mergeCell ref="CF38:CF39"/>
    <mergeCell ref="CG38:CG39"/>
    <mergeCell ref="CL38:CL39"/>
    <mergeCell ref="CM38:CM39"/>
    <mergeCell ref="BU40:BU41"/>
    <mergeCell ref="BV40:BV41"/>
    <mergeCell ref="BW40:BW41"/>
    <mergeCell ref="BX40:BX41"/>
    <mergeCell ref="CF40:CF41"/>
    <mergeCell ref="CG40:CG41"/>
    <mergeCell ref="CL40:CL41"/>
    <mergeCell ref="CM40:CM41"/>
    <mergeCell ref="BU30:BU31"/>
    <mergeCell ref="BV30:BV31"/>
    <mergeCell ref="BW30:BW31"/>
    <mergeCell ref="BX30:BX31"/>
    <mergeCell ref="CF30:CF31"/>
    <mergeCell ref="CG30:CG31"/>
    <mergeCell ref="CL30:CL31"/>
    <mergeCell ref="CM30:CM31"/>
    <mergeCell ref="BU32:BU33"/>
    <mergeCell ref="BV32:BV33"/>
    <mergeCell ref="BW32:BW33"/>
    <mergeCell ref="BX32:BX33"/>
    <mergeCell ref="CF32:CF33"/>
    <mergeCell ref="CG32:CG33"/>
    <mergeCell ref="CL32:CL33"/>
    <mergeCell ref="CM32:CM33"/>
    <mergeCell ref="BU34:BU35"/>
    <mergeCell ref="BV34:BV35"/>
    <mergeCell ref="BW34:BW35"/>
    <mergeCell ref="BX34:BX35"/>
    <mergeCell ref="CF34:CF35"/>
    <mergeCell ref="CG34:CG35"/>
    <mergeCell ref="CL34:CL35"/>
    <mergeCell ref="CM34:CM35"/>
    <mergeCell ref="BU24:BU25"/>
    <mergeCell ref="BV24:BV25"/>
    <mergeCell ref="BW24:BW25"/>
    <mergeCell ref="BX24:BX25"/>
    <mergeCell ref="CF24:CF25"/>
    <mergeCell ref="CG24:CG25"/>
    <mergeCell ref="CL24:CL25"/>
    <mergeCell ref="CM24:CM25"/>
    <mergeCell ref="BU26:BU27"/>
    <mergeCell ref="BV26:BV27"/>
    <mergeCell ref="BW26:BW27"/>
    <mergeCell ref="BX26:BX27"/>
    <mergeCell ref="CF26:CF27"/>
    <mergeCell ref="CG26:CG27"/>
    <mergeCell ref="CL26:CL27"/>
    <mergeCell ref="CM26:CM27"/>
    <mergeCell ref="BU28:BU29"/>
    <mergeCell ref="BV28:BV29"/>
    <mergeCell ref="BW28:BW29"/>
    <mergeCell ref="BX28:BX29"/>
    <mergeCell ref="CF28:CF29"/>
    <mergeCell ref="CG28:CG29"/>
    <mergeCell ref="CL28:CL29"/>
    <mergeCell ref="CM28:CM29"/>
    <mergeCell ref="BW18:BW19"/>
    <mergeCell ref="BX18:BX19"/>
    <mergeCell ref="CF18:CF19"/>
    <mergeCell ref="CG18:CG19"/>
    <mergeCell ref="CL18:CL19"/>
    <mergeCell ref="CM18:CM19"/>
    <mergeCell ref="BU20:BU21"/>
    <mergeCell ref="BV20:BV21"/>
    <mergeCell ref="BW20:BW21"/>
    <mergeCell ref="BX20:BX21"/>
    <mergeCell ref="CF20:CF21"/>
    <mergeCell ref="CG20:CG21"/>
    <mergeCell ref="CL20:CL21"/>
    <mergeCell ref="CM20:CM21"/>
    <mergeCell ref="BU22:BU23"/>
    <mergeCell ref="BV22:BV23"/>
    <mergeCell ref="BW22:BW23"/>
    <mergeCell ref="BX22:BX23"/>
    <mergeCell ref="CF22:CF23"/>
    <mergeCell ref="CG22:CG23"/>
    <mergeCell ref="CL22:CL23"/>
    <mergeCell ref="CM22:CM23"/>
    <mergeCell ref="AV110:AV111"/>
    <mergeCell ref="AV112:AV113"/>
    <mergeCell ref="AV114:AV115"/>
    <mergeCell ref="AV116:AV117"/>
    <mergeCell ref="AV118:AV119"/>
    <mergeCell ref="BU6:BU7"/>
    <mergeCell ref="BV6:BV7"/>
    <mergeCell ref="BW6:BW7"/>
    <mergeCell ref="BX6:BX7"/>
    <mergeCell ref="CF6:CF7"/>
    <mergeCell ref="CG6:CG7"/>
    <mergeCell ref="CL6:CL7"/>
    <mergeCell ref="CM6:CM7"/>
    <mergeCell ref="BU8:BU9"/>
    <mergeCell ref="BV8:BV9"/>
    <mergeCell ref="BW8:BW9"/>
    <mergeCell ref="BX8:BX9"/>
    <mergeCell ref="CF8:CF9"/>
    <mergeCell ref="CG8:CG9"/>
    <mergeCell ref="CL8:CL9"/>
    <mergeCell ref="CM8:CM9"/>
    <mergeCell ref="BU12:BU13"/>
    <mergeCell ref="BV12:BV13"/>
    <mergeCell ref="BW12:BW13"/>
    <mergeCell ref="BX12:BX13"/>
    <mergeCell ref="CF12:CF13"/>
    <mergeCell ref="CG12:CG13"/>
    <mergeCell ref="CL12:CL13"/>
    <mergeCell ref="CM12:CM13"/>
    <mergeCell ref="BU14:BU15"/>
    <mergeCell ref="BV14:BV15"/>
    <mergeCell ref="BW14:BW15"/>
    <mergeCell ref="AV76:AV77"/>
    <mergeCell ref="AV78:AV79"/>
    <mergeCell ref="AV80:AV81"/>
    <mergeCell ref="AV82:AV83"/>
    <mergeCell ref="AV84:AV85"/>
    <mergeCell ref="AV86:AV87"/>
    <mergeCell ref="AV88:AV89"/>
    <mergeCell ref="AV90:AV91"/>
    <mergeCell ref="AV92:AV93"/>
    <mergeCell ref="AV94:AV95"/>
    <mergeCell ref="AV96:AV97"/>
    <mergeCell ref="AV98:AV99"/>
    <mergeCell ref="AV100:AV101"/>
    <mergeCell ref="AV102:AV103"/>
    <mergeCell ref="AV104:AV105"/>
    <mergeCell ref="AV106:AV107"/>
    <mergeCell ref="AV108:AV109"/>
    <mergeCell ref="B118:B119"/>
    <mergeCell ref="C118:C119"/>
    <mergeCell ref="D118:D119"/>
    <mergeCell ref="E118:E119"/>
    <mergeCell ref="F118:F119"/>
    <mergeCell ref="H118:H119"/>
    <mergeCell ref="J118:J119"/>
    <mergeCell ref="L118:L119"/>
    <mergeCell ref="N118:N119"/>
    <mergeCell ref="P118:P119"/>
    <mergeCell ref="R118:R119"/>
    <mergeCell ref="T118:T119"/>
    <mergeCell ref="V118:V119"/>
    <mergeCell ref="X118:X119"/>
    <mergeCell ref="Z118:Z119"/>
    <mergeCell ref="AA118:AA119"/>
    <mergeCell ref="AB118:AB119"/>
    <mergeCell ref="B116:B117"/>
    <mergeCell ref="C116:C117"/>
    <mergeCell ref="D116:D117"/>
    <mergeCell ref="E116:E117"/>
    <mergeCell ref="F116:F117"/>
    <mergeCell ref="H116:H117"/>
    <mergeCell ref="J116:J117"/>
    <mergeCell ref="L116:L117"/>
    <mergeCell ref="N116:N117"/>
    <mergeCell ref="P116:P117"/>
    <mergeCell ref="R116:R117"/>
    <mergeCell ref="T116:T117"/>
    <mergeCell ref="V116:V117"/>
    <mergeCell ref="X116:X117"/>
    <mergeCell ref="Z116:Z117"/>
    <mergeCell ref="AA116:AA117"/>
    <mergeCell ref="AB116:AB117"/>
    <mergeCell ref="B114:B115"/>
    <mergeCell ref="C114:C115"/>
    <mergeCell ref="D114:D115"/>
    <mergeCell ref="E114:E115"/>
    <mergeCell ref="F114:F115"/>
    <mergeCell ref="H114:H115"/>
    <mergeCell ref="J114:J115"/>
    <mergeCell ref="L114:L115"/>
    <mergeCell ref="N114:N115"/>
    <mergeCell ref="P114:P115"/>
    <mergeCell ref="R114:R115"/>
    <mergeCell ref="T114:T115"/>
    <mergeCell ref="V114:V115"/>
    <mergeCell ref="X114:X115"/>
    <mergeCell ref="Z114:Z115"/>
    <mergeCell ref="AA114:AA115"/>
    <mergeCell ref="AB114:AB115"/>
    <mergeCell ref="B112:B113"/>
    <mergeCell ref="C112:C113"/>
    <mergeCell ref="D112:D113"/>
    <mergeCell ref="E112:E113"/>
    <mergeCell ref="F112:F113"/>
    <mergeCell ref="H112:H113"/>
    <mergeCell ref="J112:J113"/>
    <mergeCell ref="L112:L113"/>
    <mergeCell ref="N112:N113"/>
    <mergeCell ref="P112:P113"/>
    <mergeCell ref="R112:R113"/>
    <mergeCell ref="T112:T113"/>
    <mergeCell ref="V112:V113"/>
    <mergeCell ref="X112:X113"/>
    <mergeCell ref="Z112:Z113"/>
    <mergeCell ref="AA112:AA113"/>
    <mergeCell ref="AB112:AB113"/>
    <mergeCell ref="B110:B111"/>
    <mergeCell ref="C110:C111"/>
    <mergeCell ref="D110:D111"/>
    <mergeCell ref="E110:E111"/>
    <mergeCell ref="F110:F111"/>
    <mergeCell ref="H110:H111"/>
    <mergeCell ref="J110:J111"/>
    <mergeCell ref="L110:L111"/>
    <mergeCell ref="N110:N111"/>
    <mergeCell ref="P110:P111"/>
    <mergeCell ref="R110:R111"/>
    <mergeCell ref="T110:T111"/>
    <mergeCell ref="V110:V111"/>
    <mergeCell ref="X110:X111"/>
    <mergeCell ref="Z110:Z111"/>
    <mergeCell ref="AA110:AA111"/>
    <mergeCell ref="AB110:AB111"/>
    <mergeCell ref="B108:B109"/>
    <mergeCell ref="C108:C109"/>
    <mergeCell ref="D108:D109"/>
    <mergeCell ref="E108:E109"/>
    <mergeCell ref="F108:F109"/>
    <mergeCell ref="H108:H109"/>
    <mergeCell ref="J108:J109"/>
    <mergeCell ref="L108:L109"/>
    <mergeCell ref="N108:N109"/>
    <mergeCell ref="P108:P109"/>
    <mergeCell ref="R108:R109"/>
    <mergeCell ref="T108:T109"/>
    <mergeCell ref="V108:V109"/>
    <mergeCell ref="X108:X109"/>
    <mergeCell ref="Z108:Z109"/>
    <mergeCell ref="AA108:AA109"/>
    <mergeCell ref="AB108:AB109"/>
    <mergeCell ref="B106:B107"/>
    <mergeCell ref="C106:C107"/>
    <mergeCell ref="D106:D107"/>
    <mergeCell ref="E106:E107"/>
    <mergeCell ref="F106:F107"/>
    <mergeCell ref="H106:H107"/>
    <mergeCell ref="J106:J107"/>
    <mergeCell ref="L106:L107"/>
    <mergeCell ref="N106:N107"/>
    <mergeCell ref="P106:P107"/>
    <mergeCell ref="R106:R107"/>
    <mergeCell ref="T106:T107"/>
    <mergeCell ref="V106:V107"/>
    <mergeCell ref="X106:X107"/>
    <mergeCell ref="Z106:Z107"/>
    <mergeCell ref="AA106:AA107"/>
    <mergeCell ref="AB106:AB107"/>
    <mergeCell ref="B104:B105"/>
    <mergeCell ref="C104:C105"/>
    <mergeCell ref="D104:D105"/>
    <mergeCell ref="E104:E105"/>
    <mergeCell ref="F104:F105"/>
    <mergeCell ref="H104:H105"/>
    <mergeCell ref="J104:J105"/>
    <mergeCell ref="L104:L105"/>
    <mergeCell ref="N104:N105"/>
    <mergeCell ref="P104:P105"/>
    <mergeCell ref="R104:R105"/>
    <mergeCell ref="T104:T105"/>
    <mergeCell ref="V104:V105"/>
    <mergeCell ref="X104:X105"/>
    <mergeCell ref="Z104:Z105"/>
    <mergeCell ref="AA104:AA105"/>
    <mergeCell ref="AB104:AB105"/>
    <mergeCell ref="B102:B103"/>
    <mergeCell ref="C102:C103"/>
    <mergeCell ref="D102:D103"/>
    <mergeCell ref="E102:E103"/>
    <mergeCell ref="F102:F103"/>
    <mergeCell ref="H102:H103"/>
    <mergeCell ref="J102:J103"/>
    <mergeCell ref="L102:L103"/>
    <mergeCell ref="N102:N103"/>
    <mergeCell ref="P102:P103"/>
    <mergeCell ref="R102:R103"/>
    <mergeCell ref="T102:T103"/>
    <mergeCell ref="V102:V103"/>
    <mergeCell ref="X102:X103"/>
    <mergeCell ref="Z102:Z103"/>
    <mergeCell ref="AA102:AA103"/>
    <mergeCell ref="AB102:AB103"/>
    <mergeCell ref="B100:B101"/>
    <mergeCell ref="C100:C101"/>
    <mergeCell ref="D100:D101"/>
    <mergeCell ref="E100:E101"/>
    <mergeCell ref="F100:F101"/>
    <mergeCell ref="H100:H101"/>
    <mergeCell ref="J100:J101"/>
    <mergeCell ref="L100:L101"/>
    <mergeCell ref="N100:N101"/>
    <mergeCell ref="P100:P101"/>
    <mergeCell ref="R100:R101"/>
    <mergeCell ref="T100:T101"/>
    <mergeCell ref="V100:V101"/>
    <mergeCell ref="X100:X101"/>
    <mergeCell ref="Z100:Z101"/>
    <mergeCell ref="AA100:AA101"/>
    <mergeCell ref="AB100:AB101"/>
    <mergeCell ref="B98:B99"/>
    <mergeCell ref="C98:C99"/>
    <mergeCell ref="D98:D99"/>
    <mergeCell ref="E98:E99"/>
    <mergeCell ref="F98:F99"/>
    <mergeCell ref="H98:H99"/>
    <mergeCell ref="J98:J99"/>
    <mergeCell ref="L98:L99"/>
    <mergeCell ref="N98:N99"/>
    <mergeCell ref="P98:P99"/>
    <mergeCell ref="R98:R99"/>
    <mergeCell ref="T98:T99"/>
    <mergeCell ref="V98:V99"/>
    <mergeCell ref="X98:X99"/>
    <mergeCell ref="Z98:Z99"/>
    <mergeCell ref="AA98:AA99"/>
    <mergeCell ref="AB98:AB99"/>
    <mergeCell ref="B96:B97"/>
    <mergeCell ref="C96:C97"/>
    <mergeCell ref="D96:D97"/>
    <mergeCell ref="E96:E97"/>
    <mergeCell ref="F96:F97"/>
    <mergeCell ref="H96:H97"/>
    <mergeCell ref="J96:J97"/>
    <mergeCell ref="L96:L97"/>
    <mergeCell ref="N96:N97"/>
    <mergeCell ref="P96:P97"/>
    <mergeCell ref="R96:R97"/>
    <mergeCell ref="T96:T97"/>
    <mergeCell ref="V96:V97"/>
    <mergeCell ref="X96:X97"/>
    <mergeCell ref="Z96:Z97"/>
    <mergeCell ref="AA96:AA97"/>
    <mergeCell ref="AB96:AB97"/>
    <mergeCell ref="B94:B95"/>
    <mergeCell ref="C94:C95"/>
    <mergeCell ref="D94:D95"/>
    <mergeCell ref="E94:E95"/>
    <mergeCell ref="F94:F95"/>
    <mergeCell ref="H94:H95"/>
    <mergeCell ref="J94:J95"/>
    <mergeCell ref="L94:L95"/>
    <mergeCell ref="N94:N95"/>
    <mergeCell ref="P94:P95"/>
    <mergeCell ref="R94:R95"/>
    <mergeCell ref="T94:T95"/>
    <mergeCell ref="V94:V95"/>
    <mergeCell ref="X94:X95"/>
    <mergeCell ref="Z94:Z95"/>
    <mergeCell ref="AA94:AA95"/>
    <mergeCell ref="AB94:AB95"/>
    <mergeCell ref="B92:B93"/>
    <mergeCell ref="C92:C93"/>
    <mergeCell ref="D92:D93"/>
    <mergeCell ref="E92:E93"/>
    <mergeCell ref="F92:F93"/>
    <mergeCell ref="H92:H93"/>
    <mergeCell ref="J92:J93"/>
    <mergeCell ref="L92:L93"/>
    <mergeCell ref="N92:N93"/>
    <mergeCell ref="P92:P93"/>
    <mergeCell ref="R92:R93"/>
    <mergeCell ref="T92:T93"/>
    <mergeCell ref="V92:V93"/>
    <mergeCell ref="X92:X93"/>
    <mergeCell ref="Z92:Z93"/>
    <mergeCell ref="AA92:AA93"/>
    <mergeCell ref="AB92:AB93"/>
    <mergeCell ref="B90:B91"/>
    <mergeCell ref="C90:C91"/>
    <mergeCell ref="D90:D91"/>
    <mergeCell ref="E90:E91"/>
    <mergeCell ref="F90:F91"/>
    <mergeCell ref="H90:H91"/>
    <mergeCell ref="J90:J91"/>
    <mergeCell ref="L90:L91"/>
    <mergeCell ref="N90:N91"/>
    <mergeCell ref="P90:P91"/>
    <mergeCell ref="R90:R91"/>
    <mergeCell ref="T90:T91"/>
    <mergeCell ref="V90:V91"/>
    <mergeCell ref="X90:X91"/>
    <mergeCell ref="Z90:Z91"/>
    <mergeCell ref="AA90:AA91"/>
    <mergeCell ref="AB90:AB91"/>
    <mergeCell ref="B88:B89"/>
    <mergeCell ref="C88:C89"/>
    <mergeCell ref="D88:D89"/>
    <mergeCell ref="E88:E89"/>
    <mergeCell ref="F88:F89"/>
    <mergeCell ref="H88:H89"/>
    <mergeCell ref="J88:J89"/>
    <mergeCell ref="L88:L89"/>
    <mergeCell ref="N88:N89"/>
    <mergeCell ref="P88:P89"/>
    <mergeCell ref="R88:R89"/>
    <mergeCell ref="T88:T89"/>
    <mergeCell ref="V88:V89"/>
    <mergeCell ref="X88:X89"/>
    <mergeCell ref="Z88:Z89"/>
    <mergeCell ref="AA88:AA89"/>
    <mergeCell ref="AB88:AB89"/>
    <mergeCell ref="B86:B87"/>
    <mergeCell ref="C86:C87"/>
    <mergeCell ref="D86:D87"/>
    <mergeCell ref="E86:E87"/>
    <mergeCell ref="F86:F87"/>
    <mergeCell ref="H86:H87"/>
    <mergeCell ref="J86:J87"/>
    <mergeCell ref="L86:L87"/>
    <mergeCell ref="N86:N87"/>
    <mergeCell ref="P86:P87"/>
    <mergeCell ref="R86:R87"/>
    <mergeCell ref="T86:T87"/>
    <mergeCell ref="V86:V87"/>
    <mergeCell ref="X86:X87"/>
    <mergeCell ref="Z86:Z87"/>
    <mergeCell ref="AA86:AA87"/>
    <mergeCell ref="AB86:AB87"/>
    <mergeCell ref="B84:B85"/>
    <mergeCell ref="C84:C85"/>
    <mergeCell ref="D84:D85"/>
    <mergeCell ref="E84:E85"/>
    <mergeCell ref="F84:F85"/>
    <mergeCell ref="H84:H85"/>
    <mergeCell ref="J84:J85"/>
    <mergeCell ref="L84:L85"/>
    <mergeCell ref="N84:N85"/>
    <mergeCell ref="P84:P85"/>
    <mergeCell ref="R84:R85"/>
    <mergeCell ref="T84:T85"/>
    <mergeCell ref="V84:V85"/>
    <mergeCell ref="X84:X85"/>
    <mergeCell ref="Z84:Z85"/>
    <mergeCell ref="AA84:AA85"/>
    <mergeCell ref="AB84:AB85"/>
    <mergeCell ref="B82:B83"/>
    <mergeCell ref="C82:C83"/>
    <mergeCell ref="D82:D83"/>
    <mergeCell ref="E82:E83"/>
    <mergeCell ref="F82:F83"/>
    <mergeCell ref="H82:H83"/>
    <mergeCell ref="J82:J83"/>
    <mergeCell ref="L82:L83"/>
    <mergeCell ref="N82:N83"/>
    <mergeCell ref="P82:P83"/>
    <mergeCell ref="R82:R83"/>
    <mergeCell ref="T82:T83"/>
    <mergeCell ref="V82:V83"/>
    <mergeCell ref="X82:X83"/>
    <mergeCell ref="Z82:Z83"/>
    <mergeCell ref="AA82:AA83"/>
    <mergeCell ref="AB82:AB83"/>
    <mergeCell ref="B80:B81"/>
    <mergeCell ref="C80:C81"/>
    <mergeCell ref="D80:D81"/>
    <mergeCell ref="E80:E81"/>
    <mergeCell ref="F80:F81"/>
    <mergeCell ref="H80:H81"/>
    <mergeCell ref="J80:J81"/>
    <mergeCell ref="L80:L81"/>
    <mergeCell ref="N80:N81"/>
    <mergeCell ref="P80:P81"/>
    <mergeCell ref="R80:R81"/>
    <mergeCell ref="T80:T81"/>
    <mergeCell ref="V80:V81"/>
    <mergeCell ref="X80:X81"/>
    <mergeCell ref="Z80:Z81"/>
    <mergeCell ref="AA80:AA81"/>
    <mergeCell ref="AB80:AB81"/>
    <mergeCell ref="B78:B79"/>
    <mergeCell ref="C78:C79"/>
    <mergeCell ref="D78:D79"/>
    <mergeCell ref="E78:E79"/>
    <mergeCell ref="F78:F79"/>
    <mergeCell ref="H78:H79"/>
    <mergeCell ref="J78:J79"/>
    <mergeCell ref="L78:L79"/>
    <mergeCell ref="N78:N79"/>
    <mergeCell ref="P78:P79"/>
    <mergeCell ref="R78:R79"/>
    <mergeCell ref="T78:T79"/>
    <mergeCell ref="V78:V79"/>
    <mergeCell ref="X78:X79"/>
    <mergeCell ref="Z78:Z79"/>
    <mergeCell ref="AA78:AA79"/>
    <mergeCell ref="AB78:AB79"/>
    <mergeCell ref="B76:B77"/>
    <mergeCell ref="C76:C77"/>
    <mergeCell ref="D76:D77"/>
    <mergeCell ref="E76:E77"/>
    <mergeCell ref="F76:F77"/>
    <mergeCell ref="H76:H77"/>
    <mergeCell ref="J76:J77"/>
    <mergeCell ref="L76:L77"/>
    <mergeCell ref="N76:N77"/>
    <mergeCell ref="P76:P77"/>
    <mergeCell ref="R76:R77"/>
    <mergeCell ref="T76:T77"/>
    <mergeCell ref="V76:V77"/>
    <mergeCell ref="X76:X77"/>
    <mergeCell ref="Z76:Z77"/>
    <mergeCell ref="AA76:AA77"/>
    <mergeCell ref="AB76:AB77"/>
    <mergeCell ref="AV72:AV73"/>
    <mergeCell ref="V70:V71"/>
    <mergeCell ref="L70:L71"/>
    <mergeCell ref="N68:N69"/>
    <mergeCell ref="P68:P69"/>
    <mergeCell ref="B74:B75"/>
    <mergeCell ref="C74:C75"/>
    <mergeCell ref="D74:D75"/>
    <mergeCell ref="E74:E75"/>
    <mergeCell ref="F74:F75"/>
    <mergeCell ref="H74:H75"/>
    <mergeCell ref="J74:J75"/>
    <mergeCell ref="L74:L75"/>
    <mergeCell ref="N74:N75"/>
    <mergeCell ref="P74:P75"/>
    <mergeCell ref="R74:R75"/>
    <mergeCell ref="T74:T75"/>
    <mergeCell ref="V74:V75"/>
    <mergeCell ref="X74:X75"/>
    <mergeCell ref="Z74:Z75"/>
    <mergeCell ref="AA74:AA75"/>
    <mergeCell ref="AB74:AB75"/>
    <mergeCell ref="AV74:AV75"/>
    <mergeCell ref="B72:B73"/>
    <mergeCell ref="C72:C73"/>
    <mergeCell ref="D72:D73"/>
    <mergeCell ref="E72:E73"/>
    <mergeCell ref="F72:F73"/>
    <mergeCell ref="H72:H73"/>
    <mergeCell ref="J72:J73"/>
    <mergeCell ref="L72:L73"/>
    <mergeCell ref="N72:N73"/>
    <mergeCell ref="P72:P73"/>
    <mergeCell ref="R72:R73"/>
    <mergeCell ref="T72:T73"/>
    <mergeCell ref="V72:V73"/>
    <mergeCell ref="X72:X73"/>
    <mergeCell ref="Z72:Z73"/>
    <mergeCell ref="AA72:AA73"/>
    <mergeCell ref="AB72:AB73"/>
    <mergeCell ref="AV26:AV27"/>
    <mergeCell ref="AV28:AV29"/>
    <mergeCell ref="AV30:AV31"/>
    <mergeCell ref="AV32:AV33"/>
    <mergeCell ref="AV34:AV35"/>
    <mergeCell ref="AV36:AV37"/>
    <mergeCell ref="AV38:AV39"/>
    <mergeCell ref="AV40:AV41"/>
    <mergeCell ref="AV42:AV43"/>
    <mergeCell ref="R54:R55"/>
    <mergeCell ref="V54:V55"/>
    <mergeCell ref="P48:P49"/>
    <mergeCell ref="R48:R49"/>
    <mergeCell ref="V48:V49"/>
    <mergeCell ref="P44:P45"/>
    <mergeCell ref="P32:P33"/>
    <mergeCell ref="V28:V29"/>
    <mergeCell ref="Z42:Z43"/>
    <mergeCell ref="AA42:AA43"/>
    <mergeCell ref="X42:X43"/>
    <mergeCell ref="X44:X45"/>
    <mergeCell ref="Z44:Z45"/>
    <mergeCell ref="AA32:AA33"/>
    <mergeCell ref="AA30:AA31"/>
    <mergeCell ref="AB6:AB7"/>
    <mergeCell ref="AV46:AV47"/>
    <mergeCell ref="AV48:AV49"/>
    <mergeCell ref="AV50:AV51"/>
    <mergeCell ref="AV52:AV53"/>
    <mergeCell ref="AV54:AV55"/>
    <mergeCell ref="AV68:AV69"/>
    <mergeCell ref="AV70:AV71"/>
    <mergeCell ref="AV56:AV57"/>
    <mergeCell ref="AV58:AV59"/>
    <mergeCell ref="AV60:AV61"/>
    <mergeCell ref="AV62:AV63"/>
    <mergeCell ref="AV64:AV65"/>
    <mergeCell ref="AV66:AV67"/>
    <mergeCell ref="L68:L69"/>
    <mergeCell ref="B70:B71"/>
    <mergeCell ref="C70:C71"/>
    <mergeCell ref="D70:D71"/>
    <mergeCell ref="E70:E71"/>
    <mergeCell ref="F70:F71"/>
    <mergeCell ref="H70:H71"/>
    <mergeCell ref="H68:H69"/>
    <mergeCell ref="J70:J71"/>
    <mergeCell ref="N70:N71"/>
    <mergeCell ref="P70:P71"/>
    <mergeCell ref="R70:R71"/>
    <mergeCell ref="L66:L67"/>
    <mergeCell ref="B64:B65"/>
    <mergeCell ref="C64:C65"/>
    <mergeCell ref="D64:D65"/>
    <mergeCell ref="E64:E65"/>
    <mergeCell ref="F64:F65"/>
    <mergeCell ref="BA4:BB4"/>
    <mergeCell ref="BC4:BD4"/>
    <mergeCell ref="BE4:BF4"/>
    <mergeCell ref="X70:X71"/>
    <mergeCell ref="X68:X69"/>
    <mergeCell ref="Z70:Z71"/>
    <mergeCell ref="Z66:Z67"/>
    <mergeCell ref="Z36:Z37"/>
    <mergeCell ref="AA36:AA37"/>
    <mergeCell ref="Z6:Z7"/>
    <mergeCell ref="AV6:AV7"/>
    <mergeCell ref="AV8:AV9"/>
    <mergeCell ref="AV12:AV13"/>
    <mergeCell ref="AV14:AV15"/>
    <mergeCell ref="AV16:AV17"/>
    <mergeCell ref="AV18:AV19"/>
    <mergeCell ref="AV20:AV21"/>
    <mergeCell ref="AV22:AV23"/>
    <mergeCell ref="AV24:AV25"/>
    <mergeCell ref="X54:X55"/>
    <mergeCell ref="AB8:AB9"/>
    <mergeCell ref="X26:X27"/>
    <mergeCell ref="Z16:Z17"/>
    <mergeCell ref="Z20:Z21"/>
    <mergeCell ref="Z30:Z31"/>
    <mergeCell ref="X28:X29"/>
    <mergeCell ref="Z46:Z47"/>
    <mergeCell ref="AA46:AA47"/>
    <mergeCell ref="X46:X47"/>
    <mergeCell ref="X48:X49"/>
    <mergeCell ref="Z48:Z49"/>
    <mergeCell ref="AA44:AA45"/>
    <mergeCell ref="H64:H65"/>
    <mergeCell ref="N66:N67"/>
    <mergeCell ref="P66:P67"/>
    <mergeCell ref="R66:R67"/>
    <mergeCell ref="V66:V67"/>
    <mergeCell ref="T66:T67"/>
    <mergeCell ref="N64:N65"/>
    <mergeCell ref="C68:C69"/>
    <mergeCell ref="D68:D69"/>
    <mergeCell ref="E68:E69"/>
    <mergeCell ref="F68:F69"/>
    <mergeCell ref="P64:P65"/>
    <mergeCell ref="R64:R65"/>
    <mergeCell ref="J64:J65"/>
    <mergeCell ref="L64:L65"/>
    <mergeCell ref="H66:H67"/>
    <mergeCell ref="J66:J67"/>
    <mergeCell ref="V68:V69"/>
    <mergeCell ref="T68:T69"/>
    <mergeCell ref="R68:R69"/>
    <mergeCell ref="B66:B67"/>
    <mergeCell ref="C66:C67"/>
    <mergeCell ref="D66:D67"/>
    <mergeCell ref="E66:E67"/>
    <mergeCell ref="F66:F67"/>
    <mergeCell ref="B68:B69"/>
    <mergeCell ref="J68:J69"/>
    <mergeCell ref="R60:R61"/>
    <mergeCell ref="V60:V61"/>
    <mergeCell ref="T60:T61"/>
    <mergeCell ref="F60:F61"/>
    <mergeCell ref="H60:H61"/>
    <mergeCell ref="J60:J61"/>
    <mergeCell ref="L60:L61"/>
    <mergeCell ref="B62:B63"/>
    <mergeCell ref="C62:C63"/>
    <mergeCell ref="D62:D63"/>
    <mergeCell ref="E62:E63"/>
    <mergeCell ref="N60:N61"/>
    <mergeCell ref="P60:P61"/>
    <mergeCell ref="C60:C61"/>
    <mergeCell ref="D60:D61"/>
    <mergeCell ref="E60:E61"/>
    <mergeCell ref="N62:N63"/>
    <mergeCell ref="P62:P63"/>
    <mergeCell ref="R62:R63"/>
    <mergeCell ref="V62:V63"/>
    <mergeCell ref="F62:F63"/>
    <mergeCell ref="H62:H63"/>
    <mergeCell ref="J62:J63"/>
    <mergeCell ref="L62:L63"/>
    <mergeCell ref="B60:B61"/>
    <mergeCell ref="F56:F57"/>
    <mergeCell ref="H56:H57"/>
    <mergeCell ref="J56:J57"/>
    <mergeCell ref="L56:L57"/>
    <mergeCell ref="N56:N57"/>
    <mergeCell ref="P56:P57"/>
    <mergeCell ref="R56:R57"/>
    <mergeCell ref="N58:N59"/>
    <mergeCell ref="P58:P59"/>
    <mergeCell ref="R58:R59"/>
    <mergeCell ref="V58:V59"/>
    <mergeCell ref="F58:F59"/>
    <mergeCell ref="H58:H59"/>
    <mergeCell ref="J58:J59"/>
    <mergeCell ref="L58:L59"/>
    <mergeCell ref="T58:T59"/>
    <mergeCell ref="N54:N55"/>
    <mergeCell ref="F54:F55"/>
    <mergeCell ref="H54:H55"/>
    <mergeCell ref="J54:J55"/>
    <mergeCell ref="L54:L55"/>
    <mergeCell ref="T54:T55"/>
    <mergeCell ref="P54:P55"/>
    <mergeCell ref="F48:F49"/>
    <mergeCell ref="H48:H49"/>
    <mergeCell ref="J48:J49"/>
    <mergeCell ref="L48:L49"/>
    <mergeCell ref="N48:N49"/>
    <mergeCell ref="P50:P51"/>
    <mergeCell ref="R50:R51"/>
    <mergeCell ref="V50:V51"/>
    <mergeCell ref="F50:F51"/>
    <mergeCell ref="H50:H51"/>
    <mergeCell ref="J50:J51"/>
    <mergeCell ref="L50:L51"/>
    <mergeCell ref="P52:P53"/>
    <mergeCell ref="R52:R53"/>
    <mergeCell ref="V52:V53"/>
    <mergeCell ref="F52:F53"/>
    <mergeCell ref="H52:H53"/>
    <mergeCell ref="J52:J53"/>
    <mergeCell ref="L52:L53"/>
    <mergeCell ref="N50:N51"/>
    <mergeCell ref="N52:N53"/>
    <mergeCell ref="T48:T49"/>
    <mergeCell ref="N44:N45"/>
    <mergeCell ref="R44:R45"/>
    <mergeCell ref="N46:N47"/>
    <mergeCell ref="P46:P47"/>
    <mergeCell ref="R46:R47"/>
    <mergeCell ref="V46:V47"/>
    <mergeCell ref="F46:F47"/>
    <mergeCell ref="H46:H47"/>
    <mergeCell ref="J46:J47"/>
    <mergeCell ref="L46:L47"/>
    <mergeCell ref="F44:F45"/>
    <mergeCell ref="H44:H45"/>
    <mergeCell ref="J44:J45"/>
    <mergeCell ref="L44:L45"/>
    <mergeCell ref="T46:T47"/>
    <mergeCell ref="T42:T43"/>
    <mergeCell ref="V44:V45"/>
    <mergeCell ref="T44:T45"/>
    <mergeCell ref="V42:V43"/>
    <mergeCell ref="R42:R43"/>
    <mergeCell ref="L40:L41"/>
    <mergeCell ref="N40:N41"/>
    <mergeCell ref="P40:P41"/>
    <mergeCell ref="R40:R41"/>
    <mergeCell ref="L38:L39"/>
    <mergeCell ref="N38:N39"/>
    <mergeCell ref="P38:P39"/>
    <mergeCell ref="R38:R39"/>
    <mergeCell ref="F40:F41"/>
    <mergeCell ref="H40:H41"/>
    <mergeCell ref="F42:F43"/>
    <mergeCell ref="J40:J41"/>
    <mergeCell ref="D42:D43"/>
    <mergeCell ref="D40:D41"/>
    <mergeCell ref="E40:E41"/>
    <mergeCell ref="B42:B43"/>
    <mergeCell ref="H42:H43"/>
    <mergeCell ref="J42:J43"/>
    <mergeCell ref="L42:L43"/>
    <mergeCell ref="N42:N43"/>
    <mergeCell ref="P42:P43"/>
    <mergeCell ref="L30:L31"/>
    <mergeCell ref="N30:N31"/>
    <mergeCell ref="L28:L29"/>
    <mergeCell ref="N28:N29"/>
    <mergeCell ref="P30:P31"/>
    <mergeCell ref="J28:J29"/>
    <mergeCell ref="J38:J39"/>
    <mergeCell ref="H36:H37"/>
    <mergeCell ref="B38:B39"/>
    <mergeCell ref="F38:F39"/>
    <mergeCell ref="H38:H39"/>
    <mergeCell ref="J36:J37"/>
    <mergeCell ref="C38:C39"/>
    <mergeCell ref="V8:V9"/>
    <mergeCell ref="X8:X9"/>
    <mergeCell ref="V12:V13"/>
    <mergeCell ref="X12:X13"/>
    <mergeCell ref="V14:V15"/>
    <mergeCell ref="X14:X15"/>
    <mergeCell ref="V20:V21"/>
    <mergeCell ref="X20:X21"/>
    <mergeCell ref="V22:V23"/>
    <mergeCell ref="X22:X23"/>
    <mergeCell ref="V18:V19"/>
    <mergeCell ref="X18:X19"/>
    <mergeCell ref="C34:C35"/>
    <mergeCell ref="F30:F31"/>
    <mergeCell ref="F18:F19"/>
    <mergeCell ref="F36:F37"/>
    <mergeCell ref="L36:L37"/>
    <mergeCell ref="J18:J19"/>
    <mergeCell ref="L18:L19"/>
    <mergeCell ref="AA34:AA35"/>
    <mergeCell ref="V34:V35"/>
    <mergeCell ref="L34:L35"/>
    <mergeCell ref="N34:N35"/>
    <mergeCell ref="N36:N37"/>
    <mergeCell ref="X3:AB3"/>
    <mergeCell ref="E32:E33"/>
    <mergeCell ref="F32:F33"/>
    <mergeCell ref="H32:H33"/>
    <mergeCell ref="L32:L33"/>
    <mergeCell ref="N32:N33"/>
    <mergeCell ref="V16:V17"/>
    <mergeCell ref="Z4:Z5"/>
    <mergeCell ref="AA4:AA5"/>
    <mergeCell ref="R32:R33"/>
    <mergeCell ref="J32:J33"/>
    <mergeCell ref="D4:D5"/>
    <mergeCell ref="E4:E5"/>
    <mergeCell ref="F4:Y4"/>
    <mergeCell ref="N5:O5"/>
    <mergeCell ref="P8:P9"/>
    <mergeCell ref="R8:R9"/>
    <mergeCell ref="T22:T23"/>
    <mergeCell ref="V5:W5"/>
    <mergeCell ref="AA6:AA7"/>
    <mergeCell ref="X5:Y5"/>
    <mergeCell ref="F5:G5"/>
    <mergeCell ref="H5:I5"/>
    <mergeCell ref="T5:U5"/>
    <mergeCell ref="P5:Q5"/>
    <mergeCell ref="R5:S5"/>
    <mergeCell ref="Z8:Z9"/>
    <mergeCell ref="Z14:Z15"/>
    <mergeCell ref="Z22:Z23"/>
    <mergeCell ref="AA14:AA15"/>
    <mergeCell ref="AA22:AA23"/>
    <mergeCell ref="F34:F35"/>
    <mergeCell ref="H34:H35"/>
    <mergeCell ref="P36:P37"/>
    <mergeCell ref="V36:V37"/>
    <mergeCell ref="X36:X37"/>
    <mergeCell ref="R36:R37"/>
    <mergeCell ref="T36:T37"/>
    <mergeCell ref="F6:F7"/>
    <mergeCell ref="H6:H7"/>
    <mergeCell ref="J6:J7"/>
    <mergeCell ref="L6:L7"/>
    <mergeCell ref="H8:H9"/>
    <mergeCell ref="J8:J9"/>
    <mergeCell ref="L8:L9"/>
    <mergeCell ref="F8:F9"/>
    <mergeCell ref="V6:V7"/>
    <mergeCell ref="X6:X7"/>
    <mergeCell ref="T6:T7"/>
    <mergeCell ref="F12:F13"/>
    <mergeCell ref="F14:F15"/>
    <mergeCell ref="F16:F17"/>
    <mergeCell ref="H26:H27"/>
    <mergeCell ref="H24:H25"/>
    <mergeCell ref="H28:H29"/>
    <mergeCell ref="H14:H15"/>
    <mergeCell ref="H22:H23"/>
    <mergeCell ref="H30:H31"/>
    <mergeCell ref="N18:N19"/>
    <mergeCell ref="R28:R29"/>
    <mergeCell ref="J26:J27"/>
    <mergeCell ref="L26:L27"/>
    <mergeCell ref="N26:N27"/>
    <mergeCell ref="P26:P27"/>
    <mergeCell ref="P24:P25"/>
    <mergeCell ref="P28:P29"/>
    <mergeCell ref="P16:P17"/>
    <mergeCell ref="L22:L23"/>
    <mergeCell ref="N22:N23"/>
    <mergeCell ref="P22:P23"/>
    <mergeCell ref="R22:R23"/>
    <mergeCell ref="L20:L21"/>
    <mergeCell ref="R20:R21"/>
    <mergeCell ref="J16:J17"/>
    <mergeCell ref="L16:L17"/>
    <mergeCell ref="N16:N17"/>
    <mergeCell ref="P18:P19"/>
    <mergeCell ref="R18:R19"/>
    <mergeCell ref="R16:R17"/>
    <mergeCell ref="R26:R27"/>
    <mergeCell ref="J30:J31"/>
    <mergeCell ref="F20:F21"/>
    <mergeCell ref="F22:F23"/>
    <mergeCell ref="H20:H21"/>
    <mergeCell ref="J34:J35"/>
    <mergeCell ref="H12:H13"/>
    <mergeCell ref="J12:J13"/>
    <mergeCell ref="J14:J15"/>
    <mergeCell ref="H16:H17"/>
    <mergeCell ref="T14:T15"/>
    <mergeCell ref="AA8:AA9"/>
    <mergeCell ref="T20:T21"/>
    <mergeCell ref="AA20:AA21"/>
    <mergeCell ref="T18:T19"/>
    <mergeCell ref="AA12:AA13"/>
    <mergeCell ref="Z12:Z13"/>
    <mergeCell ref="T8:T9"/>
    <mergeCell ref="X16:X17"/>
    <mergeCell ref="T12:T13"/>
    <mergeCell ref="T16:T17"/>
    <mergeCell ref="T24:T25"/>
    <mergeCell ref="R24:R25"/>
    <mergeCell ref="J24:J25"/>
    <mergeCell ref="L24:L25"/>
    <mergeCell ref="N24:N25"/>
    <mergeCell ref="P20:P21"/>
    <mergeCell ref="N20:N21"/>
    <mergeCell ref="J22:J23"/>
    <mergeCell ref="P12:P13"/>
    <mergeCell ref="R12:R13"/>
    <mergeCell ref="P14:P15"/>
    <mergeCell ref="H18:H19"/>
    <mergeCell ref="AA24:AA25"/>
    <mergeCell ref="N8:N9"/>
    <mergeCell ref="L12:L13"/>
    <mergeCell ref="N12:N13"/>
    <mergeCell ref="L14:L15"/>
    <mergeCell ref="N14:N15"/>
    <mergeCell ref="AA40:AA41"/>
    <mergeCell ref="T38:T39"/>
    <mergeCell ref="Z38:Z39"/>
    <mergeCell ref="AA38:AA39"/>
    <mergeCell ref="V40:V41"/>
    <mergeCell ref="X40:X41"/>
    <mergeCell ref="T40:T41"/>
    <mergeCell ref="Z40:Z41"/>
    <mergeCell ref="X38:X39"/>
    <mergeCell ref="V38:V39"/>
    <mergeCell ref="T28:T29"/>
    <mergeCell ref="AA28:AA29"/>
    <mergeCell ref="T26:T27"/>
    <mergeCell ref="AA26:AA27"/>
    <mergeCell ref="V24:V25"/>
    <mergeCell ref="X24:X25"/>
    <mergeCell ref="V26:V27"/>
    <mergeCell ref="Z28:Z29"/>
    <mergeCell ref="Z24:Z25"/>
    <mergeCell ref="Z26:Z27"/>
    <mergeCell ref="R30:R31"/>
    <mergeCell ref="T30:T31"/>
    <mergeCell ref="T32:T33"/>
    <mergeCell ref="V32:V33"/>
    <mergeCell ref="X32:X33"/>
    <mergeCell ref="Z32:Z33"/>
    <mergeCell ref="P34:P35"/>
    <mergeCell ref="R34:R35"/>
    <mergeCell ref="T34:T35"/>
    <mergeCell ref="X34:X35"/>
    <mergeCell ref="AA58:AA59"/>
    <mergeCell ref="X60:X61"/>
    <mergeCell ref="AA66:AA67"/>
    <mergeCell ref="X66:X67"/>
    <mergeCell ref="V64:V65"/>
    <mergeCell ref="T64:T65"/>
    <mergeCell ref="Z64:Z65"/>
    <mergeCell ref="AA64:AA65"/>
    <mergeCell ref="T62:T63"/>
    <mergeCell ref="Z62:Z63"/>
    <mergeCell ref="AA70:AA71"/>
    <mergeCell ref="Z68:Z69"/>
    <mergeCell ref="AA68:AA69"/>
    <mergeCell ref="Z54:Z55"/>
    <mergeCell ref="AA54:AA55"/>
    <mergeCell ref="X56:X57"/>
    <mergeCell ref="X62:X63"/>
    <mergeCell ref="X64:X65"/>
    <mergeCell ref="AA60:AA61"/>
    <mergeCell ref="Z58:Z59"/>
    <mergeCell ref="T56:T57"/>
    <mergeCell ref="X58:X59"/>
    <mergeCell ref="AA62:AA63"/>
    <mergeCell ref="Z56:Z57"/>
    <mergeCell ref="AA56:AA57"/>
    <mergeCell ref="V56:V57"/>
    <mergeCell ref="Z60:Z61"/>
    <mergeCell ref="Z34:Z35"/>
    <mergeCell ref="E12:E13"/>
    <mergeCell ref="B14:B15"/>
    <mergeCell ref="T70:T71"/>
    <mergeCell ref="AA52:AA53"/>
    <mergeCell ref="T50:T51"/>
    <mergeCell ref="Z50:Z51"/>
    <mergeCell ref="AA50:AA51"/>
    <mergeCell ref="X50:X51"/>
    <mergeCell ref="X52:X53"/>
    <mergeCell ref="Z52:Z53"/>
    <mergeCell ref="T52:T53"/>
    <mergeCell ref="AA48:AA49"/>
    <mergeCell ref="C4:C5"/>
    <mergeCell ref="A8:A9"/>
    <mergeCell ref="B8:B9"/>
    <mergeCell ref="C8:C9"/>
    <mergeCell ref="B6:B7"/>
    <mergeCell ref="C6:C7"/>
    <mergeCell ref="E44:E45"/>
    <mergeCell ref="C14:C15"/>
    <mergeCell ref="D14:D15"/>
    <mergeCell ref="E14:E15"/>
    <mergeCell ref="C48:C49"/>
    <mergeCell ref="D48:D49"/>
    <mergeCell ref="B44:B45"/>
    <mergeCell ref="C44:C45"/>
    <mergeCell ref="D44:D45"/>
    <mergeCell ref="E42:E43"/>
    <mergeCell ref="E24:E25"/>
    <mergeCell ref="D38:D39"/>
    <mergeCell ref="E38:E39"/>
    <mergeCell ref="E36:E37"/>
    <mergeCell ref="AB12:AB13"/>
    <mergeCell ref="AB14:AB15"/>
    <mergeCell ref="AB16:AB17"/>
    <mergeCell ref="AB18:AB19"/>
    <mergeCell ref="AB20:AB21"/>
    <mergeCell ref="AB4:AB5"/>
    <mergeCell ref="A6:A7"/>
    <mergeCell ref="N6:N7"/>
    <mergeCell ref="P6:P7"/>
    <mergeCell ref="R6:R7"/>
    <mergeCell ref="A4:A5"/>
    <mergeCell ref="J5:K5"/>
    <mergeCell ref="L5:M5"/>
    <mergeCell ref="B4:B5"/>
    <mergeCell ref="D6:D7"/>
    <mergeCell ref="E6:E7"/>
    <mergeCell ref="D8:D9"/>
    <mergeCell ref="E8:E9"/>
    <mergeCell ref="E18:E19"/>
    <mergeCell ref="E20:E21"/>
    <mergeCell ref="D20:D21"/>
    <mergeCell ref="B16:B17"/>
    <mergeCell ref="C16:C17"/>
    <mergeCell ref="D16:D17"/>
    <mergeCell ref="E16:E17"/>
    <mergeCell ref="B18:B19"/>
    <mergeCell ref="C18:C19"/>
    <mergeCell ref="D18:D19"/>
    <mergeCell ref="B20:B21"/>
    <mergeCell ref="C20:C21"/>
    <mergeCell ref="C12:C13"/>
    <mergeCell ref="D12:D13"/>
    <mergeCell ref="B58:B59"/>
    <mergeCell ref="C58:C59"/>
    <mergeCell ref="B54:B55"/>
    <mergeCell ref="D52:D53"/>
    <mergeCell ref="E52:E53"/>
    <mergeCell ref="E58:E59"/>
    <mergeCell ref="C56:C57"/>
    <mergeCell ref="D56:D57"/>
    <mergeCell ref="E56:E57"/>
    <mergeCell ref="C54:C55"/>
    <mergeCell ref="D58:D59"/>
    <mergeCell ref="E54:E55"/>
    <mergeCell ref="D54:D55"/>
    <mergeCell ref="E48:E49"/>
    <mergeCell ref="B34:B35"/>
    <mergeCell ref="C30:C31"/>
    <mergeCell ref="D30:D31"/>
    <mergeCell ref="D34:D35"/>
    <mergeCell ref="E34:E35"/>
    <mergeCell ref="B36:B37"/>
    <mergeCell ref="C36:C37"/>
    <mergeCell ref="D36:D37"/>
    <mergeCell ref="B40:B41"/>
    <mergeCell ref="C40:C41"/>
    <mergeCell ref="C52:C53"/>
    <mergeCell ref="B46:B47"/>
    <mergeCell ref="C46:C47"/>
    <mergeCell ref="D46:D47"/>
    <mergeCell ref="E46:E47"/>
    <mergeCell ref="B50:B51"/>
    <mergeCell ref="C50:C51"/>
    <mergeCell ref="D50:D51"/>
    <mergeCell ref="E50:E51"/>
    <mergeCell ref="C42:C43"/>
    <mergeCell ref="AW50:AX50"/>
    <mergeCell ref="AZ50:BA50"/>
    <mergeCell ref="AW38:AX38"/>
    <mergeCell ref="AW41:AX41"/>
    <mergeCell ref="AW44:AX44"/>
    <mergeCell ref="BG14:BH14"/>
    <mergeCell ref="AB54:AB55"/>
    <mergeCell ref="AB56:AB57"/>
    <mergeCell ref="AV44:AV45"/>
    <mergeCell ref="B56:B57"/>
    <mergeCell ref="B52:B53"/>
    <mergeCell ref="B48:B49"/>
    <mergeCell ref="B24:B25"/>
    <mergeCell ref="C24:C25"/>
    <mergeCell ref="D24:D25"/>
    <mergeCell ref="B26:B27"/>
    <mergeCell ref="B28:B29"/>
    <mergeCell ref="C28:C29"/>
    <mergeCell ref="D28:D29"/>
    <mergeCell ref="E28:E29"/>
    <mergeCell ref="D22:D23"/>
    <mergeCell ref="E22:E23"/>
    <mergeCell ref="B22:B23"/>
    <mergeCell ref="V30:V31"/>
    <mergeCell ref="X30:X31"/>
    <mergeCell ref="R14:R15"/>
    <mergeCell ref="F24:F25"/>
    <mergeCell ref="F26:F27"/>
    <mergeCell ref="J20:J21"/>
    <mergeCell ref="F28:F29"/>
    <mergeCell ref="AB58:AB59"/>
    <mergeCell ref="AB68:AB69"/>
    <mergeCell ref="AB70:AB71"/>
    <mergeCell ref="AB60:AB61"/>
    <mergeCell ref="AB62:AB63"/>
    <mergeCell ref="AB64:AB65"/>
    <mergeCell ref="AB66:AB67"/>
    <mergeCell ref="AB42:AB43"/>
    <mergeCell ref="AB44:AB45"/>
    <mergeCell ref="AB22:AB23"/>
    <mergeCell ref="AB48:AB49"/>
    <mergeCell ref="AB50:AB51"/>
    <mergeCell ref="AB52:AB53"/>
    <mergeCell ref="AB46:AB47"/>
    <mergeCell ref="AB24:AB25"/>
    <mergeCell ref="AB26:AB27"/>
    <mergeCell ref="AB28:AB29"/>
    <mergeCell ref="AB30:AB31"/>
    <mergeCell ref="AB32:AB33"/>
    <mergeCell ref="AB34:AB35"/>
    <mergeCell ref="AB36:AB37"/>
    <mergeCell ref="AB38:AB39"/>
    <mergeCell ref="AB40:AB41"/>
    <mergeCell ref="BI14:BJ14"/>
    <mergeCell ref="BL13:BO13"/>
    <mergeCell ref="BL14:BM14"/>
    <mergeCell ref="BN14:BO14"/>
    <mergeCell ref="AW12:AX12"/>
    <mergeCell ref="AY12:AZ12"/>
    <mergeCell ref="AW9:AZ9"/>
    <mergeCell ref="BB9:BE9"/>
    <mergeCell ref="BB12:BC12"/>
    <mergeCell ref="BD12:BE12"/>
    <mergeCell ref="BI3:BI4"/>
    <mergeCell ref="B2:F2"/>
    <mergeCell ref="G2:AB2"/>
    <mergeCell ref="B3:P3"/>
    <mergeCell ref="Q3:W3"/>
    <mergeCell ref="B12:B13"/>
    <mergeCell ref="AW47:AX47"/>
    <mergeCell ref="BC47:BD47"/>
    <mergeCell ref="BC44:BD44"/>
    <mergeCell ref="BG13:BJ13"/>
    <mergeCell ref="AA16:AA17"/>
    <mergeCell ref="AA18:AA19"/>
    <mergeCell ref="Z18:Z19"/>
    <mergeCell ref="B32:B33"/>
    <mergeCell ref="C32:C33"/>
    <mergeCell ref="D32:D33"/>
    <mergeCell ref="B30:B31"/>
    <mergeCell ref="E30:E31"/>
    <mergeCell ref="C26:C27"/>
    <mergeCell ref="D26:D27"/>
    <mergeCell ref="E26:E27"/>
    <mergeCell ref="C22:C23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  <mergeCell ref="AQ4:AQ5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AR6:AR7"/>
    <mergeCell ref="AC8:AC9"/>
    <mergeCell ref="AD8:AD9"/>
    <mergeCell ref="AE8:AE9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C12:AC13"/>
    <mergeCell ref="AD12:AD13"/>
    <mergeCell ref="AE12:AE13"/>
    <mergeCell ref="AF12:AF13"/>
    <mergeCell ref="AG12:AG13"/>
    <mergeCell ref="AH12:AH13"/>
    <mergeCell ref="AI12:AI13"/>
    <mergeCell ref="AJ12:AJ13"/>
    <mergeCell ref="AK12:AK13"/>
    <mergeCell ref="AL12:AL13"/>
    <mergeCell ref="AM12:AM13"/>
    <mergeCell ref="AN12:AN13"/>
    <mergeCell ref="AO12:AO13"/>
    <mergeCell ref="AP12:AP13"/>
    <mergeCell ref="AQ12:AQ13"/>
    <mergeCell ref="AR12:AR13"/>
    <mergeCell ref="AC14:AC15"/>
    <mergeCell ref="AD14:AD15"/>
    <mergeCell ref="AE14:AE15"/>
    <mergeCell ref="AF14:AF15"/>
    <mergeCell ref="AG14:AG15"/>
    <mergeCell ref="AH14:AH15"/>
    <mergeCell ref="AI14:AI15"/>
    <mergeCell ref="AJ14:AJ15"/>
    <mergeCell ref="AK14:AK15"/>
    <mergeCell ref="AL14:AL15"/>
    <mergeCell ref="AM14:AM15"/>
    <mergeCell ref="AN14:AN15"/>
    <mergeCell ref="AO14:AO15"/>
    <mergeCell ref="AP14:AP15"/>
    <mergeCell ref="AQ14:AQ15"/>
    <mergeCell ref="AR14:AR15"/>
    <mergeCell ref="AC16:AC17"/>
    <mergeCell ref="AD16:AD17"/>
    <mergeCell ref="AE16:AE17"/>
    <mergeCell ref="AF16:AF17"/>
    <mergeCell ref="AG16:AG17"/>
    <mergeCell ref="AH16:AH17"/>
    <mergeCell ref="AI16:AI17"/>
    <mergeCell ref="AJ16:AJ17"/>
    <mergeCell ref="AK16:AK17"/>
    <mergeCell ref="AL16:AL17"/>
    <mergeCell ref="AM16:AM17"/>
    <mergeCell ref="AN16:AN17"/>
    <mergeCell ref="AO16:AO17"/>
    <mergeCell ref="AP16:AP17"/>
    <mergeCell ref="AQ16:AQ17"/>
    <mergeCell ref="AR16:AR17"/>
    <mergeCell ref="AC18:AC19"/>
    <mergeCell ref="AD18:AD19"/>
    <mergeCell ref="AE18:AE19"/>
    <mergeCell ref="AF18:AF19"/>
    <mergeCell ref="AG18:AG19"/>
    <mergeCell ref="AH18:AH19"/>
    <mergeCell ref="AI18:AI19"/>
    <mergeCell ref="AJ18:AJ19"/>
    <mergeCell ref="AK18:AK19"/>
    <mergeCell ref="AL18:AL19"/>
    <mergeCell ref="AM18:AM19"/>
    <mergeCell ref="AN18:AN19"/>
    <mergeCell ref="AO18:AO19"/>
    <mergeCell ref="AP18:AP19"/>
    <mergeCell ref="AQ18:AQ19"/>
    <mergeCell ref="AR18:AR19"/>
    <mergeCell ref="AC20:AC21"/>
    <mergeCell ref="AD20:AD21"/>
    <mergeCell ref="AE20:AE21"/>
    <mergeCell ref="AF20:AF21"/>
    <mergeCell ref="AG20:AG21"/>
    <mergeCell ref="AH20:AH21"/>
    <mergeCell ref="AI20:AI21"/>
    <mergeCell ref="AJ20:AJ21"/>
    <mergeCell ref="AK20:AK21"/>
    <mergeCell ref="AL20:AL21"/>
    <mergeCell ref="AM20:AM21"/>
    <mergeCell ref="AN20:AN21"/>
    <mergeCell ref="AO20:AO21"/>
    <mergeCell ref="AP20:AP21"/>
    <mergeCell ref="AQ20:AQ21"/>
    <mergeCell ref="AR20:AR21"/>
    <mergeCell ref="AC22:AC23"/>
    <mergeCell ref="AD22:AD23"/>
    <mergeCell ref="AE22:AE23"/>
    <mergeCell ref="AF22:AF23"/>
    <mergeCell ref="AG22:AG23"/>
    <mergeCell ref="AH22:AH23"/>
    <mergeCell ref="AI22:AI23"/>
    <mergeCell ref="AJ22:AJ23"/>
    <mergeCell ref="AK22:AK23"/>
    <mergeCell ref="AL22:AL23"/>
    <mergeCell ref="AM22:AM23"/>
    <mergeCell ref="AN22:AN23"/>
    <mergeCell ref="AO22:AO23"/>
    <mergeCell ref="AP22:AP23"/>
    <mergeCell ref="AQ22:AQ23"/>
    <mergeCell ref="AR22:AR23"/>
    <mergeCell ref="AC24:AC25"/>
    <mergeCell ref="AD24:AD25"/>
    <mergeCell ref="AE24:AE25"/>
    <mergeCell ref="AF24:AF25"/>
    <mergeCell ref="AG24:AG25"/>
    <mergeCell ref="AH24:AH25"/>
    <mergeCell ref="AI24:AI25"/>
    <mergeCell ref="AJ24:AJ25"/>
    <mergeCell ref="AK24:AK25"/>
    <mergeCell ref="AL24:AL25"/>
    <mergeCell ref="AM24:AM25"/>
    <mergeCell ref="AN24:AN25"/>
    <mergeCell ref="AO24:AO25"/>
    <mergeCell ref="AP24:AP25"/>
    <mergeCell ref="AQ24:AQ25"/>
    <mergeCell ref="AR24:AR25"/>
    <mergeCell ref="AC26:AC27"/>
    <mergeCell ref="AD26:AD27"/>
    <mergeCell ref="AE26:AE27"/>
    <mergeCell ref="AF26:AF27"/>
    <mergeCell ref="AG26:AG27"/>
    <mergeCell ref="AH26:AH27"/>
    <mergeCell ref="AI26:AI27"/>
    <mergeCell ref="AJ26:AJ27"/>
    <mergeCell ref="AK26:AK27"/>
    <mergeCell ref="AL26:AL27"/>
    <mergeCell ref="AM26:AM27"/>
    <mergeCell ref="AN26:AN27"/>
    <mergeCell ref="AO26:AO27"/>
    <mergeCell ref="AP26:AP27"/>
    <mergeCell ref="AQ26:AQ27"/>
    <mergeCell ref="AR26:AR27"/>
    <mergeCell ref="AC28:AC29"/>
    <mergeCell ref="AD28:AD29"/>
    <mergeCell ref="AE28:AE29"/>
    <mergeCell ref="AF28:AF29"/>
    <mergeCell ref="AG28:AG29"/>
    <mergeCell ref="AH28:AH29"/>
    <mergeCell ref="AI28:AI29"/>
    <mergeCell ref="AJ28:AJ29"/>
    <mergeCell ref="AK28:AK29"/>
    <mergeCell ref="AL28:AL29"/>
    <mergeCell ref="AM28:AM29"/>
    <mergeCell ref="AN28:AN29"/>
    <mergeCell ref="AO28:AO29"/>
    <mergeCell ref="AP28:AP29"/>
    <mergeCell ref="AQ28:AQ29"/>
    <mergeCell ref="AR28:AR29"/>
    <mergeCell ref="AC30:AC31"/>
    <mergeCell ref="AD30:AD31"/>
    <mergeCell ref="AE30:AE31"/>
    <mergeCell ref="AF30:AF31"/>
    <mergeCell ref="AG30:AG31"/>
    <mergeCell ref="AH30:AH31"/>
    <mergeCell ref="AI30:AI31"/>
    <mergeCell ref="AJ30:AJ31"/>
    <mergeCell ref="AK30:AK31"/>
    <mergeCell ref="AL30:AL31"/>
    <mergeCell ref="AM30:AM31"/>
    <mergeCell ref="AN30:AN31"/>
    <mergeCell ref="AO30:AO31"/>
    <mergeCell ref="AP30:AP31"/>
    <mergeCell ref="AQ30:AQ31"/>
    <mergeCell ref="AR30:AR31"/>
    <mergeCell ref="AC32:AC33"/>
    <mergeCell ref="AD32:AD33"/>
    <mergeCell ref="AE32:AE33"/>
    <mergeCell ref="AF32:AF33"/>
    <mergeCell ref="AG32:AG33"/>
    <mergeCell ref="AH32:AH33"/>
    <mergeCell ref="AI32:AI33"/>
    <mergeCell ref="AJ32:AJ33"/>
    <mergeCell ref="AK32:AK33"/>
    <mergeCell ref="AL32:AL33"/>
    <mergeCell ref="AM32:AM33"/>
    <mergeCell ref="AN32:AN33"/>
    <mergeCell ref="AO32:AO33"/>
    <mergeCell ref="AP32:AP33"/>
    <mergeCell ref="AQ32:AQ33"/>
    <mergeCell ref="AR32:AR33"/>
    <mergeCell ref="AC34:AC35"/>
    <mergeCell ref="AD34:AD35"/>
    <mergeCell ref="AE34:AE35"/>
    <mergeCell ref="AF34:AF35"/>
    <mergeCell ref="AG34:AG35"/>
    <mergeCell ref="AH34:AH35"/>
    <mergeCell ref="AI34:AI35"/>
    <mergeCell ref="AJ34:AJ35"/>
    <mergeCell ref="AK34:AK35"/>
    <mergeCell ref="AL34:AL35"/>
    <mergeCell ref="AM34:AM35"/>
    <mergeCell ref="AN34:AN35"/>
    <mergeCell ref="AO34:AO35"/>
    <mergeCell ref="AP34:AP35"/>
    <mergeCell ref="AQ34:AQ35"/>
    <mergeCell ref="AR34:AR35"/>
    <mergeCell ref="AC36:AC37"/>
    <mergeCell ref="AD36:AD37"/>
    <mergeCell ref="AE36:AE37"/>
    <mergeCell ref="AF36:AF37"/>
    <mergeCell ref="AG36:AG37"/>
    <mergeCell ref="AH36:AH37"/>
    <mergeCell ref="AI36:AI37"/>
    <mergeCell ref="AJ36:AJ37"/>
    <mergeCell ref="AK36:AK37"/>
    <mergeCell ref="AL36:AL37"/>
    <mergeCell ref="AM36:AM37"/>
    <mergeCell ref="AN36:AN37"/>
    <mergeCell ref="AO36:AO37"/>
    <mergeCell ref="AP36:AP37"/>
    <mergeCell ref="AQ36:AQ37"/>
    <mergeCell ref="AR36:AR37"/>
    <mergeCell ref="AC38:AC39"/>
    <mergeCell ref="AD38:AD39"/>
    <mergeCell ref="AE38:AE39"/>
    <mergeCell ref="AF38:AF39"/>
    <mergeCell ref="AG38:AG39"/>
    <mergeCell ref="AH38:AH39"/>
    <mergeCell ref="AI38:AI39"/>
    <mergeCell ref="AJ38:AJ39"/>
    <mergeCell ref="AK38:AK39"/>
    <mergeCell ref="AL38:AL39"/>
    <mergeCell ref="AM38:AM39"/>
    <mergeCell ref="AN38:AN39"/>
    <mergeCell ref="AO38:AO39"/>
    <mergeCell ref="AP38:AP39"/>
    <mergeCell ref="AQ38:AQ39"/>
    <mergeCell ref="AR38:AR39"/>
    <mergeCell ref="AC40:AC41"/>
    <mergeCell ref="AD40:AD41"/>
    <mergeCell ref="AE40:AE41"/>
    <mergeCell ref="AF40:AF41"/>
    <mergeCell ref="AG40:AG41"/>
    <mergeCell ref="AH40:AH41"/>
    <mergeCell ref="AI40:AI41"/>
    <mergeCell ref="AJ40:AJ41"/>
    <mergeCell ref="AK40:AK41"/>
    <mergeCell ref="AL40:AL41"/>
    <mergeCell ref="AM40:AM41"/>
    <mergeCell ref="AN40:AN41"/>
    <mergeCell ref="AO40:AO41"/>
    <mergeCell ref="AP40:AP41"/>
    <mergeCell ref="AQ40:AQ41"/>
    <mergeCell ref="AR40:AR41"/>
    <mergeCell ref="AC42:AC43"/>
    <mergeCell ref="AD42:AD43"/>
    <mergeCell ref="AE42:AE43"/>
    <mergeCell ref="AF42:AF43"/>
    <mergeCell ref="AG42:AG43"/>
    <mergeCell ref="AH42:AH43"/>
    <mergeCell ref="AI42:AI43"/>
    <mergeCell ref="AJ42:AJ43"/>
    <mergeCell ref="AK42:AK43"/>
    <mergeCell ref="AL42:AL43"/>
    <mergeCell ref="AM42:AM43"/>
    <mergeCell ref="AN42:AN43"/>
    <mergeCell ref="AO42:AO43"/>
    <mergeCell ref="AP42:AP43"/>
    <mergeCell ref="AQ42:AQ43"/>
    <mergeCell ref="AR42:AR43"/>
    <mergeCell ref="AC44:AC45"/>
    <mergeCell ref="AD44:AD45"/>
    <mergeCell ref="AE44:AE45"/>
    <mergeCell ref="AF44:AF45"/>
    <mergeCell ref="AG44:AG45"/>
    <mergeCell ref="AH44:AH45"/>
    <mergeCell ref="AI44:AI45"/>
    <mergeCell ref="AJ44:AJ45"/>
    <mergeCell ref="AK44:AK45"/>
    <mergeCell ref="AL44:AL45"/>
    <mergeCell ref="AM44:AM45"/>
    <mergeCell ref="AN44:AN45"/>
    <mergeCell ref="AO44:AO45"/>
    <mergeCell ref="AP44:AP45"/>
    <mergeCell ref="AQ44:AQ45"/>
    <mergeCell ref="AR44:AR45"/>
    <mergeCell ref="AC46:AC47"/>
    <mergeCell ref="AD46:AD47"/>
    <mergeCell ref="AE46:AE47"/>
    <mergeCell ref="AF46:AF47"/>
    <mergeCell ref="AG46:AG47"/>
    <mergeCell ref="AH46:AH47"/>
    <mergeCell ref="AI46:AI47"/>
    <mergeCell ref="AJ46:AJ47"/>
    <mergeCell ref="AK46:AK47"/>
    <mergeCell ref="AL46:AL47"/>
    <mergeCell ref="AM46:AM47"/>
    <mergeCell ref="AN46:AN47"/>
    <mergeCell ref="AO46:AO47"/>
    <mergeCell ref="AP46:AP47"/>
    <mergeCell ref="AQ46:AQ47"/>
    <mergeCell ref="AR46:AR47"/>
    <mergeCell ref="AC48:AC49"/>
    <mergeCell ref="AD48:AD49"/>
    <mergeCell ref="AE48:AE49"/>
    <mergeCell ref="AF48:AF49"/>
    <mergeCell ref="AG48:AG49"/>
    <mergeCell ref="AH48:AH49"/>
    <mergeCell ref="AI48:AI49"/>
    <mergeCell ref="AJ48:AJ49"/>
    <mergeCell ref="AK48:AK49"/>
    <mergeCell ref="AL48:AL49"/>
    <mergeCell ref="AM48:AM49"/>
    <mergeCell ref="AN48:AN49"/>
    <mergeCell ref="AO48:AO49"/>
    <mergeCell ref="AP48:AP49"/>
    <mergeCell ref="AQ48:AQ49"/>
    <mergeCell ref="AR48:AR49"/>
    <mergeCell ref="AC50:AC51"/>
    <mergeCell ref="AD50:AD51"/>
    <mergeCell ref="AE50:AE51"/>
    <mergeCell ref="AF50:AF51"/>
    <mergeCell ref="AG50:AG51"/>
    <mergeCell ref="AH50:AH51"/>
    <mergeCell ref="AI50:AI51"/>
    <mergeCell ref="AJ50:AJ51"/>
    <mergeCell ref="AK50:AK51"/>
    <mergeCell ref="AL50:AL51"/>
    <mergeCell ref="AM50:AM51"/>
    <mergeCell ref="AN50:AN51"/>
    <mergeCell ref="AO50:AO51"/>
    <mergeCell ref="AP50:AP51"/>
    <mergeCell ref="AQ50:AQ51"/>
    <mergeCell ref="AR50:AR51"/>
    <mergeCell ref="AC52:AC53"/>
    <mergeCell ref="AD52:AD53"/>
    <mergeCell ref="AE52:AE53"/>
    <mergeCell ref="AF52:AF53"/>
    <mergeCell ref="AG52:AG53"/>
    <mergeCell ref="AH52:AH53"/>
    <mergeCell ref="AI52:AI53"/>
    <mergeCell ref="AJ52:AJ53"/>
    <mergeCell ref="AK52:AK53"/>
    <mergeCell ref="AL52:AL53"/>
    <mergeCell ref="AM52:AM53"/>
    <mergeCell ref="AN52:AN53"/>
    <mergeCell ref="AO52:AO53"/>
    <mergeCell ref="AP52:AP53"/>
    <mergeCell ref="AQ52:AQ53"/>
    <mergeCell ref="AR52:AR53"/>
    <mergeCell ref="AC54:AC55"/>
    <mergeCell ref="AD54:AD55"/>
    <mergeCell ref="AE54:AE55"/>
    <mergeCell ref="AF54:AF55"/>
    <mergeCell ref="AG54:AG55"/>
    <mergeCell ref="AH54:AH55"/>
    <mergeCell ref="AI54:AI55"/>
    <mergeCell ref="AJ54:AJ55"/>
    <mergeCell ref="AK54:AK55"/>
    <mergeCell ref="AL54:AL55"/>
    <mergeCell ref="AM54:AM55"/>
    <mergeCell ref="AN54:AN55"/>
    <mergeCell ref="AO54:AO55"/>
    <mergeCell ref="AP54:AP55"/>
    <mergeCell ref="AQ54:AQ55"/>
    <mergeCell ref="AR54:AR55"/>
    <mergeCell ref="AC56:AC57"/>
    <mergeCell ref="AD56:AD57"/>
    <mergeCell ref="AE56:AE57"/>
    <mergeCell ref="AF56:AF57"/>
    <mergeCell ref="AG56:AG57"/>
    <mergeCell ref="AH56:AH57"/>
    <mergeCell ref="AI56:AI57"/>
    <mergeCell ref="AJ56:AJ57"/>
    <mergeCell ref="AK56:AK57"/>
    <mergeCell ref="AL56:AL57"/>
    <mergeCell ref="AM56:AM57"/>
    <mergeCell ref="AN56:AN57"/>
    <mergeCell ref="AO56:AO57"/>
    <mergeCell ref="AP56:AP57"/>
    <mergeCell ref="AQ56:AQ57"/>
    <mergeCell ref="AR56:AR57"/>
    <mergeCell ref="AC58:AC59"/>
    <mergeCell ref="AD58:AD59"/>
    <mergeCell ref="AE58:AE59"/>
    <mergeCell ref="AF58:AF59"/>
    <mergeCell ref="AG58:AG59"/>
    <mergeCell ref="AH58:AH59"/>
    <mergeCell ref="AI58:AI59"/>
    <mergeCell ref="AJ58:AJ59"/>
    <mergeCell ref="AK58:AK59"/>
    <mergeCell ref="AL58:AL59"/>
    <mergeCell ref="AM58:AM59"/>
    <mergeCell ref="AN58:AN59"/>
    <mergeCell ref="AO58:AO59"/>
    <mergeCell ref="AP58:AP59"/>
    <mergeCell ref="AQ58:AQ59"/>
    <mergeCell ref="AR58:AR59"/>
    <mergeCell ref="AC60:AC61"/>
    <mergeCell ref="AD60:AD61"/>
    <mergeCell ref="AE60:AE61"/>
    <mergeCell ref="AF60:AF61"/>
    <mergeCell ref="AG60:AG61"/>
    <mergeCell ref="AH60:AH61"/>
    <mergeCell ref="AI60:AI61"/>
    <mergeCell ref="AJ60:AJ61"/>
    <mergeCell ref="AK60:AK61"/>
    <mergeCell ref="AL60:AL61"/>
    <mergeCell ref="AM60:AM61"/>
    <mergeCell ref="AN60:AN61"/>
    <mergeCell ref="AO60:AO61"/>
    <mergeCell ref="AP60:AP61"/>
    <mergeCell ref="AQ60:AQ61"/>
    <mergeCell ref="AR60:AR61"/>
    <mergeCell ref="AC62:AC63"/>
    <mergeCell ref="AD62:AD63"/>
    <mergeCell ref="AE62:AE63"/>
    <mergeCell ref="AF62:AF63"/>
    <mergeCell ref="AG62:AG63"/>
    <mergeCell ref="AH62:AH63"/>
    <mergeCell ref="AI62:AI63"/>
    <mergeCell ref="AJ62:AJ63"/>
    <mergeCell ref="AK62:AK63"/>
    <mergeCell ref="AL62:AL63"/>
    <mergeCell ref="AM62:AM63"/>
    <mergeCell ref="AN62:AN63"/>
    <mergeCell ref="AO62:AO63"/>
    <mergeCell ref="AP62:AP63"/>
    <mergeCell ref="AQ62:AQ63"/>
    <mergeCell ref="AR62:AR63"/>
    <mergeCell ref="AC64:AC65"/>
    <mergeCell ref="AD64:AD65"/>
    <mergeCell ref="AE64:AE65"/>
    <mergeCell ref="AF64:AF65"/>
    <mergeCell ref="AG64:AG65"/>
    <mergeCell ref="AH64:AH65"/>
    <mergeCell ref="AI64:AI65"/>
    <mergeCell ref="AJ64:AJ65"/>
    <mergeCell ref="AK64:AK65"/>
    <mergeCell ref="AL64:AL65"/>
    <mergeCell ref="AM64:AM65"/>
    <mergeCell ref="AN64:AN65"/>
    <mergeCell ref="AO64:AO65"/>
    <mergeCell ref="AP64:AP65"/>
    <mergeCell ref="AQ64:AQ65"/>
    <mergeCell ref="AR64:AR65"/>
    <mergeCell ref="AC66:AC67"/>
    <mergeCell ref="AD66:AD67"/>
    <mergeCell ref="AE66:AE67"/>
    <mergeCell ref="AF66:AF67"/>
    <mergeCell ref="AG66:AG67"/>
    <mergeCell ref="AH66:AH67"/>
    <mergeCell ref="AI66:AI67"/>
    <mergeCell ref="AJ66:AJ67"/>
    <mergeCell ref="AK66:AK67"/>
    <mergeCell ref="AL66:AL67"/>
    <mergeCell ref="AM66:AM67"/>
    <mergeCell ref="AN66:AN67"/>
    <mergeCell ref="AO66:AO67"/>
    <mergeCell ref="AP66:AP67"/>
    <mergeCell ref="AQ66:AQ67"/>
    <mergeCell ref="AR66:AR67"/>
    <mergeCell ref="AC68:AC69"/>
    <mergeCell ref="AD68:AD69"/>
    <mergeCell ref="AE68:AE69"/>
    <mergeCell ref="AF68:AF69"/>
    <mergeCell ref="AG68:AG69"/>
    <mergeCell ref="AH68:AH69"/>
    <mergeCell ref="AI68:AI69"/>
    <mergeCell ref="AJ68:AJ69"/>
    <mergeCell ref="AK68:AK69"/>
    <mergeCell ref="AL68:AL69"/>
    <mergeCell ref="AM68:AM69"/>
    <mergeCell ref="AN68:AN69"/>
    <mergeCell ref="AO68:AO69"/>
    <mergeCell ref="AP68:AP69"/>
    <mergeCell ref="AQ68:AQ69"/>
    <mergeCell ref="AR68:AR69"/>
    <mergeCell ref="AC70:AC71"/>
    <mergeCell ref="AD70:AD71"/>
    <mergeCell ref="AE70:AE71"/>
    <mergeCell ref="AF70:AF71"/>
    <mergeCell ref="AG70:AG71"/>
    <mergeCell ref="AH70:AH71"/>
    <mergeCell ref="AI70:AI71"/>
    <mergeCell ref="AJ70:AJ71"/>
    <mergeCell ref="AK70:AK71"/>
    <mergeCell ref="AL70:AL71"/>
    <mergeCell ref="AM70:AM71"/>
    <mergeCell ref="AN70:AN71"/>
    <mergeCell ref="AO70:AO71"/>
    <mergeCell ref="AP70:AP71"/>
    <mergeCell ref="AQ70:AQ71"/>
    <mergeCell ref="AR70:AR71"/>
    <mergeCell ref="AC72:AC73"/>
    <mergeCell ref="AD72:AD73"/>
    <mergeCell ref="AE72:AE73"/>
    <mergeCell ref="AF72:AF73"/>
    <mergeCell ref="AG72:AG73"/>
    <mergeCell ref="AH72:AH73"/>
    <mergeCell ref="AI72:AI73"/>
    <mergeCell ref="AJ72:AJ73"/>
    <mergeCell ref="AK72:AK73"/>
    <mergeCell ref="AL72:AL73"/>
    <mergeCell ref="AM72:AM73"/>
    <mergeCell ref="AN72:AN73"/>
    <mergeCell ref="AO72:AO73"/>
    <mergeCell ref="AP72:AP73"/>
    <mergeCell ref="AQ72:AQ73"/>
    <mergeCell ref="AR72:AR73"/>
    <mergeCell ref="AC74:AC75"/>
    <mergeCell ref="AD74:AD75"/>
    <mergeCell ref="AE74:AE75"/>
    <mergeCell ref="AF74:AF75"/>
    <mergeCell ref="AG74:AG75"/>
    <mergeCell ref="AH74:AH75"/>
    <mergeCell ref="AI74:AI75"/>
    <mergeCell ref="AJ74:AJ75"/>
    <mergeCell ref="AK74:AK75"/>
    <mergeCell ref="AL74:AL75"/>
    <mergeCell ref="AM74:AM75"/>
    <mergeCell ref="AN74:AN75"/>
    <mergeCell ref="AO74:AO75"/>
    <mergeCell ref="AP74:AP75"/>
    <mergeCell ref="AQ74:AQ75"/>
    <mergeCell ref="AR74:AR75"/>
    <mergeCell ref="AC76:AC77"/>
    <mergeCell ref="AD76:AD77"/>
    <mergeCell ref="AE76:AE77"/>
    <mergeCell ref="AF76:AF77"/>
    <mergeCell ref="AG76:AG77"/>
    <mergeCell ref="AH76:AH77"/>
    <mergeCell ref="AI76:AI77"/>
    <mergeCell ref="AJ76:AJ77"/>
    <mergeCell ref="AK76:AK77"/>
    <mergeCell ref="AL76:AL77"/>
    <mergeCell ref="AM76:AM77"/>
    <mergeCell ref="AN76:AN77"/>
    <mergeCell ref="AO76:AO77"/>
    <mergeCell ref="AP76:AP77"/>
    <mergeCell ref="AQ76:AQ77"/>
    <mergeCell ref="AR76:AR77"/>
    <mergeCell ref="AC78:AC79"/>
    <mergeCell ref="AD78:AD79"/>
    <mergeCell ref="AE78:AE79"/>
    <mergeCell ref="AF78:AF79"/>
    <mergeCell ref="AG78:AG79"/>
    <mergeCell ref="AH78:AH79"/>
    <mergeCell ref="AI78:AI79"/>
    <mergeCell ref="AJ78:AJ79"/>
    <mergeCell ref="AK78:AK79"/>
    <mergeCell ref="AL78:AL79"/>
    <mergeCell ref="AM78:AM79"/>
    <mergeCell ref="AN78:AN79"/>
    <mergeCell ref="AO78:AO79"/>
    <mergeCell ref="AP78:AP79"/>
    <mergeCell ref="AQ78:AQ79"/>
    <mergeCell ref="AR78:AR79"/>
    <mergeCell ref="AC80:AC81"/>
    <mergeCell ref="AD80:AD81"/>
    <mergeCell ref="AE80:AE81"/>
    <mergeCell ref="AF80:AF81"/>
    <mergeCell ref="AG80:AG81"/>
    <mergeCell ref="AH80:AH81"/>
    <mergeCell ref="AI80:AI81"/>
    <mergeCell ref="AJ80:AJ81"/>
    <mergeCell ref="AK80:AK81"/>
    <mergeCell ref="AL80:AL81"/>
    <mergeCell ref="AM80:AM81"/>
    <mergeCell ref="AN80:AN81"/>
    <mergeCell ref="AO80:AO81"/>
    <mergeCell ref="AP80:AP81"/>
    <mergeCell ref="AQ80:AQ81"/>
    <mergeCell ref="AR80:AR81"/>
    <mergeCell ref="AC82:AC83"/>
    <mergeCell ref="AD82:AD83"/>
    <mergeCell ref="AE82:AE83"/>
    <mergeCell ref="AF82:AF83"/>
    <mergeCell ref="AG82:AG83"/>
    <mergeCell ref="AH82:AH83"/>
    <mergeCell ref="AI82:AI83"/>
    <mergeCell ref="AJ82:AJ83"/>
    <mergeCell ref="AK82:AK83"/>
    <mergeCell ref="AL82:AL83"/>
    <mergeCell ref="AM82:AM83"/>
    <mergeCell ref="AN82:AN83"/>
    <mergeCell ref="AO82:AO83"/>
    <mergeCell ref="AP82:AP83"/>
    <mergeCell ref="AQ82:AQ83"/>
    <mergeCell ref="AR82:AR83"/>
    <mergeCell ref="AC84:AC85"/>
    <mergeCell ref="AD84:AD85"/>
    <mergeCell ref="AE84:AE85"/>
    <mergeCell ref="AF84:AF85"/>
    <mergeCell ref="AG84:AG85"/>
    <mergeCell ref="AH84:AH85"/>
    <mergeCell ref="AI84:AI85"/>
    <mergeCell ref="AJ84:AJ85"/>
    <mergeCell ref="AK84:AK85"/>
    <mergeCell ref="AL84:AL85"/>
    <mergeCell ref="AM84:AM85"/>
    <mergeCell ref="AN84:AN85"/>
    <mergeCell ref="AO84:AO85"/>
    <mergeCell ref="AP84:AP85"/>
    <mergeCell ref="AQ84:AQ85"/>
    <mergeCell ref="AR84:AR85"/>
    <mergeCell ref="AC86:AC87"/>
    <mergeCell ref="AD86:AD87"/>
    <mergeCell ref="AE86:AE87"/>
    <mergeCell ref="AF86:AF87"/>
    <mergeCell ref="AG86:AG87"/>
    <mergeCell ref="AH86:AH87"/>
    <mergeCell ref="AI86:AI87"/>
    <mergeCell ref="AJ86:AJ87"/>
    <mergeCell ref="AK86:AK87"/>
    <mergeCell ref="AL86:AL87"/>
    <mergeCell ref="AM86:AM87"/>
    <mergeCell ref="AN86:AN87"/>
    <mergeCell ref="AO86:AO87"/>
    <mergeCell ref="AP86:AP87"/>
    <mergeCell ref="AQ86:AQ87"/>
    <mergeCell ref="AR86:AR87"/>
    <mergeCell ref="AC88:AC89"/>
    <mergeCell ref="AD88:AD89"/>
    <mergeCell ref="AE88:AE89"/>
    <mergeCell ref="AF88:AF89"/>
    <mergeCell ref="AG88:AG89"/>
    <mergeCell ref="AH88:AH89"/>
    <mergeCell ref="AI88:AI89"/>
    <mergeCell ref="AJ88:AJ89"/>
    <mergeCell ref="AK88:AK89"/>
    <mergeCell ref="AL88:AL89"/>
    <mergeCell ref="AM88:AM89"/>
    <mergeCell ref="AN88:AN89"/>
    <mergeCell ref="AO88:AO89"/>
    <mergeCell ref="AP88:AP89"/>
    <mergeCell ref="AQ88:AQ89"/>
    <mergeCell ref="AR88:AR89"/>
    <mergeCell ref="AC90:AC91"/>
    <mergeCell ref="AD90:AD91"/>
    <mergeCell ref="AE90:AE91"/>
    <mergeCell ref="AF90:AF91"/>
    <mergeCell ref="AG90:AG91"/>
    <mergeCell ref="AH90:AH91"/>
    <mergeCell ref="AI90:AI91"/>
    <mergeCell ref="AJ90:AJ91"/>
    <mergeCell ref="AK90:AK91"/>
    <mergeCell ref="AL90:AL91"/>
    <mergeCell ref="AM90:AM91"/>
    <mergeCell ref="AN90:AN91"/>
    <mergeCell ref="AO90:AO91"/>
    <mergeCell ref="AP90:AP91"/>
    <mergeCell ref="AQ90:AQ91"/>
    <mergeCell ref="AR90:AR91"/>
    <mergeCell ref="AC92:AC93"/>
    <mergeCell ref="AD92:AD93"/>
    <mergeCell ref="AE92:AE93"/>
    <mergeCell ref="AF92:AF93"/>
    <mergeCell ref="AG92:AG93"/>
    <mergeCell ref="AH92:AH93"/>
    <mergeCell ref="AI92:AI93"/>
    <mergeCell ref="AJ92:AJ93"/>
    <mergeCell ref="AK92:AK93"/>
    <mergeCell ref="AL92:AL93"/>
    <mergeCell ref="AM92:AM93"/>
    <mergeCell ref="AN92:AN93"/>
    <mergeCell ref="AO92:AO93"/>
    <mergeCell ref="AP92:AP93"/>
    <mergeCell ref="AQ92:AQ93"/>
    <mergeCell ref="AR92:AR93"/>
    <mergeCell ref="AC94:AC95"/>
    <mergeCell ref="AD94:AD95"/>
    <mergeCell ref="AE94:AE95"/>
    <mergeCell ref="AF94:AF95"/>
    <mergeCell ref="AG94:AG95"/>
    <mergeCell ref="AH94:AH95"/>
    <mergeCell ref="AI94:AI95"/>
    <mergeCell ref="AJ94:AJ95"/>
    <mergeCell ref="AK94:AK95"/>
    <mergeCell ref="AL94:AL95"/>
    <mergeCell ref="AM94:AM95"/>
    <mergeCell ref="AN94:AN95"/>
    <mergeCell ref="AO94:AO95"/>
    <mergeCell ref="AP94:AP95"/>
    <mergeCell ref="AQ94:AQ95"/>
    <mergeCell ref="AR94:AR95"/>
    <mergeCell ref="AC96:AC97"/>
    <mergeCell ref="AD96:AD97"/>
    <mergeCell ref="AE96:AE97"/>
    <mergeCell ref="AF96:AF97"/>
    <mergeCell ref="AG96:AG97"/>
    <mergeCell ref="AH96:AH97"/>
    <mergeCell ref="AI96:AI97"/>
    <mergeCell ref="AJ96:AJ97"/>
    <mergeCell ref="AK96:AK97"/>
    <mergeCell ref="AL96:AL97"/>
    <mergeCell ref="AM96:AM97"/>
    <mergeCell ref="AN96:AN97"/>
    <mergeCell ref="AO96:AO97"/>
    <mergeCell ref="AP96:AP97"/>
    <mergeCell ref="AQ96:AQ97"/>
    <mergeCell ref="AR96:AR97"/>
    <mergeCell ref="AC98:AC99"/>
    <mergeCell ref="AD98:AD99"/>
    <mergeCell ref="AE98:AE99"/>
    <mergeCell ref="AF98:AF99"/>
    <mergeCell ref="AG98:AG99"/>
    <mergeCell ref="AH98:AH99"/>
    <mergeCell ref="AI98:AI99"/>
    <mergeCell ref="AJ98:AJ99"/>
    <mergeCell ref="AK98:AK99"/>
    <mergeCell ref="AL98:AL99"/>
    <mergeCell ref="AM98:AM99"/>
    <mergeCell ref="AN98:AN99"/>
    <mergeCell ref="AO98:AO99"/>
    <mergeCell ref="AP98:AP99"/>
    <mergeCell ref="AQ98:AQ99"/>
    <mergeCell ref="AR98:AR99"/>
    <mergeCell ref="AC100:AC101"/>
    <mergeCell ref="AD100:AD101"/>
    <mergeCell ref="AE100:AE101"/>
    <mergeCell ref="AF100:AF101"/>
    <mergeCell ref="AG100:AG101"/>
    <mergeCell ref="AH100:AH101"/>
    <mergeCell ref="AI100:AI101"/>
    <mergeCell ref="AJ100:AJ101"/>
    <mergeCell ref="AK100:AK101"/>
    <mergeCell ref="AL100:AL101"/>
    <mergeCell ref="AM100:AM101"/>
    <mergeCell ref="AN100:AN101"/>
    <mergeCell ref="AO100:AO101"/>
    <mergeCell ref="AP100:AP101"/>
    <mergeCell ref="AQ100:AQ101"/>
    <mergeCell ref="AR100:AR101"/>
    <mergeCell ref="AC102:AC103"/>
    <mergeCell ref="AD102:AD103"/>
    <mergeCell ref="AE102:AE103"/>
    <mergeCell ref="AF102:AF103"/>
    <mergeCell ref="AG102:AG103"/>
    <mergeCell ref="AH102:AH103"/>
    <mergeCell ref="AI102:AI103"/>
    <mergeCell ref="AJ102:AJ103"/>
    <mergeCell ref="AK102:AK103"/>
    <mergeCell ref="AL102:AL103"/>
    <mergeCell ref="AM102:AM103"/>
    <mergeCell ref="AN102:AN103"/>
    <mergeCell ref="AO102:AO103"/>
    <mergeCell ref="AP102:AP103"/>
    <mergeCell ref="AQ102:AQ103"/>
    <mergeCell ref="AR102:AR103"/>
    <mergeCell ref="AC104:AC105"/>
    <mergeCell ref="AD104:AD105"/>
    <mergeCell ref="AE104:AE105"/>
    <mergeCell ref="AF104:AF105"/>
    <mergeCell ref="AG104:AG105"/>
    <mergeCell ref="AH104:AH105"/>
    <mergeCell ref="AI104:AI105"/>
    <mergeCell ref="AJ104:AJ105"/>
    <mergeCell ref="AK104:AK105"/>
    <mergeCell ref="AL104:AL105"/>
    <mergeCell ref="AM104:AM105"/>
    <mergeCell ref="AN104:AN105"/>
    <mergeCell ref="AO104:AO105"/>
    <mergeCell ref="AP104:AP105"/>
    <mergeCell ref="AQ104:AQ105"/>
    <mergeCell ref="AR104:AR105"/>
    <mergeCell ref="AC106:AC107"/>
    <mergeCell ref="AD106:AD107"/>
    <mergeCell ref="AE106:AE107"/>
    <mergeCell ref="AF106:AF107"/>
    <mergeCell ref="AG106:AG107"/>
    <mergeCell ref="AH106:AH107"/>
    <mergeCell ref="AI106:AI107"/>
    <mergeCell ref="AJ106:AJ107"/>
    <mergeCell ref="AK106:AK107"/>
    <mergeCell ref="AL106:AL107"/>
    <mergeCell ref="AM106:AM107"/>
    <mergeCell ref="AN106:AN107"/>
    <mergeCell ref="AO106:AO107"/>
    <mergeCell ref="AP106:AP107"/>
    <mergeCell ref="AQ106:AQ107"/>
    <mergeCell ref="AR106:AR107"/>
    <mergeCell ref="AC108:AC109"/>
    <mergeCell ref="AD108:AD109"/>
    <mergeCell ref="AE108:AE109"/>
    <mergeCell ref="AF108:AF109"/>
    <mergeCell ref="AG108:AG109"/>
    <mergeCell ref="AH108:AH109"/>
    <mergeCell ref="AI108:AI109"/>
    <mergeCell ref="AJ108:AJ109"/>
    <mergeCell ref="AK108:AK109"/>
    <mergeCell ref="AL108:AL109"/>
    <mergeCell ref="AM108:AM109"/>
    <mergeCell ref="AN108:AN109"/>
    <mergeCell ref="AO108:AO109"/>
    <mergeCell ref="AP108:AP109"/>
    <mergeCell ref="AQ108:AQ109"/>
    <mergeCell ref="AR108:AR109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C112:AC113"/>
    <mergeCell ref="AD112:AD113"/>
    <mergeCell ref="AE112:AE113"/>
    <mergeCell ref="AF112:AF113"/>
    <mergeCell ref="AG112:AG113"/>
    <mergeCell ref="AH112:AH113"/>
    <mergeCell ref="AI112:AI113"/>
    <mergeCell ref="AJ112:AJ113"/>
    <mergeCell ref="AK112:AK113"/>
    <mergeCell ref="AL112:AL113"/>
    <mergeCell ref="AM112:AM113"/>
    <mergeCell ref="AN112:AN113"/>
    <mergeCell ref="AO112:AO113"/>
    <mergeCell ref="AP112:AP113"/>
    <mergeCell ref="AQ112:AQ113"/>
    <mergeCell ref="AR112:AR113"/>
    <mergeCell ref="AC114:AC115"/>
    <mergeCell ref="AD114:AD115"/>
    <mergeCell ref="AE114:AE115"/>
    <mergeCell ref="AF114:AF115"/>
    <mergeCell ref="AG114:AG115"/>
    <mergeCell ref="AH114:AH115"/>
    <mergeCell ref="AI114:AI115"/>
    <mergeCell ref="AJ114:AJ115"/>
    <mergeCell ref="AK114:AK115"/>
    <mergeCell ref="AL114:AL115"/>
    <mergeCell ref="AM114:AM115"/>
    <mergeCell ref="AN114:AN115"/>
    <mergeCell ref="AO114:AO115"/>
    <mergeCell ref="AP114:AP115"/>
    <mergeCell ref="AQ114:AQ115"/>
    <mergeCell ref="AR114:AR115"/>
    <mergeCell ref="AC116:AC117"/>
    <mergeCell ref="AD116:AD117"/>
    <mergeCell ref="AE116:AE117"/>
    <mergeCell ref="AF116:AF117"/>
    <mergeCell ref="AG116:AG117"/>
    <mergeCell ref="AH116:AH117"/>
    <mergeCell ref="AI116:AI117"/>
    <mergeCell ref="AJ116:AJ117"/>
    <mergeCell ref="AK116:AK117"/>
    <mergeCell ref="AL116:AL117"/>
    <mergeCell ref="AM116:AM117"/>
    <mergeCell ref="AN116:AN117"/>
    <mergeCell ref="AO116:AO117"/>
    <mergeCell ref="AP116:AP117"/>
    <mergeCell ref="AQ116:AQ117"/>
    <mergeCell ref="AR116:AR117"/>
    <mergeCell ref="AC118:AC119"/>
    <mergeCell ref="AD118:AD119"/>
    <mergeCell ref="AE118:AE119"/>
    <mergeCell ref="AF118:AF119"/>
    <mergeCell ref="AG118:AG119"/>
    <mergeCell ref="AH118:AH119"/>
    <mergeCell ref="AI118:AI119"/>
    <mergeCell ref="AJ118:AJ119"/>
    <mergeCell ref="AK118:AK119"/>
    <mergeCell ref="AL118:AL119"/>
    <mergeCell ref="AM118:AM119"/>
    <mergeCell ref="AN118:AN119"/>
    <mergeCell ref="AO118:AO119"/>
    <mergeCell ref="AP118:AP119"/>
    <mergeCell ref="AQ118:AQ119"/>
    <mergeCell ref="AR118:AR119"/>
    <mergeCell ref="BQ13:BT13"/>
    <mergeCell ref="BQ14:BR14"/>
    <mergeCell ref="BS14:BT14"/>
    <mergeCell ref="CR6:CR7"/>
    <mergeCell ref="CS6:CS7"/>
    <mergeCell ref="CR8:CR9"/>
    <mergeCell ref="CS8:CS9"/>
    <mergeCell ref="CR12:CR13"/>
    <mergeCell ref="CS12:CS13"/>
    <mergeCell ref="CR14:CR15"/>
    <mergeCell ref="CS14:CS15"/>
    <mergeCell ref="CR16:CR17"/>
    <mergeCell ref="CS16:CS17"/>
    <mergeCell ref="CR18:CR19"/>
    <mergeCell ref="CS18:CS19"/>
    <mergeCell ref="CR20:CR21"/>
    <mergeCell ref="CS20:CS21"/>
    <mergeCell ref="BX14:BX15"/>
    <mergeCell ref="CF14:CF15"/>
    <mergeCell ref="CG14:CG15"/>
    <mergeCell ref="CL14:CL15"/>
    <mergeCell ref="CM14:CM15"/>
    <mergeCell ref="BU16:BU17"/>
    <mergeCell ref="BV16:BV17"/>
    <mergeCell ref="BW16:BW17"/>
    <mergeCell ref="BX16:BX17"/>
    <mergeCell ref="CF16:CF17"/>
    <mergeCell ref="CG16:CG17"/>
    <mergeCell ref="CL16:CL17"/>
    <mergeCell ref="CM16:CM17"/>
    <mergeCell ref="BU18:BU19"/>
    <mergeCell ref="BV18:BV19"/>
    <mergeCell ref="CR22:CR23"/>
    <mergeCell ref="CS22:CS23"/>
    <mergeCell ref="CR24:CR25"/>
    <mergeCell ref="CS24:CS25"/>
    <mergeCell ref="CR26:CR27"/>
    <mergeCell ref="CS26:CS27"/>
    <mergeCell ref="CR28:CR29"/>
    <mergeCell ref="CS28:CS29"/>
    <mergeCell ref="CR30:CR31"/>
    <mergeCell ref="CS30:CS31"/>
    <mergeCell ref="CR32:CR33"/>
    <mergeCell ref="CS32:CS33"/>
    <mergeCell ref="CR34:CR35"/>
    <mergeCell ref="CS34:CS35"/>
    <mergeCell ref="CR36:CR37"/>
    <mergeCell ref="CS36:CS37"/>
    <mergeCell ref="CR38:CR39"/>
    <mergeCell ref="CS38:CS39"/>
    <mergeCell ref="CR40:CR41"/>
    <mergeCell ref="CS40:CS41"/>
    <mergeCell ref="CR42:CR43"/>
    <mergeCell ref="CS42:CS43"/>
    <mergeCell ref="CR44:CR45"/>
    <mergeCell ref="CS44:CS45"/>
    <mergeCell ref="CR46:CR47"/>
    <mergeCell ref="CS46:CS47"/>
    <mergeCell ref="CR48:CR49"/>
    <mergeCell ref="CS48:CS49"/>
    <mergeCell ref="CR50:CR51"/>
    <mergeCell ref="CS50:CS51"/>
    <mergeCell ref="CR52:CR53"/>
    <mergeCell ref="CS52:CS53"/>
    <mergeCell ref="CR54:CR55"/>
    <mergeCell ref="CS54:CS55"/>
    <mergeCell ref="CR56:CR57"/>
    <mergeCell ref="CS56:CS57"/>
    <mergeCell ref="CR58:CR59"/>
    <mergeCell ref="CS58:CS59"/>
    <mergeCell ref="CR60:CR61"/>
    <mergeCell ref="CS60:CS61"/>
    <mergeCell ref="CR62:CR63"/>
    <mergeCell ref="CS62:CS63"/>
    <mergeCell ref="CR64:CR65"/>
    <mergeCell ref="CS64:CS65"/>
    <mergeCell ref="CR66:CR67"/>
    <mergeCell ref="CS66:CS67"/>
    <mergeCell ref="CR68:CR69"/>
    <mergeCell ref="CS68:CS69"/>
    <mergeCell ref="CR70:CR71"/>
    <mergeCell ref="CS70:CS71"/>
    <mergeCell ref="CR72:CR73"/>
    <mergeCell ref="CS72:CS73"/>
    <mergeCell ref="CR74:CR75"/>
    <mergeCell ref="CS74:CS75"/>
    <mergeCell ref="CR76:CR77"/>
    <mergeCell ref="CS76:CS77"/>
    <mergeCell ref="CR78:CR79"/>
    <mergeCell ref="CS78:CS79"/>
    <mergeCell ref="CR80:CR81"/>
    <mergeCell ref="CS80:CS81"/>
    <mergeCell ref="CR82:CR83"/>
    <mergeCell ref="CS82:CS83"/>
    <mergeCell ref="CR84:CR85"/>
    <mergeCell ref="CS84:CS85"/>
    <mergeCell ref="CR86:CR87"/>
    <mergeCell ref="CS86:CS87"/>
    <mergeCell ref="CR88:CR89"/>
    <mergeCell ref="CS88:CS89"/>
    <mergeCell ref="CR90:CR91"/>
    <mergeCell ref="CS90:CS91"/>
    <mergeCell ref="CR92:CR93"/>
    <mergeCell ref="CS92:CS93"/>
    <mergeCell ref="CR112:CR113"/>
    <mergeCell ref="CS112:CS113"/>
    <mergeCell ref="CR114:CR115"/>
    <mergeCell ref="CS114:CS115"/>
    <mergeCell ref="CR116:CR117"/>
    <mergeCell ref="CS116:CS117"/>
    <mergeCell ref="CR118:CR119"/>
    <mergeCell ref="CS118:CS119"/>
    <mergeCell ref="CR94:CR95"/>
    <mergeCell ref="CS94:CS95"/>
    <mergeCell ref="CR96:CR97"/>
    <mergeCell ref="CS96:CS97"/>
    <mergeCell ref="CR98:CR99"/>
    <mergeCell ref="CS98:CS99"/>
    <mergeCell ref="CR100:CR101"/>
    <mergeCell ref="CS100:CS101"/>
    <mergeCell ref="CR102:CR103"/>
    <mergeCell ref="CS102:CS103"/>
    <mergeCell ref="CR104:CR105"/>
    <mergeCell ref="CS104:CS105"/>
    <mergeCell ref="CR106:CR107"/>
    <mergeCell ref="CS106:CS107"/>
    <mergeCell ref="CR108:CR109"/>
    <mergeCell ref="CS108:CS109"/>
    <mergeCell ref="CR110:CR111"/>
    <mergeCell ref="CS110:CS111"/>
  </mergeCells>
  <phoneticPr fontId="0" type="noConversion"/>
  <conditionalFormatting sqref="AX6:AZ7">
    <cfRule type="containsErrors" dxfId="83" priority="249">
      <formula>ISERROR(AX6)</formula>
    </cfRule>
  </conditionalFormatting>
  <conditionalFormatting sqref="BA6:BB7">
    <cfRule type="containsErrors" dxfId="82" priority="244">
      <formula>ISERROR(BA6)</formula>
    </cfRule>
  </conditionalFormatting>
  <conditionalFormatting sqref="BI15:BI27 BN15:BN27 BS15:BS27 AY13:AY27 BD13:BD27">
    <cfRule type="cellIs" dxfId="81" priority="237" operator="greaterThan">
      <formula>$AW$3</formula>
    </cfRule>
  </conditionalFormatting>
  <conditionalFormatting sqref="BJ15:BJ27 BO15:BP27 BT15:BT27 AZ13:AZ27 BE13:BE27">
    <cfRule type="cellIs" dxfId="80" priority="236" operator="greaterThan">
      <formula>$AW$3</formula>
    </cfRule>
  </conditionalFormatting>
  <conditionalFormatting sqref="Z6:Z9 Z12:Z119">
    <cfRule type="containsText" dxfId="79" priority="151" operator="containsText" text="ЛОЖЬ">
      <formula>NOT(ISERROR(SEARCH("ЛОЖЬ",Z6)))</formula>
    </cfRule>
  </conditionalFormatting>
  <conditionalFormatting sqref="AB6:AB9 AB12:AB119">
    <cfRule type="cellIs" dxfId="78" priority="83" operator="between">
      <formula>1</formula>
      <formula>3</formula>
    </cfRule>
    <cfRule type="cellIs" dxfId="77" priority="84" operator="between">
      <formula>1</formula>
      <formula>2</formula>
    </cfRule>
    <cfRule type="containsErrors" dxfId="76" priority="141">
      <formula>ISERROR(AB6)</formula>
    </cfRule>
    <cfRule type="cellIs" dxfId="75" priority="142" operator="greaterThan">
      <formula>70</formula>
    </cfRule>
    <cfRule type="cellIs" dxfId="74" priority="144" operator="equal">
      <formula>3</formula>
    </cfRule>
    <cfRule type="cellIs" dxfId="73" priority="145" operator="equal">
      <formula>2</formula>
    </cfRule>
    <cfRule type="cellIs" dxfId="72" priority="146" operator="equal">
      <formula>1</formula>
    </cfRule>
  </conditionalFormatting>
  <conditionalFormatting sqref="H16:H119 N6:N9 P6:P9 R6:R9 V6:V9 T6:T9 L6:L9 L12:L119 T12:T119 V12:V119 R12:R119 P12:P119 N12:N119">
    <cfRule type="cellIs" dxfId="71" priority="68" operator="equal">
      <formula>"Б2"</formula>
    </cfRule>
    <cfRule type="cellIs" dxfId="70" priority="69" operator="equal">
      <formula>"А1"</formula>
    </cfRule>
    <cfRule type="cellIs" dxfId="69" priority="70" operator="equal">
      <formula>"А2"</formula>
    </cfRule>
    <cfRule type="cellIs" dxfId="68" priority="71" operator="equal">
      <formula>"Б1"</formula>
    </cfRule>
  </conditionalFormatting>
  <conditionalFormatting sqref="X6:X9 X12:X119">
    <cfRule type="containsErrors" dxfId="67" priority="67">
      <formula>ISERROR(X6)</formula>
    </cfRule>
  </conditionalFormatting>
  <conditionalFormatting sqref="V6:V9 V12:V119">
    <cfRule type="containsErrors" dxfId="66" priority="72" stopIfTrue="1">
      <formula>ISERROR(V6)</formula>
    </cfRule>
  </conditionalFormatting>
  <conditionalFormatting sqref="F6:F7 H6:H7 J6:J7 L6:L7 N6:N7 P6:P7 R6:R7 T6:T7 V6:V7 X6:X7">
    <cfRule type="duplicateValues" dxfId="65" priority="66"/>
  </conditionalFormatting>
  <conditionalFormatting sqref="F8:F9 H8:H9 J8:J9 L8:L9 N8:N9 P8:P9 R8:R9 T8:T9 V8:V9 X8:X9">
    <cfRule type="duplicateValues" dxfId="64" priority="65"/>
  </conditionalFormatting>
  <conditionalFormatting sqref="F12:F13 H12:H13 J12:J13 L12:L13 N12:N13 P12:P13 R12:R13 T12:T13 V12:V13 X12:X13">
    <cfRule type="duplicateValues" dxfId="63" priority="64"/>
  </conditionalFormatting>
  <conditionalFormatting sqref="F14:F15 H14:H15 J14:J15 L14:L15 N14:N15 P14:P15 R14:R15 T14:T15 V14:V15 X14:X15">
    <cfRule type="duplicateValues" dxfId="62" priority="63"/>
  </conditionalFormatting>
  <conditionalFormatting sqref="F16:F17 H16:H17 J16:J17 L16:L17 N16:N17 P16:P17 R16:R17 T16:T17 V16:V17 X16:X17">
    <cfRule type="duplicateValues" dxfId="61" priority="62"/>
  </conditionalFormatting>
  <conditionalFormatting sqref="F18:F19 H18:H19 J18:J19 L18:L19 N18:N19 P18:P19 R18:R19 T18:T19 V18:V19 X18:X19">
    <cfRule type="duplicateValues" dxfId="60" priority="61"/>
  </conditionalFormatting>
  <conditionalFormatting sqref="F20:F21 H20:H21 J20:J21 L20:L21 N20:N21 P20:P21 R20:R21 T20:T21 V20:V21 X20:X21">
    <cfRule type="duplicateValues" dxfId="59" priority="60"/>
  </conditionalFormatting>
  <conditionalFormatting sqref="F22:F23 H22:H23 J22:J23 L22:L23 N22:N23 P22:P23 R22:R23 T22:T23 V22:V23 X22:X23">
    <cfRule type="duplicateValues" dxfId="58" priority="59"/>
  </conditionalFormatting>
  <conditionalFormatting sqref="F24:F25 H24:H25 J24:J25 L24:L25 N24:N25 P24:P25 R24:R25 T24:T25 V24:V25 X24:X25">
    <cfRule type="duplicateValues" dxfId="57" priority="58"/>
  </conditionalFormatting>
  <conditionalFormatting sqref="F26:F27 H26:H27 J26:J27 L26:L27 N26:N27 P26:P27 R26:R27 T26:T27 V26:V27 X26:X27">
    <cfRule type="duplicateValues" dxfId="56" priority="57"/>
  </conditionalFormatting>
  <conditionalFormatting sqref="F28:F29 H28:H29 J28:J29 L28:L29 N28:N29 P28:P29 R28:R29 T28:T29 V28:V29 X28:X29">
    <cfRule type="duplicateValues" dxfId="55" priority="56"/>
  </conditionalFormatting>
  <conditionalFormatting sqref="F30:F31 H30:H31 J30:J31 L30:L31 N30:N31 P30:P31 R30:R31 T30:T31 V30:V31 X30:X31">
    <cfRule type="duplicateValues" dxfId="54" priority="55"/>
  </conditionalFormatting>
  <conditionalFormatting sqref="F32:F33 H32:H33 J32:J33 L32:L33 N32:N33 P32:P33 R32:R33 T32:T33 V32:V33 X32:X33">
    <cfRule type="duplicateValues" dxfId="53" priority="54"/>
  </conditionalFormatting>
  <conditionalFormatting sqref="F34:F35 H34:H35 J34:J35 L34:L35 N34:N35 P34:P35 R34:R35 T34:T35 V34:V35 X34:X35">
    <cfRule type="duplicateValues" dxfId="52" priority="53"/>
  </conditionalFormatting>
  <conditionalFormatting sqref="F36:F37 H36:H37 J36:J37 L36:L37 N36:N37 P36:P37 R36:R37 T36:T37 V36:V37 X36:X37">
    <cfRule type="duplicateValues" dxfId="51" priority="52"/>
  </conditionalFormatting>
  <conditionalFormatting sqref="F38:F39 H38:H39 J38:J39 L38:L39 N38:N39 P38:P39 R38:R39 T38:T39 V38:V39 X38:X39">
    <cfRule type="duplicateValues" dxfId="50" priority="51"/>
  </conditionalFormatting>
  <conditionalFormatting sqref="F40:F41 H40:H41 J40:J41 L40:L41 N40:N41 P40:P41 R40:R41 T40:T41 V40:V41 X40:X41">
    <cfRule type="duplicateValues" dxfId="49" priority="50"/>
  </conditionalFormatting>
  <conditionalFormatting sqref="F42:F43 H42:H43 J42:J43 L42:L43 N42:N43 P42:P43 R42:R43 T42:T43 V42:V43 X42:X43">
    <cfRule type="duplicateValues" dxfId="48" priority="49"/>
  </conditionalFormatting>
  <conditionalFormatting sqref="F44:F45 H44:H45 J44:J45 L44:L45 N44:N45 P44:P45 R44:R45 T44:T45 V44:V45 X44:X45">
    <cfRule type="duplicateValues" dxfId="47" priority="48"/>
  </conditionalFormatting>
  <conditionalFormatting sqref="F46:F47 H46:H47 J46:J47 L46:L47 N46:N47 P46:P47 R46:R47 T46:T47 V46:V47 X46:X47">
    <cfRule type="duplicateValues" dxfId="46" priority="47"/>
  </conditionalFormatting>
  <conditionalFormatting sqref="F48:F49 H48:H49 J48:J49 L48:L49 N48:N49 P48:P49 R48:R49 T48:T49 V48:V49 X48:X49">
    <cfRule type="duplicateValues" dxfId="45" priority="46"/>
  </conditionalFormatting>
  <conditionalFormatting sqref="F50:F51 H50:H51 J50:J51 L50:L51 N50:N51 P50:P51 R50:R51 T50:T51 V50:V51 X50:X51">
    <cfRule type="duplicateValues" dxfId="44" priority="45"/>
  </conditionalFormatting>
  <conditionalFormatting sqref="F52:F53 H52:H53 J52:J53 L52:L53 N52:N53 P52:P53 R52:R53 T52:T53 V52:V53 X52:X53">
    <cfRule type="duplicateValues" dxfId="43" priority="44"/>
  </conditionalFormatting>
  <conditionalFormatting sqref="F54:F55 H54:H55 J54:J55 L54:L55 N54:N55 P54:P55 R54:R55 T54:T55 V54:V55 X54:X55">
    <cfRule type="duplicateValues" dxfId="42" priority="43"/>
  </conditionalFormatting>
  <conditionalFormatting sqref="F56:F57 H56:H57 J56:J57 L56:L57 N56:N57 P56:P57 R56:R57 T56:T57 V56:V57 X56:X57">
    <cfRule type="duplicateValues" dxfId="41" priority="42"/>
  </conditionalFormatting>
  <conditionalFormatting sqref="F58:F59 H58:H59 J58:J59 L58:L59 N58:N59 P58:P59 R58:R59 T58:T59 V58:V59 X58:X59">
    <cfRule type="duplicateValues" dxfId="40" priority="41"/>
  </conditionalFormatting>
  <conditionalFormatting sqref="F60:F61 H60:H61 J60:J61 L60:L61 N60:N61 P60:P61 R60:R61 T60:T61 V60:V61 X60:X61">
    <cfRule type="duplicateValues" dxfId="39" priority="40"/>
  </conditionalFormatting>
  <conditionalFormatting sqref="F62:F63 H62:H63 J62:J63 L62:L63 N62:N63 P62:P63 R62:R63 T62:T63 V62:V63 X62:X63">
    <cfRule type="duplicateValues" dxfId="38" priority="39"/>
  </conditionalFormatting>
  <conditionalFormatting sqref="F64:F65 H64:H65 J64:J65 L64:L65 N64:N65 P64:P65 R64:R65 T64:T65 V64:V65 X64:X65">
    <cfRule type="duplicateValues" dxfId="37" priority="38"/>
  </conditionalFormatting>
  <conditionalFormatting sqref="F66:F67 H66:H67 J66:J67 L66:L67 N66:N67 P66:P67 R66:R67 T66:T67 V66:V67 X66:X67">
    <cfRule type="duplicateValues" dxfId="36" priority="37"/>
  </conditionalFormatting>
  <conditionalFormatting sqref="F68:F69 H68:H69 J68:J69 L68:L69 N68:N69 P68:P69 R68:R69 T68:T69 V68:V69 X68:X69">
    <cfRule type="duplicateValues" dxfId="35" priority="36"/>
  </conditionalFormatting>
  <conditionalFormatting sqref="F70:F71 H70:H71 J70:J71 L70:L71 N70:N71 P70:P71 R70:R71 T70:T71 V70:V71 X70:X71">
    <cfRule type="duplicateValues" dxfId="34" priority="35"/>
  </conditionalFormatting>
  <conditionalFormatting sqref="F72:F73 H72:H73 J72:J73 L72:L73 N72:N73 P72:P73 R72:R73 T72:T73 V72:V73 X72:X73">
    <cfRule type="duplicateValues" dxfId="33" priority="34"/>
  </conditionalFormatting>
  <conditionalFormatting sqref="F74:F75 H74:H75 J74:J75 L74:L75 N74:N75 P74:P75 R74:R75 T74:T75 V74:V75 X74:X75">
    <cfRule type="duplicateValues" dxfId="32" priority="33"/>
  </conditionalFormatting>
  <conditionalFormatting sqref="F76:F77 H76:H77 J76:J77 L76:L77 N76:N77 P76:P77 R76:R77 T76:T77 V76:V77 X76:X77">
    <cfRule type="duplicateValues" dxfId="31" priority="32"/>
  </conditionalFormatting>
  <conditionalFormatting sqref="F78:F79 H78:H79 J78:J79 L78:L79 N78:N79 P78:P79 R78:R79 T78:T79 V78:V79 X78:X79">
    <cfRule type="duplicateValues" dxfId="30" priority="31"/>
  </conditionalFormatting>
  <conditionalFormatting sqref="F80:F81 H80:H81 J80:J81 L80:L81 N80:N81 P80:P81 R80:R81 T80:T81 V80:V81 X80:X81">
    <cfRule type="duplicateValues" dxfId="29" priority="30"/>
  </conditionalFormatting>
  <conditionalFormatting sqref="F82:F83 H82:H83 J82:J83 L82:L83 N82:N83 P82:P83 R82:R83 T82:T83 V82:V83 X82:X83">
    <cfRule type="duplicateValues" dxfId="28" priority="29"/>
  </conditionalFormatting>
  <conditionalFormatting sqref="F84:F85 H84:H85 J84:J85 L84:L85 N84:N85 P84:P85 R84:R85 T84:T85 V84:V85 X84:X85">
    <cfRule type="duplicateValues" dxfId="27" priority="28"/>
  </conditionalFormatting>
  <conditionalFormatting sqref="F86:F87 H86:H87 J86:J87 L86:L87 N86:N87 P86:P87 R86:R87 T86:T87 V86:V87 X86:X87">
    <cfRule type="duplicateValues" dxfId="26" priority="27"/>
  </conditionalFormatting>
  <conditionalFormatting sqref="F88:F89 H88:H89 J88:J89 L88:L89 N88:N89 P88:P89 R88:R89 T88:T89 V88:V89 X88:X89">
    <cfRule type="duplicateValues" dxfId="25" priority="26"/>
  </conditionalFormatting>
  <conditionalFormatting sqref="F90:F91 H90:H91 J90:J91 L90:L91 N90:N91 P90:P91 R90:R91 T90:T91 V90:V91 X90:X91">
    <cfRule type="duplicateValues" dxfId="24" priority="25"/>
  </conditionalFormatting>
  <conditionalFormatting sqref="F92:F93 H92:H93 J92:J93 L92:L93 N92:N93 P92:P93 R92:R93 T92:T93 V92:V93 X92:X93">
    <cfRule type="duplicateValues" dxfId="23" priority="24"/>
  </conditionalFormatting>
  <conditionalFormatting sqref="F94:F95 H94:H95 J94:J95 L94:L95 N94:N95 P94:P95 R94:R95 T94:T95 V94:V95 X94:X95">
    <cfRule type="duplicateValues" dxfId="22" priority="23"/>
  </conditionalFormatting>
  <conditionalFormatting sqref="F96:F97 H96:H97 J96:J97 L96:L97 N96:N97 P96:P97 R96:R97 T96:T97 V96:V97 X96:X97">
    <cfRule type="duplicateValues" dxfId="21" priority="22"/>
  </conditionalFormatting>
  <conditionalFormatting sqref="F98:F99 H98:H99 J98:J99 L98:L99 N98:N99 P98:P99 R98:R99 T98:T99 V98:V99 X98:X99">
    <cfRule type="duplicateValues" dxfId="20" priority="21"/>
  </conditionalFormatting>
  <conditionalFormatting sqref="F100:F101 H100:H101 J100:J101 L100:L101 N100:N101 P100:P101 R100:R101 T100:T101 V100:V101 X100:X101">
    <cfRule type="duplicateValues" dxfId="19" priority="20"/>
  </conditionalFormatting>
  <conditionalFormatting sqref="F102:F103 H102:H103 J102:J103 L102:L103 N102:N103 P102:P103 R102:R103 T102:T103 V102:V103 X102:X103">
    <cfRule type="duplicateValues" dxfId="18" priority="19"/>
  </conditionalFormatting>
  <conditionalFormatting sqref="F104:F105 H104:H105 J104:J105 L104:L105 N104:N105 P104:P105 R104:R105 T104:T105 V104:V105 X104:X105">
    <cfRule type="duplicateValues" dxfId="17" priority="18"/>
  </conditionalFormatting>
  <conditionalFormatting sqref="F106:F107 H106:H107 J106:J107 L106:L107 N106:N107 P106:P107 R106:R107 T106:T107 V106:V107 X106:X107">
    <cfRule type="duplicateValues" dxfId="16" priority="17"/>
  </conditionalFormatting>
  <conditionalFormatting sqref="F108:F109 H108:H109 J108:J109 L108:L109 N108:N109 P108:P109 R108:R109 T108:T109 V108:V109 X108:X109">
    <cfRule type="duplicateValues" dxfId="15" priority="16"/>
  </conditionalFormatting>
  <conditionalFormatting sqref="F110:F111 H110:H111 J110:J111 L110:L111 N110:N111 P110:P111 R110:R111 T110:T111 V110:V111 X110:X111">
    <cfRule type="duplicateValues" dxfId="14" priority="15"/>
  </conditionalFormatting>
  <conditionalFormatting sqref="F112:F113 H112:H113 J112:J113 L112:L113 N112:N113 P112:P113 R112:R113 T112:T113 V112:V113 X112:X113">
    <cfRule type="duplicateValues" dxfId="13" priority="14"/>
  </conditionalFormatting>
  <conditionalFormatting sqref="F114:F115 H114:H115 J114:J115 L114:L115 N114:N115 P114:P115 R114:R115 T114:T115 V114:V115 X114:X115">
    <cfRule type="duplicateValues" dxfId="12" priority="13"/>
  </conditionalFormatting>
  <conditionalFormatting sqref="F116:F117 H116:H117 J116:J117 L116:L117 N116:N117 P116:P117 R116:R117 T116:T117 V116:V117 X116:X117">
    <cfRule type="duplicateValues" dxfId="11" priority="12"/>
  </conditionalFormatting>
  <conditionalFormatting sqref="F118:F119 H118:H119 J118:J119 L118:L119 N118:N119 P118:P119 R118:R119 T118:T119 V118:V119 X118:X119">
    <cfRule type="duplicateValues" dxfId="10" priority="11"/>
  </conditionalFormatting>
  <conditionalFormatting sqref="H6:H9 H12:H119">
    <cfRule type="duplicateValues" dxfId="9" priority="10"/>
  </conditionalFormatting>
  <conditionalFormatting sqref="J6:J9 J12:J119">
    <cfRule type="duplicateValues" dxfId="8" priority="9"/>
  </conditionalFormatting>
  <conditionalFormatting sqref="L6:L9 L12:L119">
    <cfRule type="duplicateValues" dxfId="7" priority="8"/>
  </conditionalFormatting>
  <conditionalFormatting sqref="N6:N9 N12:N119">
    <cfRule type="duplicateValues" dxfId="6" priority="7"/>
  </conditionalFormatting>
  <conditionalFormatting sqref="P6:P9 P12:P119">
    <cfRule type="duplicateValues" dxfId="5" priority="6"/>
  </conditionalFormatting>
  <conditionalFormatting sqref="R6:R9 R12:R119">
    <cfRule type="duplicateValues" dxfId="4" priority="5"/>
  </conditionalFormatting>
  <conditionalFormatting sqref="T6:T9 T12:T119">
    <cfRule type="duplicateValues" dxfId="3" priority="4"/>
  </conditionalFormatting>
  <conditionalFormatting sqref="F6:Y9 F12:Y119">
    <cfRule type="containsText" dxfId="2" priority="1" operator="containsText" text="св">
      <formula>NOT(ISERROR(SEARCH("св",F6)))</formula>
    </cfRule>
    <cfRule type="containsText" dxfId="1" priority="2" operator="containsText" text="Х">
      <formula>NOT(ISERROR(SEARCH("Х",F6)))</formula>
    </cfRule>
    <cfRule type="containsBlanks" dxfId="0" priority="3">
      <formula>LEN(TRIM(F6))=0</formula>
    </cfRule>
  </conditionalFormatting>
  <printOptions horizontalCentered="1"/>
  <pageMargins left="0" right="0" top="0" bottom="0" header="0.51181102362204722" footer="0.51181102362204722"/>
  <pageSetup paperSize="9" scale="94" orientation="portrait" horizontalDpi="300" verticalDpi="300" r:id="rId1"/>
  <headerFooter alignWithMargins="0"/>
  <ignoredErrors>
    <ignoredError sqref="BB7 BA6 AY6 AX7:AY7 AX6 AZ7:BA7 AZ6 BB6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25" r:id="rId4" name="Button 901">
              <controlPr defaultSize="0" print="0" autoFill="0" autoPict="0" macro="[0]!пр9">
                <anchor moveWithCells="1">
                  <from>
                    <xdr:col>48</xdr:col>
                    <xdr:colOff>12700</xdr:colOff>
                    <xdr:row>0</xdr:row>
                    <xdr:rowOff>69850</xdr:rowOff>
                  </from>
                  <to>
                    <xdr:col>49</xdr:col>
                    <xdr:colOff>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5" name="Button 926">
              <controlPr defaultSize="0" print="0" autoFill="0" autoPict="0" macro="[0]!пр10">
                <anchor moveWithCells="1">
                  <from>
                    <xdr:col>49</xdr:col>
                    <xdr:colOff>31750</xdr:colOff>
                    <xdr:row>0</xdr:row>
                    <xdr:rowOff>69850</xdr:rowOff>
                  </from>
                  <to>
                    <xdr:col>50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6" name="Button 946">
              <controlPr defaultSize="0" print="0" autoFill="0" autoPict="0" macro="[0]!пр11">
                <anchor moveWithCells="1">
                  <from>
                    <xdr:col>50</xdr:col>
                    <xdr:colOff>31750</xdr:colOff>
                    <xdr:row>0</xdr:row>
                    <xdr:rowOff>69850</xdr:rowOff>
                  </from>
                  <to>
                    <xdr:col>50</xdr:col>
                    <xdr:colOff>260350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7" name="Button 953">
              <controlPr defaultSize="0" print="0" autoFill="0" autoPict="0" macro="[0]!пр12">
                <anchor moveWithCells="1">
                  <from>
                    <xdr:col>51</xdr:col>
                    <xdr:colOff>38100</xdr:colOff>
                    <xdr:row>0</xdr:row>
                    <xdr:rowOff>76200</xdr:rowOff>
                  </from>
                  <to>
                    <xdr:col>51</xdr:col>
                    <xdr:colOff>260350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8" name="Button 1032">
              <controlPr defaultSize="0" print="0" autoFill="0" autoPict="0" macro="[0]!пр13">
                <anchor moveWithCells="1">
                  <from>
                    <xdr:col>52</xdr:col>
                    <xdr:colOff>38100</xdr:colOff>
                    <xdr:row>0</xdr:row>
                    <xdr:rowOff>107950</xdr:rowOff>
                  </from>
                  <to>
                    <xdr:col>53</xdr:col>
                    <xdr:colOff>38100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9" name="Button 1036">
              <controlPr defaultSize="0" print="0" autoFill="0" autoPict="0" macro="[0]!пр14">
                <anchor moveWithCells="1">
                  <from>
                    <xdr:col>53</xdr:col>
                    <xdr:colOff>184150</xdr:colOff>
                    <xdr:row>0</xdr:row>
                    <xdr:rowOff>107950</xdr:rowOff>
                  </from>
                  <to>
                    <xdr:col>54</xdr:col>
                    <xdr:colOff>184150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0" name="Button 1037">
              <controlPr defaultSize="0" print="0" autoFill="0" autoPict="0" macro="[0]!пр15">
                <anchor moveWithCells="1">
                  <from>
                    <xdr:col>54</xdr:col>
                    <xdr:colOff>190500</xdr:colOff>
                    <xdr:row>0</xdr:row>
                    <xdr:rowOff>107950</xdr:rowOff>
                  </from>
                  <to>
                    <xdr:col>56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11" name="Button 1041">
              <controlPr defaultSize="0" print="0" autoFill="0" autoPict="0" macro="[0]!пр16">
                <anchor moveWithCells="1">
                  <from>
                    <xdr:col>56</xdr:col>
                    <xdr:colOff>12700</xdr:colOff>
                    <xdr:row>0</xdr:row>
                    <xdr:rowOff>88900</xdr:rowOff>
                  </from>
                  <to>
                    <xdr:col>57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0" r:id="rId12" name="Button 1048">
              <controlPr defaultSize="0" print="0" autoFill="0" autoPict="0" macro="[0]!пр17">
                <anchor moveWithCells="1">
                  <from>
                    <xdr:col>57</xdr:col>
                    <xdr:colOff>50800</xdr:colOff>
                    <xdr:row>0</xdr:row>
                    <xdr:rowOff>107950</xdr:rowOff>
                  </from>
                  <to>
                    <xdr:col>58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4" r:id="rId13" name="Button 1062">
              <controlPr defaultSize="0" print="0" autoFill="0" autoPict="0" macro="[0]!Зачернить">
                <anchor moveWithCells="1">
                  <from>
                    <xdr:col>29</xdr:col>
                    <xdr:colOff>12700</xdr:colOff>
                    <xdr:row>0</xdr:row>
                    <xdr:rowOff>50800</xdr:rowOff>
                  </from>
                  <to>
                    <xdr:col>47</xdr:col>
                    <xdr:colOff>0</xdr:colOff>
                    <xdr:row>0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7" r:id="rId14" name="Button 1075">
              <controlPr defaultSize="0" print="0" autoFill="0" autoPict="0" macro="[0]!пр18">
                <anchor moveWithCells="1">
                  <from>
                    <xdr:col>58</xdr:col>
                    <xdr:colOff>69850</xdr:colOff>
                    <xdr:row>0</xdr:row>
                    <xdr:rowOff>107950</xdr:rowOff>
                  </from>
                  <to>
                    <xdr:col>59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7" r:id="rId15" name="Button 1085">
              <controlPr defaultSize="0" print="0" autoFill="0" autoPict="0" macro="[0]!пр19">
                <anchor moveWithCells="1">
                  <from>
                    <xdr:col>59</xdr:col>
                    <xdr:colOff>69850</xdr:colOff>
                    <xdr:row>0</xdr:row>
                    <xdr:rowOff>107950</xdr:rowOff>
                  </from>
                  <to>
                    <xdr:col>60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7" r:id="rId16" name="Button 1095">
              <controlPr defaultSize="0" print="0" autoFill="0" autoPict="0" macro="[0]!пр20">
                <anchor moveWithCells="1">
                  <from>
                    <xdr:col>60</xdr:col>
                    <xdr:colOff>76200</xdr:colOff>
                    <xdr:row>0</xdr:row>
                    <xdr:rowOff>107950</xdr:rowOff>
                  </from>
                  <to>
                    <xdr:col>61</xdr:col>
                    <xdr:colOff>88900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0" r:id="rId17" name="Button 1098">
              <controlPr defaultSize="0" print="0" autoFill="0" autoPict="0" macro="[0]!пр21">
                <anchor moveWithCells="1" sizeWithCells="1">
                  <from>
                    <xdr:col>48</xdr:col>
                    <xdr:colOff>31750</xdr:colOff>
                    <xdr:row>1</xdr:row>
                    <xdr:rowOff>31750</xdr:rowOff>
                  </from>
                  <to>
                    <xdr:col>49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1" r:id="rId18" name="Button 1099">
              <controlPr defaultSize="0" print="0" autoFill="0" autoPict="0" macro="[0]!пр22">
                <anchor moveWithCells="1" sizeWithCells="1">
                  <from>
                    <xdr:col>49</xdr:col>
                    <xdr:colOff>69850</xdr:colOff>
                    <xdr:row>1</xdr:row>
                    <xdr:rowOff>31750</xdr:rowOff>
                  </from>
                  <to>
                    <xdr:col>50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2" r:id="rId19" name="Button 1100">
              <controlPr defaultSize="0" print="0" autoFill="0" autoPict="0" macro="[0]!пр23">
                <anchor moveWithCells="1" sizeWithCells="1">
                  <from>
                    <xdr:col>50</xdr:col>
                    <xdr:colOff>88900</xdr:colOff>
                    <xdr:row>1</xdr:row>
                    <xdr:rowOff>31750</xdr:rowOff>
                  </from>
                  <to>
                    <xdr:col>51</xdr:col>
                    <xdr:colOff>107950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3" r:id="rId20" name="Button 1101">
              <controlPr defaultSize="0" print="0" autoFill="0" autoPict="0" macro="[0]!пр24">
                <anchor moveWithCells="1" sizeWithCells="1">
                  <from>
                    <xdr:col>51</xdr:col>
                    <xdr:colOff>114300</xdr:colOff>
                    <xdr:row>1</xdr:row>
                    <xdr:rowOff>31750</xdr:rowOff>
                  </from>
                  <to>
                    <xdr:col>53</xdr:col>
                    <xdr:colOff>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4" r:id="rId21" name="Button 1102">
              <controlPr defaultSize="0" print="0" autoFill="0" autoPict="0" macro="[0]!пр25">
                <anchor moveWithCells="1" sizeWithCells="1">
                  <from>
                    <xdr:col>53</xdr:col>
                    <xdr:colOff>12700</xdr:colOff>
                    <xdr:row>1</xdr:row>
                    <xdr:rowOff>31750</xdr:rowOff>
                  </from>
                  <to>
                    <xdr:col>54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5" r:id="rId22" name="Button 1103">
              <controlPr defaultSize="0" print="0" autoFill="0" autoPict="0" macro="[0]!пр26">
                <anchor moveWithCells="1" sizeWithCells="1">
                  <from>
                    <xdr:col>54</xdr:col>
                    <xdr:colOff>50800</xdr:colOff>
                    <xdr:row>1</xdr:row>
                    <xdr:rowOff>31750</xdr:rowOff>
                  </from>
                  <to>
                    <xdr:col>55</xdr:col>
                    <xdr:colOff>50800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6" r:id="rId23" name="Button 1104">
              <controlPr defaultSize="0" print="0" autoFill="0" autoPict="0" macro="[0]!пр27">
                <anchor moveWithCells="1" sizeWithCells="1">
                  <from>
                    <xdr:col>55</xdr:col>
                    <xdr:colOff>69850</xdr:colOff>
                    <xdr:row>1</xdr:row>
                    <xdr:rowOff>31750</xdr:rowOff>
                  </from>
                  <to>
                    <xdr:col>56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7" r:id="rId24" name="Button 1105">
              <controlPr defaultSize="0" print="0" autoFill="0" autoPict="0" macro="[0]!пр28">
                <anchor moveWithCells="1" sizeWithCells="1">
                  <from>
                    <xdr:col>56</xdr:col>
                    <xdr:colOff>76200</xdr:colOff>
                    <xdr:row>1</xdr:row>
                    <xdr:rowOff>31750</xdr:rowOff>
                  </from>
                  <to>
                    <xdr:col>57</xdr:col>
                    <xdr:colOff>76200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8" r:id="rId25" name="Button 1106">
              <controlPr defaultSize="0" print="0" autoFill="0" autoPict="0" macro="[0]!пр29">
                <anchor moveWithCells="1" sizeWithCells="1">
                  <from>
                    <xdr:col>57</xdr:col>
                    <xdr:colOff>88900</xdr:colOff>
                    <xdr:row>1</xdr:row>
                    <xdr:rowOff>31750</xdr:rowOff>
                  </from>
                  <to>
                    <xdr:col>58</xdr:col>
                    <xdr:colOff>69850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9" r:id="rId26" name="Button 1107">
              <controlPr defaultSize="0" print="0" autoFill="0" autoPict="0" macro="[0]!пр30">
                <anchor moveWithCells="1" sizeWithCells="1">
                  <from>
                    <xdr:col>58</xdr:col>
                    <xdr:colOff>76200</xdr:colOff>
                    <xdr:row>1</xdr:row>
                    <xdr:rowOff>12700</xdr:rowOff>
                  </from>
                  <to>
                    <xdr:col>59</xdr:col>
                    <xdr:colOff>69850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0" r:id="rId27" name="Button 1108">
              <controlPr defaultSize="0" print="0" autoFill="0" autoPict="0" macro="[0]!пр31">
                <anchor moveWithCells="1" sizeWithCells="1">
                  <from>
                    <xdr:col>59</xdr:col>
                    <xdr:colOff>88900</xdr:colOff>
                    <xdr:row>1</xdr:row>
                    <xdr:rowOff>12700</xdr:rowOff>
                  </from>
                  <to>
                    <xdr:col>60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1" r:id="rId28" name="Button 1109">
              <controlPr defaultSize="0" print="0" autoFill="0" autoPict="0" macro="[0]!пр32">
                <anchor moveWithCells="1" sizeWithCells="1">
                  <from>
                    <xdr:col>60</xdr:col>
                    <xdr:colOff>107950</xdr:colOff>
                    <xdr:row>1</xdr:row>
                    <xdr:rowOff>12700</xdr:rowOff>
                  </from>
                  <to>
                    <xdr:col>61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2" r:id="rId29" name="Button 1110">
              <controlPr defaultSize="0" print="0" autoFill="0" autoPict="0" macro="[0]!пр33">
                <anchor moveWithCells="1" sizeWithCells="1">
                  <from>
                    <xdr:col>48</xdr:col>
                    <xdr:colOff>12700</xdr:colOff>
                    <xdr:row>1</xdr:row>
                    <xdr:rowOff>260350</xdr:rowOff>
                  </from>
                  <to>
                    <xdr:col>49</xdr:col>
                    <xdr:colOff>31750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3" r:id="rId30" name="Button 1111">
              <controlPr defaultSize="0" print="0" autoFill="0" autoPict="0" macro="[0]!пр34">
                <anchor moveWithCells="1" sizeWithCells="1">
                  <from>
                    <xdr:col>49</xdr:col>
                    <xdr:colOff>38100</xdr:colOff>
                    <xdr:row>1</xdr:row>
                    <xdr:rowOff>260350</xdr:rowOff>
                  </from>
                  <to>
                    <xdr:col>50</xdr:col>
                    <xdr:colOff>38100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4" r:id="rId31" name="Button 1112">
              <controlPr defaultSize="0" print="0" autoFill="0" autoPict="0" macro="[0]!пр35">
                <anchor moveWithCells="1" sizeWithCells="1">
                  <from>
                    <xdr:col>50</xdr:col>
                    <xdr:colOff>69850</xdr:colOff>
                    <xdr:row>1</xdr:row>
                    <xdr:rowOff>260350</xdr:rowOff>
                  </from>
                  <to>
                    <xdr:col>51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5" r:id="rId32" name="Button 1113">
              <controlPr defaultSize="0" print="0" autoFill="0" autoPict="0" macro="[0]!пр46">
                <anchor moveWithCells="1" sizeWithCells="1">
                  <from>
                    <xdr:col>49</xdr:col>
                    <xdr:colOff>31750</xdr:colOff>
                    <xdr:row>1</xdr:row>
                    <xdr:rowOff>457200</xdr:rowOff>
                  </from>
                  <to>
                    <xdr:col>50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33" name="Button 1114">
              <controlPr defaultSize="0" print="0" autoFill="0" autoPict="0" macro="[0]!пр43">
                <anchor moveWithCells="1" sizeWithCells="1">
                  <from>
                    <xdr:col>59</xdr:col>
                    <xdr:colOff>88900</xdr:colOff>
                    <xdr:row>1</xdr:row>
                    <xdr:rowOff>228600</xdr:rowOff>
                  </from>
                  <to>
                    <xdr:col>60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7" r:id="rId34" name="Button 1115">
              <controlPr defaultSize="0" print="0" autoFill="0" autoPict="0" macro="[0]!пр37">
                <anchor moveWithCells="1" sizeWithCells="1">
                  <from>
                    <xdr:col>52</xdr:col>
                    <xdr:colOff>76200</xdr:colOff>
                    <xdr:row>1</xdr:row>
                    <xdr:rowOff>260350</xdr:rowOff>
                  </from>
                  <to>
                    <xdr:col>53</xdr:col>
                    <xdr:colOff>222250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35" name="Button 1116">
              <controlPr defaultSize="0" print="0" autoFill="0" autoPict="0" macro="[0]!пр56">
                <anchor moveWithCells="1" sizeWithCells="1">
                  <from>
                    <xdr:col>60</xdr:col>
                    <xdr:colOff>107950</xdr:colOff>
                    <xdr:row>1</xdr:row>
                    <xdr:rowOff>450850</xdr:rowOff>
                  </from>
                  <to>
                    <xdr:col>61</xdr:col>
                    <xdr:colOff>114300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9" r:id="rId36" name="Button 1117">
              <controlPr defaultSize="0" print="0" autoFill="0" autoPict="0" macro="[0]!пр55">
                <anchor moveWithCells="1" sizeWithCells="1">
                  <from>
                    <xdr:col>59</xdr:col>
                    <xdr:colOff>76200</xdr:colOff>
                    <xdr:row>1</xdr:row>
                    <xdr:rowOff>450850</xdr:rowOff>
                  </from>
                  <to>
                    <xdr:col>60</xdr:col>
                    <xdr:colOff>88900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0" r:id="rId37" name="Button 1118">
              <controlPr defaultSize="0" print="0" autoFill="0" autoPict="0" macro="[0]!пр54">
                <anchor moveWithCells="1" sizeWithCells="1">
                  <from>
                    <xdr:col>58</xdr:col>
                    <xdr:colOff>69850</xdr:colOff>
                    <xdr:row>1</xdr:row>
                    <xdr:rowOff>450850</xdr:rowOff>
                  </from>
                  <to>
                    <xdr:col>59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1" r:id="rId38" name="Button 1119">
              <controlPr defaultSize="0" print="0" autoFill="0" autoPict="0" macro="[0]!пр36">
                <anchor moveWithCells="1" sizeWithCells="1">
                  <from>
                    <xdr:col>51</xdr:col>
                    <xdr:colOff>76200</xdr:colOff>
                    <xdr:row>1</xdr:row>
                    <xdr:rowOff>266700</xdr:rowOff>
                  </from>
                  <to>
                    <xdr:col>52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2" r:id="rId39" name="Button 1120">
              <controlPr defaultSize="0" print="0" autoFill="0" autoPict="0" macro="[0]!пр50">
                <anchor moveWithCells="1" sizeWithCells="1">
                  <from>
                    <xdr:col>53</xdr:col>
                    <xdr:colOff>222250</xdr:colOff>
                    <xdr:row>1</xdr:row>
                    <xdr:rowOff>488950</xdr:rowOff>
                  </from>
                  <to>
                    <xdr:col>55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3" r:id="rId40" name="Button 1121">
              <controlPr defaultSize="0" print="0" autoFill="0" autoPict="0" macro="[0]!пр51">
                <anchor moveWithCells="1" sizeWithCells="1">
                  <from>
                    <xdr:col>55</xdr:col>
                    <xdr:colOff>38100</xdr:colOff>
                    <xdr:row>1</xdr:row>
                    <xdr:rowOff>469900</xdr:rowOff>
                  </from>
                  <to>
                    <xdr:col>56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4" r:id="rId41" name="Button 1122">
              <controlPr defaultSize="0" print="0" autoFill="0" autoPict="0" macro="[0]!пр49">
                <anchor moveWithCells="1" sizeWithCells="1">
                  <from>
                    <xdr:col>52</xdr:col>
                    <xdr:colOff>69850</xdr:colOff>
                    <xdr:row>1</xdr:row>
                    <xdr:rowOff>488950</xdr:rowOff>
                  </from>
                  <to>
                    <xdr:col>53</xdr:col>
                    <xdr:colOff>203200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5" r:id="rId42" name="Button 1123">
              <controlPr defaultSize="0" print="0" autoFill="0" autoPict="0" macro="[0]!пр38">
                <anchor moveWithCells="1" sizeWithCells="1">
                  <from>
                    <xdr:col>54</xdr:col>
                    <xdr:colOff>0</xdr:colOff>
                    <xdr:row>1</xdr:row>
                    <xdr:rowOff>260350</xdr:rowOff>
                  </from>
                  <to>
                    <xdr:col>55</xdr:col>
                    <xdr:colOff>31750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6" r:id="rId43" name="Button 1124">
              <controlPr defaultSize="0" print="0" autoFill="0" autoPict="0" macro="[0]!пр42">
                <anchor moveWithCells="1" sizeWithCells="1">
                  <from>
                    <xdr:col>58</xdr:col>
                    <xdr:colOff>88900</xdr:colOff>
                    <xdr:row>1</xdr:row>
                    <xdr:rowOff>228600</xdr:rowOff>
                  </from>
                  <to>
                    <xdr:col>59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7" r:id="rId44" name="Button 1125">
              <controlPr defaultSize="0" print="0" autoFill="0" autoPict="0" macro="[0]!пр53">
                <anchor moveWithCells="1" sizeWithCells="1">
                  <from>
                    <xdr:col>57</xdr:col>
                    <xdr:colOff>88900</xdr:colOff>
                    <xdr:row>1</xdr:row>
                    <xdr:rowOff>450850</xdr:rowOff>
                  </from>
                  <to>
                    <xdr:col>58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8" r:id="rId45" name="Button 1126">
              <controlPr defaultSize="0" print="0" autoFill="0" autoPict="0" macro="[0]!пр52">
                <anchor moveWithCells="1" sizeWithCells="1">
                  <from>
                    <xdr:col>56</xdr:col>
                    <xdr:colOff>69850</xdr:colOff>
                    <xdr:row>1</xdr:row>
                    <xdr:rowOff>469900</xdr:rowOff>
                  </from>
                  <to>
                    <xdr:col>57</xdr:col>
                    <xdr:colOff>69850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9" r:id="rId46" name="Button 1127">
              <controlPr defaultSize="0" print="0" autoFill="0" autoPict="0" macro="[0]!пр47">
                <anchor moveWithCells="1" sizeWithCells="1">
                  <from>
                    <xdr:col>50</xdr:col>
                    <xdr:colOff>50800</xdr:colOff>
                    <xdr:row>1</xdr:row>
                    <xdr:rowOff>469900</xdr:rowOff>
                  </from>
                  <to>
                    <xdr:col>51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0" r:id="rId47" name="Button 1128">
              <controlPr defaultSize="0" print="0" autoFill="0" autoPict="0" macro="[0]!пр48">
                <anchor moveWithCells="1" sizeWithCells="1">
                  <from>
                    <xdr:col>51</xdr:col>
                    <xdr:colOff>50800</xdr:colOff>
                    <xdr:row>1</xdr:row>
                    <xdr:rowOff>469900</xdr:rowOff>
                  </from>
                  <to>
                    <xdr:col>52</xdr:col>
                    <xdr:colOff>38100</xdr:colOff>
                    <xdr:row>1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" r:id="rId48" name="Button 1129">
              <controlPr defaultSize="0" print="0" autoFill="0" autoPict="0" macro="[0]!пр41">
                <anchor moveWithCells="1" sizeWithCells="1">
                  <from>
                    <xdr:col>57</xdr:col>
                    <xdr:colOff>88900</xdr:colOff>
                    <xdr:row>1</xdr:row>
                    <xdr:rowOff>241300</xdr:rowOff>
                  </from>
                  <to>
                    <xdr:col>58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2" r:id="rId49" name="Button 1130">
              <controlPr defaultSize="0" print="0" autoFill="0" autoPict="0" macro="[0]!пр45">
                <anchor moveWithCells="1" sizeWithCells="1">
                  <from>
                    <xdr:col>48</xdr:col>
                    <xdr:colOff>12700</xdr:colOff>
                    <xdr:row>1</xdr:row>
                    <xdr:rowOff>469900</xdr:rowOff>
                  </from>
                  <to>
                    <xdr:col>49</xdr:col>
                    <xdr:colOff>12700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3" r:id="rId50" name="Button 1131">
              <controlPr defaultSize="0" print="0" autoFill="0" autoPict="0" macro="[0]!пр44">
                <anchor moveWithCells="1" sizeWithCells="1">
                  <from>
                    <xdr:col>60</xdr:col>
                    <xdr:colOff>114300</xdr:colOff>
                    <xdr:row>1</xdr:row>
                    <xdr:rowOff>228600</xdr:rowOff>
                  </from>
                  <to>
                    <xdr:col>61</xdr:col>
                    <xdr:colOff>114300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4" r:id="rId51" name="Button 1132">
              <controlPr defaultSize="0" print="0" autoFill="0" autoPict="0" macro="[0]!пр40">
                <anchor moveWithCells="1" sizeWithCells="1">
                  <from>
                    <xdr:col>56</xdr:col>
                    <xdr:colOff>50800</xdr:colOff>
                    <xdr:row>1</xdr:row>
                    <xdr:rowOff>241300</xdr:rowOff>
                  </from>
                  <to>
                    <xdr:col>57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5" r:id="rId52" name="Button 1133">
              <controlPr defaultSize="0" print="0" autoFill="0" autoPict="0" macro="[0]!пр39">
                <anchor moveWithCells="1" sizeWithCells="1">
                  <from>
                    <xdr:col>55</xdr:col>
                    <xdr:colOff>38100</xdr:colOff>
                    <xdr:row>1</xdr:row>
                    <xdr:rowOff>260350</xdr:rowOff>
                  </from>
                  <to>
                    <xdr:col>56</xdr:col>
                    <xdr:colOff>38100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6" r:id="rId53" name="Button 1134">
              <controlPr defaultSize="0" print="0" autoFill="0" autoPict="0" macro="[0]!пр8">
                <anchor moveWithCells="1">
                  <from>
                    <xdr:col>53</xdr:col>
                    <xdr:colOff>12700</xdr:colOff>
                    <xdr:row>2</xdr:row>
                    <xdr:rowOff>31750</xdr:rowOff>
                  </from>
                  <to>
                    <xdr:col>53</xdr:col>
                    <xdr:colOff>203200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7" r:id="rId54" name="Button 1135">
              <controlPr defaultSize="0" print="0" autoFill="0" autoPict="0" macro="[0]!пр7">
                <anchor moveWithCells="1">
                  <from>
                    <xdr:col>53</xdr:col>
                    <xdr:colOff>222250</xdr:colOff>
                    <xdr:row>2</xdr:row>
                    <xdr:rowOff>31750</xdr:rowOff>
                  </from>
                  <to>
                    <xdr:col>54</xdr:col>
                    <xdr:colOff>222250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9" r:id="rId55" name="Button 1137">
              <controlPr defaultSize="0" print="0" autoFill="0" autoPict="0" macro="[0]!пр6">
                <anchor moveWithCells="1">
                  <from>
                    <xdr:col>55</xdr:col>
                    <xdr:colOff>0</xdr:colOff>
                    <xdr:row>2</xdr:row>
                    <xdr:rowOff>31750</xdr:rowOff>
                  </from>
                  <to>
                    <xdr:col>56</xdr:col>
                    <xdr:colOff>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0" r:id="rId56" name="Button 1138">
              <controlPr defaultSize="0" print="0" autoFill="0" autoPict="0" macro="[0]!пр5">
                <anchor moveWithCells="1">
                  <from>
                    <xdr:col>56</xdr:col>
                    <xdr:colOff>12700</xdr:colOff>
                    <xdr:row>2</xdr:row>
                    <xdr:rowOff>31750</xdr:rowOff>
                  </from>
                  <to>
                    <xdr:col>56</xdr:col>
                    <xdr:colOff>222250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1" r:id="rId57" name="Button 1139">
              <controlPr defaultSize="0" print="0" autoFill="0" autoPict="0" macro="[0]!пр4">
                <anchor moveWithCells="1">
                  <from>
                    <xdr:col>57</xdr:col>
                    <xdr:colOff>0</xdr:colOff>
                    <xdr:row>2</xdr:row>
                    <xdr:rowOff>31750</xdr:rowOff>
                  </from>
                  <to>
                    <xdr:col>57</xdr:col>
                    <xdr:colOff>184150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2" r:id="rId58" name="Button 1140">
              <controlPr defaultSize="0" print="0" autoFill="0" autoPict="0" macro="[0]!пр3">
                <anchor moveWithCells="1" sizeWithCells="1">
                  <from>
                    <xdr:col>57</xdr:col>
                    <xdr:colOff>190500</xdr:colOff>
                    <xdr:row>2</xdr:row>
                    <xdr:rowOff>31750</xdr:rowOff>
                  </from>
                  <to>
                    <xdr:col>58</xdr:col>
                    <xdr:colOff>114300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3" r:id="rId59" name="Button 1141">
              <controlPr defaultSize="0" print="0" autoFill="0" autoPict="0" macro="[0]!пр2">
                <anchor moveWithCells="1">
                  <from>
                    <xdr:col>58</xdr:col>
                    <xdr:colOff>127000</xdr:colOff>
                    <xdr:row>2</xdr:row>
                    <xdr:rowOff>31750</xdr:rowOff>
                  </from>
                  <to>
                    <xdr:col>59</xdr:col>
                    <xdr:colOff>88900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5" r:id="rId60" name="Button 1143">
              <controlPr defaultSize="0" print="0" autoFill="0" autoPict="0" macro="[0]!пр1">
                <anchor moveWithCells="1">
                  <from>
                    <xdr:col>59</xdr:col>
                    <xdr:colOff>107950</xdr:colOff>
                    <xdr:row>2</xdr:row>
                    <xdr:rowOff>12700</xdr:rowOff>
                  </from>
                  <to>
                    <xdr:col>60</xdr:col>
                    <xdr:colOff>69850</xdr:colOff>
                    <xdr:row>2</xdr:row>
                    <xdr:rowOff>222250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0"/>
  </sheetPr>
  <dimension ref="A1:AW121"/>
  <sheetViews>
    <sheetView tabSelected="1" zoomScaleNormal="100" workbookViewId="0">
      <selection activeCell="AD119" sqref="AD119"/>
    </sheetView>
  </sheetViews>
  <sheetFormatPr defaultRowHeight="12.5"/>
  <cols>
    <col min="1" max="1" width="5.54296875" customWidth="1"/>
    <col min="2" max="2" width="4.81640625" customWidth="1"/>
    <col min="3" max="3" width="25.81640625" customWidth="1"/>
    <col min="4" max="4" width="15.1796875" customWidth="1"/>
    <col min="5" max="5" width="6.453125" customWidth="1"/>
    <col min="6" max="6" width="17.81640625" customWidth="1"/>
    <col min="7" max="7" width="7.453125" customWidth="1"/>
    <col min="8" max="8" width="17.1796875" customWidth="1"/>
    <col min="9" max="9" width="7" customWidth="1"/>
    <col min="10" max="10" width="14.81640625" hidden="1" customWidth="1"/>
    <col min="11" max="11" width="4.54296875" hidden="1" customWidth="1"/>
    <col min="12" max="28" width="9.1796875" hidden="1" customWidth="1"/>
  </cols>
  <sheetData>
    <row r="1" spans="1:49" ht="24.75" customHeight="1" thickBot="1">
      <c r="A1" s="492" t="s">
        <v>63</v>
      </c>
      <c r="B1" s="492"/>
      <c r="C1" s="492"/>
      <c r="D1" s="492"/>
      <c r="E1" s="492"/>
      <c r="F1" s="492"/>
      <c r="G1" s="492"/>
      <c r="H1" s="492"/>
      <c r="I1" s="2"/>
      <c r="J1" s="103"/>
      <c r="K1" s="103"/>
      <c r="L1" s="103"/>
      <c r="M1" s="103">
        <f ca="1">SUMIF(M6:M11,O1,$K$14:$K$17)</f>
        <v>1</v>
      </c>
      <c r="N1" s="103"/>
      <c r="O1" s="103" t="str">
        <f>J12</f>
        <v>Свердловская</v>
      </c>
    </row>
    <row r="2" spans="1:49" ht="55.5" customHeight="1" thickBot="1">
      <c r="A2" s="406" t="s">
        <v>159</v>
      </c>
      <c r="B2" s="406"/>
      <c r="C2" s="406"/>
      <c r="D2" s="493" t="str">
        <f>[4]реквизиты!$A$2</f>
        <v>ВСЕРОССИЙСКИЕ СОРЕВНОВАНИЯ ПО САМБО "ПАМЯТЬ" СРЕДИ МУЖЧИН И ЖЕНЩИН</v>
      </c>
      <c r="E2" s="494"/>
      <c r="F2" s="494"/>
      <c r="G2" s="494"/>
      <c r="H2" s="495"/>
      <c r="I2" s="26"/>
      <c r="M2" s="377">
        <f>SUMIF(J14:J16,O1,$K$14:$K$17)</f>
        <v>0</v>
      </c>
      <c r="N2" s="377"/>
      <c r="O2" s="377"/>
      <c r="P2" s="377"/>
      <c r="Q2" s="377"/>
      <c r="AC2" s="518" t="s">
        <v>105</v>
      </c>
      <c r="AD2" s="518"/>
      <c r="AE2" s="518"/>
      <c r="AF2" s="518"/>
      <c r="AG2" s="518"/>
      <c r="AH2" s="518"/>
    </row>
    <row r="3" spans="1:49" ht="25.5" customHeight="1" thickBot="1">
      <c r="B3" s="27"/>
      <c r="C3" s="501" t="str">
        <f>[4]реквизиты!$A$3</f>
        <v>29-31 марта  2019 года                          г.Екатеринбург</v>
      </c>
      <c r="D3" s="501"/>
      <c r="E3" s="501"/>
      <c r="F3" s="501"/>
      <c r="G3" s="502"/>
      <c r="H3" s="50" t="str">
        <f>пр.взв!$D$4</f>
        <v>В.к. 52 кг.</v>
      </c>
      <c r="I3" s="27"/>
      <c r="AW3">
        <v>7</v>
      </c>
    </row>
    <row r="4" spans="1:49" ht="12.75" customHeight="1" thickBot="1">
      <c r="A4" s="496" t="s">
        <v>22</v>
      </c>
      <c r="B4" s="498" t="s">
        <v>5</v>
      </c>
      <c r="C4" s="500" t="s">
        <v>2</v>
      </c>
      <c r="D4" s="500" t="s">
        <v>3</v>
      </c>
      <c r="E4" s="505" t="s">
        <v>4</v>
      </c>
      <c r="F4" s="506"/>
      <c r="G4" s="500" t="s">
        <v>8</v>
      </c>
      <c r="H4" s="503" t="s">
        <v>9</v>
      </c>
      <c r="J4" s="516" t="str">
        <f>IFERROR(LEFT(F6,FIND(",",F6)-1),F6)</f>
        <v>Курганская</v>
      </c>
      <c r="K4" s="517">
        <v>1</v>
      </c>
      <c r="L4" s="514" t="s">
        <v>85</v>
      </c>
      <c r="M4" s="519" t="s">
        <v>64</v>
      </c>
      <c r="N4" s="522"/>
      <c r="O4" s="523"/>
      <c r="P4" s="523"/>
      <c r="Q4" s="524"/>
      <c r="V4" s="514" t="s">
        <v>85</v>
      </c>
      <c r="W4" s="519" t="s">
        <v>64</v>
      </c>
      <c r="X4" s="511"/>
      <c r="Y4" s="512"/>
      <c r="Z4" s="512"/>
      <c r="AA4" s="513"/>
      <c r="AC4" s="514" t="s">
        <v>85</v>
      </c>
      <c r="AD4" s="519" t="s">
        <v>64</v>
      </c>
      <c r="AE4" s="511"/>
      <c r="AF4" s="512"/>
      <c r="AG4" s="512"/>
      <c r="AH4" s="513"/>
    </row>
    <row r="5" spans="1:49" ht="16" thickBot="1">
      <c r="A5" s="497"/>
      <c r="B5" s="499"/>
      <c r="C5" s="499"/>
      <c r="D5" s="499"/>
      <c r="E5" s="507"/>
      <c r="F5" s="508"/>
      <c r="G5" s="499"/>
      <c r="H5" s="504"/>
      <c r="J5" s="516"/>
      <c r="K5" s="517"/>
      <c r="L5" s="515"/>
      <c r="M5" s="521"/>
      <c r="N5" s="65">
        <v>1</v>
      </c>
      <c r="O5" s="66">
        <v>2</v>
      </c>
      <c r="P5" s="66">
        <v>3</v>
      </c>
      <c r="Q5" s="67">
        <v>5</v>
      </c>
      <c r="S5" s="104">
        <v>1</v>
      </c>
      <c r="U5" s="104">
        <v>2</v>
      </c>
      <c r="V5" s="515"/>
      <c r="W5" s="520"/>
      <c r="X5" s="105">
        <v>1</v>
      </c>
      <c r="Y5" s="106">
        <v>2</v>
      </c>
      <c r="Z5" s="106">
        <v>3</v>
      </c>
      <c r="AA5" s="107">
        <v>5</v>
      </c>
      <c r="AC5" s="515"/>
      <c r="AD5" s="520"/>
      <c r="AE5" s="105">
        <v>1</v>
      </c>
      <c r="AF5" s="106">
        <v>2</v>
      </c>
      <c r="AG5" s="106">
        <v>3</v>
      </c>
      <c r="AH5" s="107">
        <v>5</v>
      </c>
    </row>
    <row r="6" spans="1:49" ht="24" customHeight="1">
      <c r="A6" s="195">
        <v>1</v>
      </c>
      <c r="B6" s="190">
        <f>INDEX(пр.хода!$B$6:'пр.хода'!$AB$119,MATCH(1,пр.хода!$AC$6:'пр.хода'!$AC$119,0),MATCH("№ п/ж",пр.хода!$B$4:'пр.хода'!$D$4,0))</f>
        <v>2</v>
      </c>
      <c r="C6" s="196" t="str">
        <f>VLOOKUP(B6,пр.взв!B$7:H$120,2,FALSE)</f>
        <v>ШКЕТ Ольга Владимировна</v>
      </c>
      <c r="D6" s="196" t="str">
        <f>VLOOKUP(B6,пр.взв!B$7:H$120,3,FALSE)</f>
        <v>11.05.96, МС</v>
      </c>
      <c r="E6" s="196" t="str">
        <f>VLOOKUP(B6,пр.взв!B$7:H$120,4,FALSE)</f>
        <v>УФО</v>
      </c>
      <c r="F6" s="191" t="str">
        <f>VLOOKUP(B6,пр.взв!B$7:H$120,5,FALSE)</f>
        <v>Курганская, Курган, СШОР№1</v>
      </c>
      <c r="G6" s="192">
        <f>VLOOKUP(B6,пр.взв!B$7:H$120,6,FALSE)</f>
        <v>0</v>
      </c>
      <c r="H6" s="191" t="str">
        <f>VLOOKUP(B6,пр.взв!B$7:H$120,7,FALSE)</f>
        <v>Осипов В.Ю., Герасимов Д.В.</v>
      </c>
      <c r="J6" s="238" t="s">
        <v>86</v>
      </c>
      <c r="K6" s="239">
        <v>1</v>
      </c>
      <c r="L6" s="68">
        <v>1</v>
      </c>
      <c r="M6" s="64" t="str">
        <f>J4</f>
        <v>Курганская</v>
      </c>
      <c r="N6" s="69">
        <f t="shared" ref="N6:N11" si="0">SUMIF($J$4:$J$7,M6,$K$4:$K$7)</f>
        <v>1</v>
      </c>
      <c r="O6" s="69">
        <f t="shared" ref="O6:O11" ca="1" si="1">SUMIF($I$8:$J$9,M6,$K$6:$K$9)</f>
        <v>0</v>
      </c>
      <c r="P6" s="70">
        <f t="shared" ref="P6:P11" si="2">SUMIF($J$10:$J$13,M6,$K$10:$K$13)</f>
        <v>0</v>
      </c>
      <c r="Q6" s="70">
        <f>SUMIF($J$14:$J$17,M6,$K$14:$K$17)</f>
        <v>0</v>
      </c>
      <c r="S6" t="str">
        <f>M6</f>
        <v>Курганская</v>
      </c>
      <c r="U6" t="str">
        <f>S6</f>
        <v>Курганская</v>
      </c>
      <c r="V6" s="108">
        <v>1</v>
      </c>
      <c r="W6" s="109" t="str">
        <f>U6</f>
        <v>Курганская</v>
      </c>
      <c r="X6" s="110">
        <f t="shared" ref="X6:X11" si="3">SUMIF($J$4:$J$7,W6,$K$4:$K$7)</f>
        <v>1</v>
      </c>
      <c r="Y6" s="110">
        <f t="shared" ref="Y6:Y11" ca="1" si="4">SUMIF($I$8:$J$9,W6,$K$6:$K$9)</f>
        <v>0</v>
      </c>
      <c r="Z6" s="110">
        <f t="shared" ref="Z6:Z11" si="5">SUMIF($J$10:$J$13,W6,$K$10:$K$13)</f>
        <v>0</v>
      </c>
      <c r="AA6" s="221">
        <f t="shared" ref="AA6:AA11" si="6">SUMIF($J$14:$J$17,W6,$K$14:$K$17)</f>
        <v>0</v>
      </c>
      <c r="AC6" s="108">
        <v>1</v>
      </c>
      <c r="AD6" s="109" t="str">
        <f t="shared" ref="AD6:AH11" si="7">IF(W6=0," ",W6)</f>
        <v>Курганская</v>
      </c>
      <c r="AE6" s="110">
        <f t="shared" si="7"/>
        <v>1</v>
      </c>
      <c r="AF6" s="110" t="str">
        <f t="shared" ca="1" si="7"/>
        <v xml:space="preserve"> </v>
      </c>
      <c r="AG6" s="110" t="str">
        <f t="shared" si="7"/>
        <v xml:space="preserve"> </v>
      </c>
      <c r="AH6" s="111" t="str">
        <f t="shared" si="7"/>
        <v xml:space="preserve"> </v>
      </c>
    </row>
    <row r="7" spans="1:49" ht="24" customHeight="1">
      <c r="A7" s="182">
        <v>2</v>
      </c>
      <c r="B7" s="189">
        <f>INDEX(пр.хода!$B$6:'пр.хода'!$AB$119,MATCH(2,пр.хода!$AC$6:'пр.хода'!$AC$119,0),MATCH("№ п/ж",пр.хода!$B$4:'пр.хода'!$D$4,0))</f>
        <v>4</v>
      </c>
      <c r="C7" s="191" t="str">
        <f>VLOOKUP(B7,пр.взв!B$7:H$120,2,FALSE)</f>
        <v>ГАСПАРЯН Наре Петросовна</v>
      </c>
      <c r="D7" s="191" t="str">
        <f>VLOOKUP(B7,пр.взв!B$7:H$120,3,FALSE)</f>
        <v>26.02.97, КМС</v>
      </c>
      <c r="E7" s="191" t="str">
        <f>VLOOKUP(B7,пр.взв!B$7:H$120,4,FALSE)</f>
        <v>УФО</v>
      </c>
      <c r="F7" s="191" t="str">
        <f>VLOOKUP(B7,пр.взв!B$7:H$120,5,FALSE)</f>
        <v>Челябинская, Челябинск</v>
      </c>
      <c r="G7" s="192">
        <f>VLOOKUP(B7,пр.взв!B$7:H$120,6,FALSE)</f>
        <v>0</v>
      </c>
      <c r="H7" s="191" t="str">
        <f>VLOOKUP(B7,пр.взв!B$7:H$120,7,FALSE)</f>
        <v>Кадолин В.И.</v>
      </c>
      <c r="J7" s="238"/>
      <c r="K7" s="239"/>
      <c r="L7" s="63">
        <v>2</v>
      </c>
      <c r="M7" s="64" t="str">
        <f>IF(J8=J4," ",J8)</f>
        <v>Челябинская</v>
      </c>
      <c r="N7" s="69">
        <f t="shared" si="0"/>
        <v>0</v>
      </c>
      <c r="O7" s="69">
        <f t="shared" ca="1" si="1"/>
        <v>1</v>
      </c>
      <c r="P7" s="70">
        <f t="shared" si="2"/>
        <v>0</v>
      </c>
      <c r="Q7" s="70">
        <f>SUMIF($J$14:$J$17,M7,$K$14:$K$17)</f>
        <v>0</v>
      </c>
      <c r="S7" t="str">
        <f>IF(OR(M7=" "),M8,M7)</f>
        <v>Челябинская</v>
      </c>
      <c r="T7">
        <f>IF(N7=N6," ",N7)</f>
        <v>0</v>
      </c>
      <c r="U7" t="str">
        <f>IF(OR(S7=" "),S8,S7)</f>
        <v>Челябинская</v>
      </c>
      <c r="V7" s="112">
        <v>2</v>
      </c>
      <c r="W7" s="113" t="str">
        <f>IF(OR(U7=" "),U8,U7)</f>
        <v>Челябинская</v>
      </c>
      <c r="X7" s="51">
        <f t="shared" si="3"/>
        <v>0</v>
      </c>
      <c r="Y7" s="51">
        <f t="shared" ca="1" si="4"/>
        <v>1</v>
      </c>
      <c r="Z7" s="51">
        <f t="shared" si="5"/>
        <v>0</v>
      </c>
      <c r="AA7" s="222">
        <f t="shared" si="6"/>
        <v>0</v>
      </c>
      <c r="AC7" s="112">
        <v>2</v>
      </c>
      <c r="AD7" s="113" t="str">
        <f t="shared" si="7"/>
        <v>Челябинская</v>
      </c>
      <c r="AE7" s="51" t="str">
        <f t="shared" si="7"/>
        <v xml:space="preserve"> </v>
      </c>
      <c r="AF7" s="51">
        <f t="shared" ca="1" si="7"/>
        <v>1</v>
      </c>
      <c r="AG7" s="51" t="str">
        <f t="shared" si="7"/>
        <v xml:space="preserve"> </v>
      </c>
      <c r="AH7" s="114" t="str">
        <f t="shared" si="7"/>
        <v xml:space="preserve"> </v>
      </c>
    </row>
    <row r="8" spans="1:49" ht="24" customHeight="1">
      <c r="A8" s="182">
        <v>3</v>
      </c>
      <c r="B8" s="189">
        <f>INDEX(пр.хода!$B$6:'пр.хода'!$AB$119,MATCH(3,пр.хода!$AC$6:'пр.хода'!$AC$119,0),MATCH("№ п/ж",пр.хода!$B$4:'пр.хода'!$D$4,0))</f>
        <v>1</v>
      </c>
      <c r="C8" s="191" t="str">
        <f>VLOOKUP(B8,пр.взв!B$7:H$120,2,FALSE)</f>
        <v>ГАВРИЛОВА Полина Сергеевна</v>
      </c>
      <c r="D8" s="191" t="str">
        <f>VLOOKUP(B8,пр.взв!B$7:H$120,3,FALSE)</f>
        <v>23.06.96, КМС</v>
      </c>
      <c r="E8" s="191" t="str">
        <f>VLOOKUP(B8,пр.взв!B$7:H$120,4,FALSE)</f>
        <v>УФО</v>
      </c>
      <c r="F8" s="191" t="str">
        <f>VLOOKUP(B8,пр.взв!B$7:H$120,5,FALSE)</f>
        <v>Свердловская, Серов</v>
      </c>
      <c r="G8" s="192">
        <f>VLOOKUP(B8,пр.взв!B$7:H$120,6,FALSE)</f>
        <v>0</v>
      </c>
      <c r="H8" s="191" t="str">
        <f>VLOOKUP(B8,пр.взв!B$7:H$120,7,FALSE)</f>
        <v>Ушаков П.С.</v>
      </c>
      <c r="J8" s="239" t="str">
        <f>IFERROR(LEFT(F7,FIND(",",F7)-1),F7)</f>
        <v>Челябинская</v>
      </c>
      <c r="K8" s="239">
        <v>1</v>
      </c>
      <c r="L8" s="62">
        <v>3</v>
      </c>
      <c r="M8" s="64" t="str">
        <f>IF(OR(J10=J4,J10=J8)," ",J10)</f>
        <v>Свердловская</v>
      </c>
      <c r="N8" s="69">
        <f t="shared" si="0"/>
        <v>0</v>
      </c>
      <c r="O8" s="69">
        <f t="shared" ca="1" si="1"/>
        <v>0</v>
      </c>
      <c r="P8" s="70">
        <f t="shared" si="2"/>
        <v>2</v>
      </c>
      <c r="Q8" s="70">
        <f>SUMIF($J$14:$J$17,M8,$K$14:$K$17)</f>
        <v>0</v>
      </c>
      <c r="S8" t="str">
        <f>IF(OR(M8=" ",M7=" "),M9,M8)</f>
        <v>Свердловская</v>
      </c>
      <c r="U8" t="str">
        <f>IF(OR(S8=" ",S7=" "),S9,S8)</f>
        <v>Свердловская</v>
      </c>
      <c r="V8" s="115">
        <v>3</v>
      </c>
      <c r="W8" s="113" t="str">
        <f>IF(OR(U8=" ",U7=" "),U9,U8)</f>
        <v>Свердловская</v>
      </c>
      <c r="X8" s="51">
        <f t="shared" si="3"/>
        <v>0</v>
      </c>
      <c r="Y8" s="51">
        <f t="shared" ca="1" si="4"/>
        <v>0</v>
      </c>
      <c r="Z8" s="51">
        <f t="shared" si="5"/>
        <v>2</v>
      </c>
      <c r="AA8" s="222">
        <f t="shared" si="6"/>
        <v>0</v>
      </c>
      <c r="AC8" s="115">
        <v>3</v>
      </c>
      <c r="AD8" s="113" t="str">
        <f t="shared" si="7"/>
        <v>Свердловская</v>
      </c>
      <c r="AE8" s="51" t="str">
        <f t="shared" si="7"/>
        <v xml:space="preserve"> </v>
      </c>
      <c r="AF8" s="51" t="str">
        <f t="shared" ca="1" si="7"/>
        <v xml:space="preserve"> </v>
      </c>
      <c r="AG8" s="51">
        <f t="shared" si="7"/>
        <v>2</v>
      </c>
      <c r="AH8" s="114" t="str">
        <f t="shared" si="7"/>
        <v xml:space="preserve"> </v>
      </c>
    </row>
    <row r="9" spans="1:49" ht="24" customHeight="1">
      <c r="A9" s="182">
        <v>3</v>
      </c>
      <c r="B9" s="189">
        <f>INDEX(пр.хода!$B$6:'пр.хода'!$AB$119,MATCH(4,пр.хода!$AC$6:'пр.хода'!$AC$119,0),MATCH("№ п/ж",пр.хода!$B$4:'пр.хода'!$D$4,0))</f>
        <v>3</v>
      </c>
      <c r="C9" s="191" t="str">
        <f>VLOOKUP(B9,пр.взв!B$7:H$120,2,FALSE)</f>
        <v>ВИНИЧЕНКО Екатерина Константиновна</v>
      </c>
      <c r="D9" s="191" t="str">
        <f>VLOOKUP(B9,пр.взв!B$7:H$120,3,FALSE)</f>
        <v>16.02.97, КМС</v>
      </c>
      <c r="E9" s="191" t="str">
        <f>VLOOKUP(B9,пр.взв!B$7:H$120,4,FALSE)</f>
        <v>УФО</v>
      </c>
      <c r="F9" s="191" t="str">
        <f>VLOOKUP(B9,пр.взв!B$7:H$120,5,FALSE)</f>
        <v>Свердловская, Екатеринбург, СШОР ПО САМБО И ДЗЮДО</v>
      </c>
      <c r="G9" s="192">
        <f>VLOOKUP(B9,пр.взв!B$7:H$120,6,FALSE)</f>
        <v>0</v>
      </c>
      <c r="H9" s="191" t="str">
        <f>VLOOKUP(B9,пр.взв!B$7:H$120,7,FALSE)</f>
        <v>Старков А.А.</v>
      </c>
      <c r="J9" s="239"/>
      <c r="K9" s="239"/>
      <c r="L9" s="63">
        <v>4</v>
      </c>
      <c r="M9" s="64" t="str">
        <f>IF(OR(J12=J4,J12=J8,J12=J10)," ",J12)</f>
        <v xml:space="preserve"> </v>
      </c>
      <c r="N9" s="69">
        <f t="shared" si="0"/>
        <v>0</v>
      </c>
      <c r="O9" s="69">
        <f t="shared" ca="1" si="1"/>
        <v>0</v>
      </c>
      <c r="P9" s="70">
        <f t="shared" si="2"/>
        <v>0</v>
      </c>
      <c r="Q9" s="70">
        <f>SUMIF($J$14:$J$17,M9,$K$14:$K$17)</f>
        <v>0</v>
      </c>
      <c r="S9" t="e">
        <f>IF(OR(M7=" ",M8=" ",M9=" "),M10,M9)</f>
        <v>#N/A</v>
      </c>
      <c r="U9" t="e">
        <f>IF(OR(S7=" ",S8=" ",S9=" "),S10,S9)</f>
        <v>#N/A</v>
      </c>
      <c r="V9" s="112">
        <v>4</v>
      </c>
      <c r="W9" s="113" t="e">
        <f>IF(OR(U7=" ",U8=" ",U9=" "),U10,U9)</f>
        <v>#N/A</v>
      </c>
      <c r="X9" s="51">
        <f t="shared" si="3"/>
        <v>0</v>
      </c>
      <c r="Y9" s="51">
        <f t="shared" ca="1" si="4"/>
        <v>0</v>
      </c>
      <c r="Z9" s="51">
        <f t="shared" si="5"/>
        <v>0</v>
      </c>
      <c r="AA9" s="222">
        <f t="shared" si="6"/>
        <v>2</v>
      </c>
      <c r="AC9" s="112">
        <v>4</v>
      </c>
      <c r="AD9" s="113" t="e">
        <f t="shared" si="7"/>
        <v>#N/A</v>
      </c>
      <c r="AE9" s="51" t="str">
        <f t="shared" si="7"/>
        <v xml:space="preserve"> </v>
      </c>
      <c r="AF9" s="51" t="str">
        <f t="shared" ca="1" si="7"/>
        <v xml:space="preserve"> </v>
      </c>
      <c r="AG9" s="51" t="str">
        <f t="shared" si="7"/>
        <v xml:space="preserve"> </v>
      </c>
      <c r="AH9" s="114">
        <f t="shared" si="7"/>
        <v>2</v>
      </c>
    </row>
    <row r="10" spans="1:49" ht="24" hidden="1" customHeight="1">
      <c r="A10" s="181">
        <v>5</v>
      </c>
      <c r="B10" s="189" t="e">
        <f>INDEX(пр.хода!$B$6:'пр.хода'!$AB$119,MATCH(5,пр.хода!$AC$6:'пр.хода'!$AC$119,0),MATCH("№ п/ж",пр.хода!$B$4:'пр.хода'!$D$4,0))</f>
        <v>#N/A</v>
      </c>
      <c r="C10" s="191" t="e">
        <f>VLOOKUP(B10,пр.взв!B$7:H$120,2,FALSE)</f>
        <v>#N/A</v>
      </c>
      <c r="D10" s="191" t="e">
        <f>VLOOKUP(B10,пр.взв!B$7:H$120,3,FALSE)</f>
        <v>#N/A</v>
      </c>
      <c r="E10" s="191" t="e">
        <f>VLOOKUP(B10,пр.взв!B$7:H$120,4,FALSE)</f>
        <v>#N/A</v>
      </c>
      <c r="F10" s="191" t="e">
        <f>VLOOKUP(B10,пр.взв!B$7:H$120,5,FALSE)</f>
        <v>#N/A</v>
      </c>
      <c r="G10" s="192" t="e">
        <f>VLOOKUP(B10,пр.взв!B$7:H$120,6,FALSE)</f>
        <v>#N/A</v>
      </c>
      <c r="H10" s="191" t="e">
        <f>VLOOKUP(B10,пр.взв!B$7:H$120,7,FALSE)</f>
        <v>#N/A</v>
      </c>
      <c r="J10" s="239" t="str">
        <f>IFERROR(LEFT(F8,FIND(",",F8)-1),F8)</f>
        <v>Свердловская</v>
      </c>
      <c r="K10" s="239">
        <v>1</v>
      </c>
      <c r="L10" s="62">
        <v>5</v>
      </c>
      <c r="M10" s="64" t="e">
        <f>IF(OR(J14=J4,J14=J8,J14=J10,J14=J12)," ",J14)</f>
        <v>#N/A</v>
      </c>
      <c r="N10" s="69">
        <f t="shared" si="0"/>
        <v>0</v>
      </c>
      <c r="O10" s="69">
        <f t="shared" ca="1" si="1"/>
        <v>0</v>
      </c>
      <c r="P10" s="70">
        <f t="shared" si="2"/>
        <v>0</v>
      </c>
      <c r="Q10" s="70">
        <f>SUMIF($J$14:$J$17,M10,$K$14:$K$17)</f>
        <v>2</v>
      </c>
      <c r="S10" t="e">
        <f>IF(OR(M7=" ",M8=" ",M9=" ",M10=" "),M11,M10)</f>
        <v>#N/A</v>
      </c>
      <c r="U10" t="e">
        <f>IF(OR(S7=" ",S8=" ",S9=" ")," ",S10)</f>
        <v>#N/A</v>
      </c>
      <c r="V10" s="115">
        <v>5</v>
      </c>
      <c r="W10" s="113" t="e">
        <f>IF(OR(U7=" ",U8=" ",U9=" ")," ",U10)</f>
        <v>#N/A</v>
      </c>
      <c r="X10" s="51">
        <f t="shared" si="3"/>
        <v>0</v>
      </c>
      <c r="Y10" s="51">
        <f t="shared" ca="1" si="4"/>
        <v>0</v>
      </c>
      <c r="Z10" s="51">
        <f t="shared" si="5"/>
        <v>0</v>
      </c>
      <c r="AA10" s="222">
        <f t="shared" si="6"/>
        <v>2</v>
      </c>
      <c r="AC10" s="115">
        <v>5</v>
      </c>
      <c r="AD10" s="113" t="e">
        <f t="shared" si="7"/>
        <v>#N/A</v>
      </c>
      <c r="AE10" s="51" t="str">
        <f t="shared" si="7"/>
        <v xml:space="preserve"> </v>
      </c>
      <c r="AF10" s="51" t="str">
        <f t="shared" ca="1" si="7"/>
        <v xml:space="preserve"> </v>
      </c>
      <c r="AG10" s="51" t="str">
        <f t="shared" si="7"/>
        <v xml:space="preserve"> </v>
      </c>
      <c r="AH10" s="114">
        <f t="shared" si="7"/>
        <v>2</v>
      </c>
    </row>
    <row r="11" spans="1:49" ht="24" hidden="1" customHeight="1" thickBot="1">
      <c r="A11" s="181">
        <v>6</v>
      </c>
      <c r="B11" s="189" t="e">
        <f>INDEX(пр.хода!$B$6:'пр.хода'!$AB$119,MATCH(6,пр.хода!$AC$6:'пр.хода'!$AC$119,0),MATCH("№ п/ж",пр.хода!$B$4:'пр.хода'!$D$4,0))</f>
        <v>#N/A</v>
      </c>
      <c r="C11" s="191" t="e">
        <f>VLOOKUP(B11,пр.взв!B$7:H$120,2,FALSE)</f>
        <v>#N/A</v>
      </c>
      <c r="D11" s="191" t="e">
        <f>VLOOKUP(B11,пр.взв!B$7:H$120,3,FALSE)</f>
        <v>#N/A</v>
      </c>
      <c r="E11" s="191" t="e">
        <f>VLOOKUP(B11,пр.взв!B$7:H$120,4,FALSE)</f>
        <v>#N/A</v>
      </c>
      <c r="F11" s="191" t="e">
        <f>VLOOKUP(B11,пр.взв!B$7:H$120,5,FALSE)</f>
        <v>#N/A</v>
      </c>
      <c r="G11" s="192" t="e">
        <f>VLOOKUP(B11,пр.взв!B$7:H$120,6,FALSE)</f>
        <v>#N/A</v>
      </c>
      <c r="H11" s="191" t="e">
        <f>VLOOKUP(B11,пр.взв!B$7:H$120,7,FALSE)</f>
        <v>#N/A</v>
      </c>
      <c r="J11" s="239"/>
      <c r="K11" s="239"/>
      <c r="L11" s="63">
        <v>6</v>
      </c>
      <c r="M11" s="64" t="e">
        <f>IF(OR(J16=J4,J16=J8,J16=J10,J16=J12,J16=J14)," ",J16)</f>
        <v>#N/A</v>
      </c>
      <c r="N11" s="69">
        <f t="shared" si="0"/>
        <v>0</v>
      </c>
      <c r="O11" s="69">
        <f t="shared" ca="1" si="1"/>
        <v>0</v>
      </c>
      <c r="P11" s="70">
        <f t="shared" si="2"/>
        <v>0</v>
      </c>
      <c r="Q11" s="70">
        <f>SUMIF($J$14:$J$17,M11,$K$8:$K$17)</f>
        <v>2</v>
      </c>
      <c r="S11" t="e">
        <f>IF(OR(M7=" ",M8=" ",M9=" ",M10=" ")," ",M11)</f>
        <v>#N/A</v>
      </c>
      <c r="U11" t="e">
        <f>IF(OR(S7=" ",S8=" ",S9=" ",S10=" ")," ",S11)</f>
        <v>#N/A</v>
      </c>
      <c r="V11" s="116">
        <v>6</v>
      </c>
      <c r="W11" s="117" t="e">
        <f>IF(OR(U7=" ",U8=" ",U9=" ",U10=" ")," ",U11)</f>
        <v>#N/A</v>
      </c>
      <c r="X11" s="118">
        <f t="shared" si="3"/>
        <v>0</v>
      </c>
      <c r="Y11" s="118">
        <f t="shared" ca="1" si="4"/>
        <v>0</v>
      </c>
      <c r="Z11" s="118">
        <f t="shared" si="5"/>
        <v>0</v>
      </c>
      <c r="AA11" s="223">
        <f t="shared" si="6"/>
        <v>2</v>
      </c>
      <c r="AC11" s="116">
        <v>6</v>
      </c>
      <c r="AD11" s="117" t="e">
        <f t="shared" si="7"/>
        <v>#N/A</v>
      </c>
      <c r="AE11" s="118" t="str">
        <f t="shared" si="7"/>
        <v xml:space="preserve"> </v>
      </c>
      <c r="AF11" s="118" t="str">
        <f t="shared" ca="1" si="7"/>
        <v xml:space="preserve"> </v>
      </c>
      <c r="AG11" s="118" t="str">
        <f t="shared" si="7"/>
        <v xml:space="preserve"> </v>
      </c>
      <c r="AH11" s="119">
        <f t="shared" si="7"/>
        <v>2</v>
      </c>
    </row>
    <row r="12" spans="1:49" ht="24" hidden="1" customHeight="1" thickBot="1">
      <c r="A12" s="181">
        <v>7</v>
      </c>
      <c r="B12" s="189" t="e">
        <f>INDEX(пр.хода!$B$6:'пр.хода'!$AB$119,MATCH(7,пр.хода!$AC$6:'пр.хода'!$AC$119,0),MATCH("№ п/ж",пр.хода!$B$4:'пр.хода'!$D$4,0))</f>
        <v>#N/A</v>
      </c>
      <c r="C12" s="191" t="e">
        <f>VLOOKUP(B12,пр.взв!B$7:H$120,2,FALSE)</f>
        <v>#N/A</v>
      </c>
      <c r="D12" s="191" t="e">
        <f>VLOOKUP(B12,пр.взв!B$7:H$120,3,FALSE)</f>
        <v>#N/A</v>
      </c>
      <c r="E12" s="191" t="e">
        <f>VLOOKUP(B12,пр.взв!B$7:H$120,4,FALSE)</f>
        <v>#N/A</v>
      </c>
      <c r="F12" s="191" t="e">
        <f>VLOOKUP(B12,пр.взв!B$7:H$120,5,FALSE)</f>
        <v>#N/A</v>
      </c>
      <c r="G12" s="192" t="e">
        <f>VLOOKUP(B12,пр.взв!B$7:H$120,6,FALSE)</f>
        <v>#N/A</v>
      </c>
      <c r="H12" s="191" t="e">
        <f>VLOOKUP(B12,пр.взв!B$7:H$120,7,FALSE)</f>
        <v>#N/A</v>
      </c>
      <c r="J12" s="239" t="str">
        <f>IFERROR(LEFT(F9,FIND(",",F9)-1),F9)</f>
        <v>Свердловская</v>
      </c>
      <c r="K12" s="239">
        <v>1</v>
      </c>
      <c r="L12" s="75"/>
      <c r="M12" s="64" t="str">
        <f>IF(OR(J15=J7,J15=J11,J15=J13)," ",J15)</f>
        <v xml:space="preserve"> </v>
      </c>
      <c r="N12" s="76"/>
      <c r="O12" s="76"/>
      <c r="P12" s="77"/>
      <c r="Q12" s="77"/>
      <c r="V12" s="71"/>
      <c r="W12" s="72"/>
      <c r="X12" s="120">
        <f>SUM(X6:X11)</f>
        <v>1</v>
      </c>
      <c r="Y12" s="120">
        <f ca="1">SUM(Y6:Y11)</f>
        <v>1</v>
      </c>
      <c r="Z12" s="120">
        <f>SUM(Z6:Z11)</f>
        <v>2</v>
      </c>
      <c r="AA12" s="224">
        <f>SUM(AA6:AA11)</f>
        <v>6</v>
      </c>
      <c r="AC12" s="71"/>
      <c r="AD12" s="72"/>
      <c r="AE12" s="120">
        <f>SUM(AE6:AE11)</f>
        <v>1</v>
      </c>
      <c r="AF12" s="120">
        <f ca="1">SUM(AF6:AF11)</f>
        <v>1</v>
      </c>
      <c r="AG12" s="120">
        <f>SUM(AG6:AG11)</f>
        <v>2</v>
      </c>
      <c r="AH12" s="120">
        <f>SUM(AH6:AH11)</f>
        <v>6</v>
      </c>
    </row>
    <row r="13" spans="1:49" ht="24" hidden="1" customHeight="1">
      <c r="A13" s="187">
        <v>8</v>
      </c>
      <c r="B13" s="189" t="e">
        <f>INDEX(пр.хода!$B$6:'пр.хода'!$AB$119,MATCH(8,пр.хода!$AC$6:'пр.хода'!$AC$119,0),MATCH("№ п/ж",пр.хода!$B$4:'пр.хода'!$D$4,0))</f>
        <v>#N/A</v>
      </c>
      <c r="C13" s="191" t="e">
        <f>VLOOKUP(B13,пр.взв!B$7:H$120,2,FALSE)</f>
        <v>#N/A</v>
      </c>
      <c r="D13" s="191" t="e">
        <f>VLOOKUP(B13,пр.взв!B$7:H$120,3,FALSE)</f>
        <v>#N/A</v>
      </c>
      <c r="E13" s="191" t="e">
        <f>VLOOKUP(B13,пр.взв!B$7:H$120,4,FALSE)</f>
        <v>#N/A</v>
      </c>
      <c r="F13" s="191" t="e">
        <f>VLOOKUP(B13,пр.взв!B$7:H$120,5,FALSE)</f>
        <v>#N/A</v>
      </c>
      <c r="G13" s="192" t="e">
        <f>VLOOKUP(B13,пр.взв!B$7:H$120,6,FALSE)</f>
        <v>#N/A</v>
      </c>
      <c r="H13" s="191" t="e">
        <f>VLOOKUP(B13,пр.взв!B$7:H$120,7,FALSE)</f>
        <v>#N/A</v>
      </c>
      <c r="J13" s="239"/>
      <c r="K13" s="239"/>
      <c r="L13" s="78"/>
      <c r="M13" s="79" t="e">
        <f>IF(OR(J16=J8,J16=J12,J16=J14)," ",J16)</f>
        <v>#N/A</v>
      </c>
      <c r="N13" s="76"/>
      <c r="O13" s="76"/>
      <c r="P13" s="77"/>
      <c r="Q13" s="77"/>
      <c r="AA13" s="91"/>
    </row>
    <row r="14" spans="1:49" ht="24" hidden="1" customHeight="1">
      <c r="A14" s="187">
        <v>9</v>
      </c>
      <c r="B14" s="189" t="e">
        <f>INDEX(пр.хода!$B$6:'пр.хода'!$AB$119,MATCH(9,пр.хода!$AC$6:'пр.хода'!$AC$119,0),MATCH("№ п/ж",пр.хода!$B$4:'пр.хода'!$D$4,0))</f>
        <v>#N/A</v>
      </c>
      <c r="C14" s="191" t="e">
        <f>VLOOKUP(B14,пр.взв!B$7:H$120,2,FALSE)</f>
        <v>#N/A</v>
      </c>
      <c r="D14" s="191" t="e">
        <f>VLOOKUP(B14,пр.взв!B$7:H$120,3,FALSE)</f>
        <v>#N/A</v>
      </c>
      <c r="E14" s="191" t="e">
        <f>VLOOKUP(B14,пр.взв!B$7:H$120,4,FALSE)</f>
        <v>#N/A</v>
      </c>
      <c r="F14" s="191" t="e">
        <f>VLOOKUP(B14,пр.взв!B$7:H$120,5,FALSE)</f>
        <v>#N/A</v>
      </c>
      <c r="G14" s="192" t="e">
        <f>VLOOKUP(B14,пр.взв!B$7:H$120,6,FALSE)</f>
        <v>#N/A</v>
      </c>
      <c r="H14" s="191" t="e">
        <f>VLOOKUP(B14,пр.взв!B$7:H$120,7,FALSE)</f>
        <v>#N/A</v>
      </c>
      <c r="J14" s="239" t="e">
        <f>IFERROR(LEFT(F10,FIND(",",F10)-1),F10)</f>
        <v>#N/A</v>
      </c>
      <c r="K14" s="239">
        <v>1</v>
      </c>
      <c r="L14" s="75"/>
      <c r="M14" s="79"/>
      <c r="N14" s="76"/>
      <c r="O14" s="76"/>
      <c r="P14" s="77"/>
      <c r="Q14" s="77"/>
      <c r="AA14" s="91"/>
    </row>
    <row r="15" spans="1:49" ht="24" hidden="1" customHeight="1">
      <c r="A15" s="181">
        <v>10</v>
      </c>
      <c r="B15" s="189" t="e">
        <f>INDEX(пр.хода!$B$6:'пр.хода'!$AB$119,MATCH(10,пр.хода!$AC$6:'пр.хода'!$AC$119,0),MATCH("№ п/ж",пр.хода!$B$4:'пр.хода'!$D$4,0))</f>
        <v>#N/A</v>
      </c>
      <c r="C15" s="191" t="e">
        <f>VLOOKUP(B15,пр.взв!B$7:H$120,2,FALSE)</f>
        <v>#N/A</v>
      </c>
      <c r="D15" s="191" t="e">
        <f>VLOOKUP(B15,пр.взв!B$7:H$120,3,FALSE)</f>
        <v>#N/A</v>
      </c>
      <c r="E15" s="191" t="e">
        <f>VLOOKUP(B15,пр.взв!B$7:H$120,4,FALSE)</f>
        <v>#N/A</v>
      </c>
      <c r="F15" s="191" t="e">
        <f>VLOOKUP(B15,пр.взв!B$7:H$120,5,FALSE)</f>
        <v>#N/A</v>
      </c>
      <c r="G15" s="192" t="e">
        <f>VLOOKUP(B15,пр.взв!B$7:H$120,6,FALSE)</f>
        <v>#N/A</v>
      </c>
      <c r="H15" s="191" t="e">
        <f>VLOOKUP(B15,пр.взв!B$7:H$120,7,FALSE)</f>
        <v>#N/A</v>
      </c>
      <c r="J15" s="239"/>
      <c r="K15" s="239"/>
      <c r="L15" s="78"/>
      <c r="M15" s="79"/>
      <c r="N15" s="76"/>
      <c r="O15" s="76"/>
      <c r="P15" s="77"/>
      <c r="Q15" s="77"/>
      <c r="AA15" s="91"/>
    </row>
    <row r="16" spans="1:49" ht="24" hidden="1" customHeight="1">
      <c r="A16" s="181">
        <v>11</v>
      </c>
      <c r="B16" s="189" t="e">
        <f>INDEX(пр.хода!$B$6:'пр.хода'!$AB$119,MATCH(11,пр.хода!$AC$6:'пр.хода'!$AC$119,0),MATCH("№ п/ж",пр.хода!$B$4:'пр.хода'!$D$4,0))</f>
        <v>#N/A</v>
      </c>
      <c r="C16" s="191" t="e">
        <f>VLOOKUP(B16,пр.взв!B$7:H$120,2,FALSE)</f>
        <v>#N/A</v>
      </c>
      <c r="D16" s="191" t="e">
        <f>VLOOKUP(B16,пр.взв!B$7:H$120,3,FALSE)</f>
        <v>#N/A</v>
      </c>
      <c r="E16" s="191" t="e">
        <f>VLOOKUP(B16,пр.взв!B$7:H$120,4,FALSE)</f>
        <v>#N/A</v>
      </c>
      <c r="F16" s="191" t="e">
        <f>VLOOKUP(B16,пр.взв!B$7:H$120,5,FALSE)</f>
        <v>#N/A</v>
      </c>
      <c r="G16" s="192" t="e">
        <f>VLOOKUP(B16,пр.взв!B$7:H$120,6,FALSE)</f>
        <v>#N/A</v>
      </c>
      <c r="H16" s="191" t="e">
        <f>VLOOKUP(B16,пр.взв!B$7:H$120,7,FALSE)</f>
        <v>#N/A</v>
      </c>
      <c r="I16" s="22"/>
      <c r="J16" s="239" t="e">
        <f>IFERROR(LEFT(F11,FIND(",",F11)-1),F11)</f>
        <v>#N/A</v>
      </c>
      <c r="K16" s="239">
        <v>1</v>
      </c>
      <c r="L16" s="75"/>
      <c r="M16" s="80"/>
      <c r="N16" s="76"/>
      <c r="O16" s="76"/>
      <c r="P16" s="77"/>
      <c r="Q16" s="77"/>
      <c r="AA16" s="91"/>
    </row>
    <row r="17" spans="1:27" ht="24" hidden="1" customHeight="1" thickBot="1">
      <c r="A17" s="181">
        <v>12</v>
      </c>
      <c r="B17" s="189" t="e">
        <f>INDEX(пр.хода!$B$6:'пр.хода'!$AB$119,MATCH(12,пр.хода!$AC$6:'пр.хода'!$AC$119,0),MATCH("№ п/ж",пр.хода!$B$4:'пр.хода'!$D$4,0))</f>
        <v>#N/A</v>
      </c>
      <c r="C17" s="191" t="e">
        <f>VLOOKUP(B17,пр.взв!B$7:H$120,2,FALSE)</f>
        <v>#N/A</v>
      </c>
      <c r="D17" s="191" t="e">
        <f>VLOOKUP(B17,пр.взв!B$7:H$120,3,FALSE)</f>
        <v>#N/A</v>
      </c>
      <c r="E17" s="191" t="e">
        <f>VLOOKUP(B17,пр.взв!B$7:H$120,4,FALSE)</f>
        <v>#N/A</v>
      </c>
      <c r="F17" s="191" t="e">
        <f>VLOOKUP(B17,пр.взв!B$7:H$120,5,FALSE)</f>
        <v>#N/A</v>
      </c>
      <c r="G17" s="192" t="e">
        <f>VLOOKUP(B17,пр.взв!B$7:H$120,6,FALSE)</f>
        <v>#N/A</v>
      </c>
      <c r="H17" s="191" t="e">
        <f>VLOOKUP(B17,пр.взв!B$7:H$120,7,FALSE)</f>
        <v>#N/A</v>
      </c>
      <c r="J17" s="239"/>
      <c r="K17" s="239"/>
      <c r="L17" s="78"/>
      <c r="M17" s="80"/>
      <c r="N17" s="76"/>
      <c r="O17" s="76"/>
      <c r="P17" s="77"/>
      <c r="Q17" s="77"/>
      <c r="AA17" s="91"/>
    </row>
    <row r="18" spans="1:27" ht="24" hidden="1" customHeight="1" thickBot="1">
      <c r="A18" s="181">
        <v>13</v>
      </c>
      <c r="B18" s="189" t="e">
        <f>INDEX(пр.хода!$B$6:'пр.хода'!$AB$119,MATCH(13,пр.хода!$AC$6:'пр.хода'!$AC$119,0),MATCH("№ п/ж",пр.хода!$B$4:'пр.хода'!$D$4,0))</f>
        <v>#N/A</v>
      </c>
      <c r="C18" s="191" t="e">
        <f>VLOOKUP(B18,пр.взв!B$7:H$120,2,FALSE)</f>
        <v>#N/A</v>
      </c>
      <c r="D18" s="191" t="e">
        <f>VLOOKUP(B18,пр.взв!B$7:H$120,3,FALSE)</f>
        <v>#N/A</v>
      </c>
      <c r="E18" s="191" t="e">
        <f>VLOOKUP(B18,пр.взв!B$7:H$120,4,FALSE)</f>
        <v>#N/A</v>
      </c>
      <c r="F18" s="191" t="e">
        <f>VLOOKUP(B18,пр.взв!B$7:H$120,5,FALSE)</f>
        <v>#N/A</v>
      </c>
      <c r="G18" s="192" t="e">
        <f>VLOOKUP(B18,пр.взв!B$7:H$120,6,FALSE)</f>
        <v>#N/A</v>
      </c>
      <c r="H18" s="191" t="e">
        <f>VLOOKUP(B18,пр.взв!B$7:H$120,7,FALSE)</f>
        <v>#N/A</v>
      </c>
      <c r="L18" s="71"/>
      <c r="M18" s="72"/>
      <c r="N18" s="73">
        <f>SUM(N6:N17)</f>
        <v>1</v>
      </c>
      <c r="O18" s="73">
        <f ca="1">SUM(O6:O17)</f>
        <v>1</v>
      </c>
      <c r="P18" s="73">
        <f>SUM(P6:P17)</f>
        <v>2</v>
      </c>
      <c r="Q18" s="73">
        <f>SUM(Q6:Q17)</f>
        <v>4</v>
      </c>
      <c r="AA18" s="91"/>
    </row>
    <row r="19" spans="1:27" ht="24" hidden="1" customHeight="1">
      <c r="A19" s="181">
        <v>14</v>
      </c>
      <c r="B19" s="189" t="e">
        <f>INDEX(пр.хода!$B$6:'пр.хода'!$AB$119,MATCH(14,пр.хода!$AC$6:'пр.хода'!$AC$119,0),MATCH("№ п/ж",пр.хода!$B$4:'пр.хода'!$D$4,0))</f>
        <v>#N/A</v>
      </c>
      <c r="C19" s="191" t="e">
        <f>VLOOKUP(B19,пр.взв!B$7:H$120,2,FALSE)</f>
        <v>#N/A</v>
      </c>
      <c r="D19" s="191" t="e">
        <f>VLOOKUP(B19,пр.взв!B$7:H$120,3,FALSE)</f>
        <v>#N/A</v>
      </c>
      <c r="E19" s="191" t="e">
        <f>VLOOKUP(B19,пр.взв!B$7:H$120,4,FALSE)</f>
        <v>#N/A</v>
      </c>
      <c r="F19" s="191" t="e">
        <f>VLOOKUP(B19,пр.взв!B$7:H$120,5,FALSE)</f>
        <v>#N/A</v>
      </c>
      <c r="G19" s="192" t="e">
        <f>VLOOKUP(B19,пр.взв!B$7:H$120,6,FALSE)</f>
        <v>#N/A</v>
      </c>
      <c r="H19" s="191" t="e">
        <f>VLOOKUP(B19,пр.взв!B$7:H$120,7,FALSE)</f>
        <v>#N/A</v>
      </c>
      <c r="AA19" s="91"/>
    </row>
    <row r="20" spans="1:27" ht="24" hidden="1" customHeight="1">
      <c r="A20" s="181">
        <v>15</v>
      </c>
      <c r="B20" s="189" t="e">
        <f>INDEX(пр.хода!$B$6:'пр.хода'!$AB$119,MATCH(15,пр.хода!$AC$6:'пр.хода'!$AC$119,0),MATCH("№ п/ж",пр.хода!$B$4:'пр.хода'!$D$4,0))</f>
        <v>#N/A</v>
      </c>
      <c r="C20" s="191" t="e">
        <f>VLOOKUP(B20,пр.взв!B$7:H$120,2,FALSE)</f>
        <v>#N/A</v>
      </c>
      <c r="D20" s="191" t="e">
        <f>VLOOKUP(B20,пр.взв!B$7:H$120,3,FALSE)</f>
        <v>#N/A</v>
      </c>
      <c r="E20" s="191" t="e">
        <f>VLOOKUP(B20,пр.взв!B$7:H$120,4,FALSE)</f>
        <v>#N/A</v>
      </c>
      <c r="F20" s="191" t="e">
        <f>VLOOKUP(B20,пр.взв!B$7:H$120,5,FALSE)</f>
        <v>#N/A</v>
      </c>
      <c r="G20" s="192" t="e">
        <f>VLOOKUP(B20,пр.взв!B$7:H$120,6,FALSE)</f>
        <v>#N/A</v>
      </c>
      <c r="H20" s="191" t="e">
        <f>VLOOKUP(B20,пр.взв!B$7:H$120,7,FALSE)</f>
        <v>#N/A</v>
      </c>
    </row>
    <row r="21" spans="1:27" ht="24" hidden="1" customHeight="1">
      <c r="A21" s="181">
        <v>16</v>
      </c>
      <c r="B21" s="189" t="e">
        <f>INDEX(пр.хода!$B$6:'пр.хода'!$AB$119,MATCH(16,пр.хода!$AC$6:'пр.хода'!$AC$119,0),MATCH("№ п/ж",пр.хода!$B$4:'пр.хода'!$D$4,0))</f>
        <v>#N/A</v>
      </c>
      <c r="C21" s="191" t="e">
        <f>VLOOKUP(B21,пр.взв!B$7:H$120,2,FALSE)</f>
        <v>#N/A</v>
      </c>
      <c r="D21" s="191" t="e">
        <f>VLOOKUP(B21,пр.взв!B$7:H$120,3,FALSE)</f>
        <v>#N/A</v>
      </c>
      <c r="E21" s="191" t="e">
        <f>VLOOKUP(B21,пр.взв!B$7:H$120,4,FALSE)</f>
        <v>#N/A</v>
      </c>
      <c r="F21" s="191" t="e">
        <f>VLOOKUP(B21,пр.взв!B$7:H$120,5,FALSE)</f>
        <v>#N/A</v>
      </c>
      <c r="G21" s="192" t="e">
        <f>VLOOKUP(B21,пр.взв!B$7:H$120,6,FALSE)</f>
        <v>#N/A</v>
      </c>
      <c r="H21" s="191" t="e">
        <f>VLOOKUP(B21,пр.взв!B$7:H$120,7,FALSE)</f>
        <v>#N/A</v>
      </c>
    </row>
    <row r="22" spans="1:27" ht="24" hidden="1" customHeight="1">
      <c r="A22" s="181">
        <v>17</v>
      </c>
      <c r="B22" s="189" t="e">
        <f>INDEX(пр.хода!$B$6:'пр.хода'!$AB$119,MATCH(17,пр.хода!$AC$6:'пр.хода'!$AC$119,0),MATCH("№ п/ж",пр.хода!$B$4:'пр.хода'!$D$4,0))</f>
        <v>#N/A</v>
      </c>
      <c r="C22" s="191" t="e">
        <f>VLOOKUP(B22,пр.взв!B$7:H$120,2,FALSE)</f>
        <v>#N/A</v>
      </c>
      <c r="D22" s="191" t="e">
        <f>VLOOKUP(B22,пр.взв!B$7:H$120,3,FALSE)</f>
        <v>#N/A</v>
      </c>
      <c r="E22" s="191" t="e">
        <f>VLOOKUP(B22,пр.взв!B$7:H$120,4,FALSE)</f>
        <v>#N/A</v>
      </c>
      <c r="F22" s="191" t="e">
        <f>VLOOKUP(B22,пр.взв!B$7:H$120,5,FALSE)</f>
        <v>#N/A</v>
      </c>
      <c r="G22" s="192" t="e">
        <f>VLOOKUP(B22,пр.взв!B$7:H$120,6,FALSE)</f>
        <v>#N/A</v>
      </c>
      <c r="H22" s="191" t="e">
        <f>VLOOKUP(B22,пр.взв!B$7:H$120,7,FALSE)</f>
        <v>#N/A</v>
      </c>
    </row>
    <row r="23" spans="1:27" ht="24" hidden="1" customHeight="1">
      <c r="A23" s="181">
        <v>18</v>
      </c>
      <c r="B23" s="189" t="e">
        <f>INDEX(пр.хода!$B$6:'пр.хода'!$AB$119,MATCH(18,пр.хода!$AC$6:'пр.хода'!$AC$119,0),MATCH("№ п/ж",пр.хода!$B$4:'пр.хода'!$D$4,0))</f>
        <v>#N/A</v>
      </c>
      <c r="C23" s="191" t="e">
        <f>VLOOKUP(B23,пр.взв!B$7:H$120,2,FALSE)</f>
        <v>#N/A</v>
      </c>
      <c r="D23" s="191" t="e">
        <f>VLOOKUP(B23,пр.взв!B$7:H$120,3,FALSE)</f>
        <v>#N/A</v>
      </c>
      <c r="E23" s="191" t="e">
        <f>VLOOKUP(B23,пр.взв!B$7:H$120,4,FALSE)</f>
        <v>#N/A</v>
      </c>
      <c r="F23" s="191" t="e">
        <f>VLOOKUP(B23,пр.взв!B$7:H$120,5,FALSE)</f>
        <v>#N/A</v>
      </c>
      <c r="G23" s="192" t="e">
        <f>VLOOKUP(B23,пр.взв!B$7:H$120,6,FALSE)</f>
        <v>#N/A</v>
      </c>
      <c r="H23" s="191" t="e">
        <f>VLOOKUP(B23,пр.взв!B$7:H$120,7,FALSE)</f>
        <v>#N/A</v>
      </c>
    </row>
    <row r="24" spans="1:27" ht="24" hidden="1" customHeight="1">
      <c r="A24" s="181">
        <v>19</v>
      </c>
      <c r="B24" s="189" t="e">
        <f>INDEX(пр.хода!$B$6:'пр.хода'!$AB$119,MATCH(19,пр.хода!$AC$6:'пр.хода'!$AC$119,0),MATCH("№ п/ж",пр.хода!$B$4:'пр.хода'!$D$4,0))</f>
        <v>#N/A</v>
      </c>
      <c r="C24" s="191" t="e">
        <f>VLOOKUP(B24,пр.взв!B$7:H$120,2,FALSE)</f>
        <v>#N/A</v>
      </c>
      <c r="D24" s="191" t="e">
        <f>VLOOKUP(B24,пр.взв!B$7:H$120,3,FALSE)</f>
        <v>#N/A</v>
      </c>
      <c r="E24" s="191" t="e">
        <f>VLOOKUP(B24,пр.взв!B$7:H$120,4,FALSE)</f>
        <v>#N/A</v>
      </c>
      <c r="F24" s="191" t="e">
        <f>VLOOKUP(B24,пр.взв!B$7:H$120,5,FALSE)</f>
        <v>#N/A</v>
      </c>
      <c r="G24" s="192" t="e">
        <f>VLOOKUP(B24,пр.взв!B$7:H$120,6,FALSE)</f>
        <v>#N/A</v>
      </c>
      <c r="H24" s="191" t="e">
        <f>VLOOKUP(B24,пр.взв!B$7:H$120,7,FALSE)</f>
        <v>#N/A</v>
      </c>
    </row>
    <row r="25" spans="1:27" ht="24" hidden="1" customHeight="1">
      <c r="A25" s="181">
        <v>20</v>
      </c>
      <c r="B25" s="189" t="e">
        <f>INDEX(пр.хода!$B$6:'пр.хода'!$AB$119,MATCH(20,пр.хода!$AC$6:'пр.хода'!$AC$119,0),MATCH("№ п/ж",пр.хода!$B$4:'пр.хода'!$D$4,0))</f>
        <v>#N/A</v>
      </c>
      <c r="C25" s="191" t="e">
        <f>VLOOKUP(B25,пр.взв!B$7:H$120,2,FALSE)</f>
        <v>#N/A</v>
      </c>
      <c r="D25" s="191" t="e">
        <f>VLOOKUP(B25,пр.взв!B$7:H$120,3,FALSE)</f>
        <v>#N/A</v>
      </c>
      <c r="E25" s="191" t="e">
        <f>VLOOKUP(B25,пр.взв!B$7:H$120,4,FALSE)</f>
        <v>#N/A</v>
      </c>
      <c r="F25" s="191" t="e">
        <f>VLOOKUP(B25,пр.взв!B$7:H$120,5,FALSE)</f>
        <v>#N/A</v>
      </c>
      <c r="G25" s="192" t="e">
        <f>VLOOKUP(B25,пр.взв!B$7:H$120,6,FALSE)</f>
        <v>#N/A</v>
      </c>
      <c r="H25" s="191" t="e">
        <f>VLOOKUP(B25,пр.взв!B$7:H$120,7,FALSE)</f>
        <v>#N/A</v>
      </c>
    </row>
    <row r="26" spans="1:27" ht="24" hidden="1" customHeight="1">
      <c r="A26" s="181">
        <v>21</v>
      </c>
      <c r="B26" s="189" t="e">
        <f>INDEX(пр.хода!$B$6:'пр.хода'!$AB$119,MATCH(21,пр.хода!$AC$6:'пр.хода'!$AC$119,0),MATCH("№ п/ж",пр.хода!$B$4:'пр.хода'!$D$4,0))</f>
        <v>#N/A</v>
      </c>
      <c r="C26" s="191" t="e">
        <f>VLOOKUP(B26,пр.взв!B$7:H$120,2,FALSE)</f>
        <v>#N/A</v>
      </c>
      <c r="D26" s="191" t="e">
        <f>VLOOKUP(B26,пр.взв!B$7:H$120,3,FALSE)</f>
        <v>#N/A</v>
      </c>
      <c r="E26" s="191" t="e">
        <f>VLOOKUP(B26,пр.взв!B$7:H$120,4,FALSE)</f>
        <v>#N/A</v>
      </c>
      <c r="F26" s="191" t="e">
        <f>VLOOKUP(B26,пр.взв!B$7:H$120,5,FALSE)</f>
        <v>#N/A</v>
      </c>
      <c r="G26" s="192" t="e">
        <f>VLOOKUP(B26,пр.взв!B$7:H$120,6,FALSE)</f>
        <v>#N/A</v>
      </c>
      <c r="H26" s="191" t="e">
        <f>VLOOKUP(B26,пр.взв!B$7:H$120,7,FALSE)</f>
        <v>#N/A</v>
      </c>
    </row>
    <row r="27" spans="1:27" ht="24" hidden="1" customHeight="1">
      <c r="A27" s="181">
        <v>22</v>
      </c>
      <c r="B27" s="189" t="e">
        <f>INDEX(пр.хода!$B$6:'пр.хода'!$AB$119,MATCH(22,пр.хода!$AC$6:'пр.хода'!$AC$119,0),MATCH("№ п/ж",пр.хода!$B$4:'пр.хода'!$D$4,0))</f>
        <v>#N/A</v>
      </c>
      <c r="C27" s="191" t="e">
        <f>VLOOKUP(B27,пр.взв!B$7:H$120,2,FALSE)</f>
        <v>#N/A</v>
      </c>
      <c r="D27" s="191" t="e">
        <f>VLOOKUP(B27,пр.взв!B$7:H$120,3,FALSE)</f>
        <v>#N/A</v>
      </c>
      <c r="E27" s="191" t="e">
        <f>VLOOKUP(B27,пр.взв!B$7:H$120,4,FALSE)</f>
        <v>#N/A</v>
      </c>
      <c r="F27" s="191" t="e">
        <f>VLOOKUP(B27,пр.взв!B$7:H$120,5,FALSE)</f>
        <v>#N/A</v>
      </c>
      <c r="G27" s="192" t="e">
        <f>VLOOKUP(B27,пр.взв!B$7:H$120,6,FALSE)</f>
        <v>#N/A</v>
      </c>
      <c r="H27" s="191" t="e">
        <f>VLOOKUP(B27,пр.взв!B$7:H$120,7,FALSE)</f>
        <v>#N/A</v>
      </c>
    </row>
    <row r="28" spans="1:27" ht="24" hidden="1" customHeight="1">
      <c r="A28" s="181">
        <v>23</v>
      </c>
      <c r="B28" s="189" t="e">
        <f>INDEX(пр.хода!$B$6:'пр.хода'!$AB$119,MATCH(23,пр.хода!$AC$6:'пр.хода'!$AC$119,0),MATCH("№ п/ж",пр.хода!$B$4:'пр.хода'!$D$4,0))</f>
        <v>#N/A</v>
      </c>
      <c r="C28" s="191" t="e">
        <f>VLOOKUP(B28,пр.взв!B$7:H$120,2,FALSE)</f>
        <v>#N/A</v>
      </c>
      <c r="D28" s="191" t="e">
        <f>VLOOKUP(B28,пр.взв!B$7:H$120,3,FALSE)</f>
        <v>#N/A</v>
      </c>
      <c r="E28" s="191" t="e">
        <f>VLOOKUP(B28,пр.взв!B$7:H$120,4,FALSE)</f>
        <v>#N/A</v>
      </c>
      <c r="F28" s="191" t="e">
        <f>VLOOKUP(B28,пр.взв!B$7:H$120,5,FALSE)</f>
        <v>#N/A</v>
      </c>
      <c r="G28" s="192" t="e">
        <f>VLOOKUP(B28,пр.взв!B$7:H$120,6,FALSE)</f>
        <v>#N/A</v>
      </c>
      <c r="H28" s="191" t="e">
        <f>VLOOKUP(B28,пр.взв!B$7:H$120,7,FALSE)</f>
        <v>#N/A</v>
      </c>
    </row>
    <row r="29" spans="1:27" ht="24" hidden="1" customHeight="1">
      <c r="A29" s="181">
        <v>24</v>
      </c>
      <c r="B29" s="189" t="e">
        <f>INDEX(пр.хода!$B$6:'пр.хода'!$AB$119,MATCH(24,пр.хода!$AC$6:'пр.хода'!$AC$119,0),MATCH("№ п/ж",пр.хода!$B$4:'пр.хода'!$D$4,0))</f>
        <v>#N/A</v>
      </c>
      <c r="C29" s="191" t="e">
        <f>VLOOKUP(B29,пр.взв!B$7:H$120,2,FALSE)</f>
        <v>#N/A</v>
      </c>
      <c r="D29" s="191" t="e">
        <f>VLOOKUP(B29,пр.взв!B$7:H$120,3,FALSE)</f>
        <v>#N/A</v>
      </c>
      <c r="E29" s="191" t="e">
        <f>VLOOKUP(B29,пр.взв!B$7:H$120,4,FALSE)</f>
        <v>#N/A</v>
      </c>
      <c r="F29" s="191" t="e">
        <f>VLOOKUP(B29,пр.взв!B$7:H$120,5,FALSE)</f>
        <v>#N/A</v>
      </c>
      <c r="G29" s="192" t="e">
        <f>VLOOKUP(B29,пр.взв!B$7:H$120,6,FALSE)</f>
        <v>#N/A</v>
      </c>
      <c r="H29" s="191" t="e">
        <f>VLOOKUP(B29,пр.взв!B$7:H$120,7,FALSE)</f>
        <v>#N/A</v>
      </c>
    </row>
    <row r="30" spans="1:27" ht="24" hidden="1" customHeight="1">
      <c r="A30" s="181">
        <v>25</v>
      </c>
      <c r="B30" s="189" t="e">
        <f>INDEX(пр.хода!$B$6:'пр.хода'!$AB$119,MATCH(25,пр.хода!$AC$6:'пр.хода'!$AC$119,0),MATCH("№ п/ж",пр.хода!$B$4:'пр.хода'!$D$4,0))</f>
        <v>#N/A</v>
      </c>
      <c r="C30" s="191" t="e">
        <f>VLOOKUP(B30,пр.взв!B$7:H$120,2,FALSE)</f>
        <v>#N/A</v>
      </c>
      <c r="D30" s="191" t="e">
        <f>VLOOKUP(B30,пр.взв!B$7:H$120,3,FALSE)</f>
        <v>#N/A</v>
      </c>
      <c r="E30" s="191" t="e">
        <f>VLOOKUP(B30,пр.взв!B$7:H$120,4,FALSE)</f>
        <v>#N/A</v>
      </c>
      <c r="F30" s="191" t="e">
        <f>VLOOKUP(B30,пр.взв!B$7:H$120,5,FALSE)</f>
        <v>#N/A</v>
      </c>
      <c r="G30" s="192" t="e">
        <f>VLOOKUP(B30,пр.взв!B$7:H$120,6,FALSE)</f>
        <v>#N/A</v>
      </c>
      <c r="H30" s="191" t="e">
        <f>VLOOKUP(B30,пр.взв!B$7:H$120,7,FALSE)</f>
        <v>#N/A</v>
      </c>
    </row>
    <row r="31" spans="1:27" ht="24" hidden="1" customHeight="1">
      <c r="A31" s="187">
        <v>26</v>
      </c>
      <c r="B31" s="189" t="e">
        <f>INDEX(пр.хода!$B$6:'пр.хода'!$AB$119,MATCH(26,пр.хода!$AC$6:'пр.хода'!$AC$119,0),MATCH("№ п/ж",пр.хода!$B$4:'пр.хода'!$D$4,0))</f>
        <v>#N/A</v>
      </c>
      <c r="C31" s="191" t="e">
        <f>VLOOKUP(B31,пр.взв!B$7:H$120,2,FALSE)</f>
        <v>#N/A</v>
      </c>
      <c r="D31" s="191" t="e">
        <f>VLOOKUP(B31,пр.взв!B$7:H$120,3,FALSE)</f>
        <v>#N/A</v>
      </c>
      <c r="E31" s="191" t="e">
        <f>VLOOKUP(B31,пр.взв!B$7:H$120,4,FALSE)</f>
        <v>#N/A</v>
      </c>
      <c r="F31" s="191" t="e">
        <f>VLOOKUP(B31,пр.взв!B$7:H$120,5,FALSE)</f>
        <v>#N/A</v>
      </c>
      <c r="G31" s="192" t="e">
        <f>VLOOKUP(B31,пр.взв!B$7:H$120,6,FALSE)</f>
        <v>#N/A</v>
      </c>
      <c r="H31" s="191" t="e">
        <f>VLOOKUP(B31,пр.взв!B$7:H$120,7,FALSE)</f>
        <v>#N/A</v>
      </c>
      <c r="I31" s="3"/>
      <c r="J31" s="3"/>
      <c r="K31" s="3"/>
    </row>
    <row r="32" spans="1:27" ht="24" hidden="1" customHeight="1">
      <c r="A32" s="181">
        <v>27</v>
      </c>
      <c r="B32" s="189" t="e">
        <f>INDEX(пр.хода!$B$6:'пр.хода'!$AB$119,MATCH(27,пр.хода!$AC$6:'пр.хода'!$AC$119,0),MATCH("№ п/ж",пр.хода!$B$4:'пр.хода'!$D$4,0))</f>
        <v>#N/A</v>
      </c>
      <c r="C32" s="191" t="e">
        <f>VLOOKUP(B32,пр.взв!B$7:H$120,2,FALSE)</f>
        <v>#N/A</v>
      </c>
      <c r="D32" s="191" t="e">
        <f>VLOOKUP(B32,пр.взв!B$7:H$120,3,FALSE)</f>
        <v>#N/A</v>
      </c>
      <c r="E32" s="191" t="e">
        <f>VLOOKUP(B32,пр.взв!B$7:H$120,4,FALSE)</f>
        <v>#N/A</v>
      </c>
      <c r="F32" s="191" t="e">
        <f>VLOOKUP(B32,пр.взв!B$7:H$120,5,FALSE)</f>
        <v>#N/A</v>
      </c>
      <c r="G32" s="192" t="e">
        <f>VLOOKUP(B32,пр.взв!B$7:H$120,6,FALSE)</f>
        <v>#N/A</v>
      </c>
      <c r="H32" s="191" t="e">
        <f>VLOOKUP(B32,пр.взв!B$7:H$120,7,FALSE)</f>
        <v>#N/A</v>
      </c>
      <c r="I32" s="3"/>
      <c r="J32" s="3"/>
      <c r="K32" s="3"/>
    </row>
    <row r="33" spans="1:11" ht="24" hidden="1" customHeight="1">
      <c r="A33" s="181">
        <v>28</v>
      </c>
      <c r="B33" s="189" t="e">
        <f>INDEX(пр.хода!$B$6:'пр.хода'!$AB$119,MATCH(28,пр.хода!$AC$6:'пр.хода'!$AC$119,0),MATCH("№ п/ж",пр.хода!$B$4:'пр.хода'!$D$4,0))</f>
        <v>#N/A</v>
      </c>
      <c r="C33" s="191" t="e">
        <f>VLOOKUP(B33,пр.взв!B$7:H$120,2,FALSE)</f>
        <v>#N/A</v>
      </c>
      <c r="D33" s="191" t="e">
        <f>VLOOKUP(B33,пр.взв!B$7:H$120,3,FALSE)</f>
        <v>#N/A</v>
      </c>
      <c r="E33" s="191" t="e">
        <f>VLOOKUP(B33,пр.взв!B$7:H$120,4,FALSE)</f>
        <v>#N/A</v>
      </c>
      <c r="F33" s="191" t="e">
        <f>VLOOKUP(B33,пр.взв!B$7:H$120,5,FALSE)</f>
        <v>#N/A</v>
      </c>
      <c r="G33" s="192" t="e">
        <f>VLOOKUP(B33,пр.взв!B$7:H$120,6,FALSE)</f>
        <v>#N/A</v>
      </c>
      <c r="H33" s="191" t="e">
        <f>VLOOKUP(B33,пр.взв!B$7:H$120,7,FALSE)</f>
        <v>#N/A</v>
      </c>
      <c r="I33" s="3"/>
      <c r="J33" s="3"/>
      <c r="K33" s="3"/>
    </row>
    <row r="34" spans="1:11" ht="24" hidden="1" customHeight="1">
      <c r="A34" s="181">
        <v>29</v>
      </c>
      <c r="B34" s="189" t="e">
        <f>INDEX(пр.хода!$B$6:'пр.хода'!$AB$119,MATCH(29,пр.хода!$AC$6:'пр.хода'!$AC$119,0),MATCH("№ п/ж",пр.хода!$B$4:'пр.хода'!$D$4,0))</f>
        <v>#N/A</v>
      </c>
      <c r="C34" s="191" t="e">
        <f>VLOOKUP(B34,пр.взв!B$7:H$120,2,FALSE)</f>
        <v>#N/A</v>
      </c>
      <c r="D34" s="191" t="e">
        <f>VLOOKUP(B34,пр.взв!B$7:H$120,3,FALSE)</f>
        <v>#N/A</v>
      </c>
      <c r="E34" s="191" t="e">
        <f>VLOOKUP(B34,пр.взв!B$7:H$120,4,FALSE)</f>
        <v>#N/A</v>
      </c>
      <c r="F34" s="191" t="e">
        <f>VLOOKUP(B34,пр.взв!B$7:H$120,5,FALSE)</f>
        <v>#N/A</v>
      </c>
      <c r="G34" s="192" t="e">
        <f>VLOOKUP(B34,пр.взв!B$7:H$120,6,FALSE)</f>
        <v>#N/A</v>
      </c>
      <c r="H34" s="191" t="e">
        <f>VLOOKUP(B34,пр.взв!B$7:H$120,7,FALSE)</f>
        <v>#N/A</v>
      </c>
    </row>
    <row r="35" spans="1:11" ht="24" hidden="1" customHeight="1">
      <c r="A35" s="187">
        <v>30</v>
      </c>
      <c r="B35" s="189" t="e">
        <f>INDEX(пр.хода!$B$6:'пр.хода'!$AB$119,MATCH(30,пр.хода!$AC$6:'пр.хода'!$AC$119,0),MATCH("№ п/ж",пр.хода!$B$4:'пр.хода'!$D$4,0))</f>
        <v>#N/A</v>
      </c>
      <c r="C35" s="191" t="e">
        <f>VLOOKUP(B35,пр.взв!B$7:H$120,2,FALSE)</f>
        <v>#N/A</v>
      </c>
      <c r="D35" s="191" t="e">
        <f>VLOOKUP(B35,пр.взв!B$7:H$120,3,FALSE)</f>
        <v>#N/A</v>
      </c>
      <c r="E35" s="191" t="e">
        <f>VLOOKUP(B35,пр.взв!B$7:H$120,4,FALSE)</f>
        <v>#N/A</v>
      </c>
      <c r="F35" s="191" t="e">
        <f>VLOOKUP(B35,пр.взв!B$7:H$120,5,FALSE)</f>
        <v>#N/A</v>
      </c>
      <c r="G35" s="192" t="e">
        <f>VLOOKUP(B35,пр.взв!B$7:H$120,6,FALSE)</f>
        <v>#N/A</v>
      </c>
      <c r="H35" s="191" t="e">
        <f>VLOOKUP(B35,пр.взв!B$7:H$120,7,FALSE)</f>
        <v>#N/A</v>
      </c>
    </row>
    <row r="36" spans="1:11" ht="24" hidden="1" customHeight="1">
      <c r="A36" s="181">
        <v>31</v>
      </c>
      <c r="B36" s="189" t="e">
        <f>INDEX(пр.хода!$B$6:'пр.хода'!$AB$119,MATCH(31,пр.хода!$AC$6:'пр.хода'!$AC$119,0),MATCH("№ п/ж",пр.хода!$B$4:'пр.хода'!$D$4,0))</f>
        <v>#N/A</v>
      </c>
      <c r="C36" s="191" t="e">
        <f>VLOOKUP(B36,пр.взв!B$7:H$120,2,FALSE)</f>
        <v>#N/A</v>
      </c>
      <c r="D36" s="191" t="e">
        <f>VLOOKUP(B36,пр.взв!B$7:H$120,3,FALSE)</f>
        <v>#N/A</v>
      </c>
      <c r="E36" s="191" t="e">
        <f>VLOOKUP(B36,пр.взв!B$7:H$120,4,FALSE)</f>
        <v>#N/A</v>
      </c>
      <c r="F36" s="191" t="e">
        <f>VLOOKUP(B36,пр.взв!B$7:H$120,5,FALSE)</f>
        <v>#N/A</v>
      </c>
      <c r="G36" s="192" t="e">
        <f>VLOOKUP(B36,пр.взв!B$7:H$120,6,FALSE)</f>
        <v>#N/A</v>
      </c>
      <c r="H36" s="191" t="e">
        <f>VLOOKUP(B36,пр.взв!B$7:H$120,7,FALSE)</f>
        <v>#N/A</v>
      </c>
    </row>
    <row r="37" spans="1:11" ht="24" hidden="1" customHeight="1">
      <c r="A37" s="187">
        <v>32</v>
      </c>
      <c r="B37" s="189" t="e">
        <f>INDEX(пр.хода!$B$6:'пр.хода'!$AB$119,MATCH(32,пр.хода!$AC$6:'пр.хода'!$AC$119,0),MATCH("№ п/ж",пр.хода!$B$4:'пр.хода'!$D$4,0))</f>
        <v>#N/A</v>
      </c>
      <c r="C37" s="191" t="e">
        <f>VLOOKUP(B37,пр.взв!B$7:H$120,2,FALSE)</f>
        <v>#N/A</v>
      </c>
      <c r="D37" s="191" t="e">
        <f>VLOOKUP(B37,пр.взв!B$7:H$120,3,FALSE)</f>
        <v>#N/A</v>
      </c>
      <c r="E37" s="191" t="e">
        <f>VLOOKUP(B37,пр.взв!B$7:H$120,4,FALSE)</f>
        <v>#N/A</v>
      </c>
      <c r="F37" s="191" t="e">
        <f>VLOOKUP(B37,пр.взв!B$7:H$120,5,FALSE)</f>
        <v>#N/A</v>
      </c>
      <c r="G37" s="192" t="e">
        <f>VLOOKUP(B37,пр.взв!B$7:H$120,6,FALSE)</f>
        <v>#N/A</v>
      </c>
      <c r="H37" s="191" t="e">
        <f>VLOOKUP(B37,пр.взв!B$7:H$120,7,FALSE)</f>
        <v>#N/A</v>
      </c>
    </row>
    <row r="38" spans="1:11" ht="24" hidden="1" customHeight="1">
      <c r="A38" s="181">
        <v>33</v>
      </c>
      <c r="B38" s="189" t="e">
        <f>INDEX(пр.хода!$B$6:'пр.хода'!$AB$119,MATCH(33,пр.хода!$AC$6:'пр.хода'!$AC$119,0),MATCH("№ п/ж",пр.хода!$B$4:'пр.хода'!$D$4,0))</f>
        <v>#N/A</v>
      </c>
      <c r="C38" s="191" t="e">
        <f>VLOOKUP(B38,пр.взв!B$7:H$120,2,FALSE)</f>
        <v>#N/A</v>
      </c>
      <c r="D38" s="191" t="e">
        <f>VLOOKUP(B38,пр.взв!B$7:H$120,3,FALSE)</f>
        <v>#N/A</v>
      </c>
      <c r="E38" s="191" t="e">
        <f>VLOOKUP(B38,пр.взв!B$7:H$120,4,FALSE)</f>
        <v>#N/A</v>
      </c>
      <c r="F38" s="191" t="e">
        <f>VLOOKUP(B38,пр.взв!B$7:H$120,5,FALSE)</f>
        <v>#N/A</v>
      </c>
      <c r="G38" s="192" t="e">
        <f>VLOOKUP(B38,пр.взв!B$7:H$120,6,FALSE)</f>
        <v>#N/A</v>
      </c>
      <c r="H38" s="191" t="e">
        <f>VLOOKUP(B38,пр.взв!B$7:H$120,7,FALSE)</f>
        <v>#N/A</v>
      </c>
    </row>
    <row r="39" spans="1:11" ht="24" hidden="1" customHeight="1">
      <c r="A39" s="181">
        <v>34</v>
      </c>
      <c r="B39" s="189" t="e">
        <f>INDEX(пр.хода!$B$6:'пр.хода'!$AB$119,MATCH(34,пр.хода!$AC$6:'пр.хода'!$AC$119,0),MATCH("№ п/ж",пр.хода!$B$4:'пр.хода'!$D$4,0))</f>
        <v>#N/A</v>
      </c>
      <c r="C39" s="191" t="e">
        <f>VLOOKUP(B39,пр.взв!B$7:H$120,2,FALSE)</f>
        <v>#N/A</v>
      </c>
      <c r="D39" s="191" t="e">
        <f>VLOOKUP(B39,пр.взв!B$7:H$120,3,FALSE)</f>
        <v>#N/A</v>
      </c>
      <c r="E39" s="191" t="e">
        <f>VLOOKUP(B39,пр.взв!B$7:H$120,4,FALSE)</f>
        <v>#N/A</v>
      </c>
      <c r="F39" s="191" t="e">
        <f>VLOOKUP(B39,пр.взв!B$7:H$120,5,FALSE)</f>
        <v>#N/A</v>
      </c>
      <c r="G39" s="192" t="e">
        <f>VLOOKUP(B39,пр.взв!B$7:H$120,6,FALSE)</f>
        <v>#N/A</v>
      </c>
      <c r="H39" s="191" t="e">
        <f>VLOOKUP(B39,пр.взв!B$7:H$120,7,FALSE)</f>
        <v>#N/A</v>
      </c>
    </row>
    <row r="40" spans="1:11" ht="24" hidden="1" customHeight="1">
      <c r="A40" s="187">
        <v>35</v>
      </c>
      <c r="B40" s="189" t="e">
        <f>INDEX(пр.хода!$B$6:'пр.хода'!$AB$119,MATCH(35,пр.хода!$AC$6:'пр.хода'!$AC$119,0),MATCH("№ п/ж",пр.хода!$B$4:'пр.хода'!$D$4,0))</f>
        <v>#N/A</v>
      </c>
      <c r="C40" s="191" t="e">
        <f>VLOOKUP(B40,пр.взв!B$7:H$120,2,FALSE)</f>
        <v>#N/A</v>
      </c>
      <c r="D40" s="191" t="e">
        <f>VLOOKUP(B40,пр.взв!B$7:H$120,3,FALSE)</f>
        <v>#N/A</v>
      </c>
      <c r="E40" s="191" t="e">
        <f>VLOOKUP(B40,пр.взв!B$7:H$120,4,FALSE)</f>
        <v>#N/A</v>
      </c>
      <c r="F40" s="191" t="e">
        <f>VLOOKUP(B40,пр.взв!B$7:H$120,5,FALSE)</f>
        <v>#N/A</v>
      </c>
      <c r="G40" s="192" t="e">
        <f>VLOOKUP(B40,пр.взв!B$7:H$120,6,FALSE)</f>
        <v>#N/A</v>
      </c>
      <c r="H40" s="191" t="e">
        <f>VLOOKUP(B40,пр.взв!B$7:H$120,7,FALSE)</f>
        <v>#N/A</v>
      </c>
    </row>
    <row r="41" spans="1:11" ht="24" hidden="1" customHeight="1">
      <c r="A41" s="181">
        <v>36</v>
      </c>
      <c r="B41" s="189" t="e">
        <f>INDEX(пр.хода!$B$6:'пр.хода'!$AB$119,MATCH(36,пр.хода!$AC$6:'пр.хода'!$AC$119,0),MATCH("№ п/ж",пр.хода!$B$4:'пр.хода'!$D$4,0))</f>
        <v>#N/A</v>
      </c>
      <c r="C41" s="191" t="e">
        <f>VLOOKUP(B41,пр.взв!B$7:H$120,2,FALSE)</f>
        <v>#N/A</v>
      </c>
      <c r="D41" s="191" t="e">
        <f>VLOOKUP(B41,пр.взв!B$7:H$120,3,FALSE)</f>
        <v>#N/A</v>
      </c>
      <c r="E41" s="191" t="e">
        <f>VLOOKUP(B41,пр.взв!B$7:H$120,4,FALSE)</f>
        <v>#N/A</v>
      </c>
      <c r="F41" s="191" t="e">
        <f>VLOOKUP(B41,пр.взв!B$7:H$120,5,FALSE)</f>
        <v>#N/A</v>
      </c>
      <c r="G41" s="192" t="e">
        <f>VLOOKUP(B41,пр.взв!B$7:H$120,6,FALSE)</f>
        <v>#N/A</v>
      </c>
      <c r="H41" s="191" t="e">
        <f>VLOOKUP(B41,пр.взв!B$7:H$120,7,FALSE)</f>
        <v>#N/A</v>
      </c>
    </row>
    <row r="42" spans="1:11" ht="24" hidden="1" customHeight="1">
      <c r="A42" s="187">
        <v>37</v>
      </c>
      <c r="B42" s="189" t="e">
        <f>INDEX(пр.хода!$B$6:'пр.хода'!$AB$119,MATCH(37,пр.хода!$AC$6:'пр.хода'!$AC$119,0),MATCH("№ п/ж",пр.хода!$B$4:'пр.хода'!$D$4,0))</f>
        <v>#N/A</v>
      </c>
      <c r="C42" s="191" t="e">
        <f>VLOOKUP(B42,пр.взв!B$7:H$120,2,FALSE)</f>
        <v>#N/A</v>
      </c>
      <c r="D42" s="191" t="e">
        <f>VLOOKUP(B42,пр.взв!B$7:H$120,3,FALSE)</f>
        <v>#N/A</v>
      </c>
      <c r="E42" s="191" t="e">
        <f>VLOOKUP(B42,пр.взв!B$7:H$120,4,FALSE)</f>
        <v>#N/A</v>
      </c>
      <c r="F42" s="191" t="e">
        <f>VLOOKUP(B42,пр.взв!B$7:H$120,5,FALSE)</f>
        <v>#N/A</v>
      </c>
      <c r="G42" s="192" t="e">
        <f>VLOOKUP(B42,пр.взв!B$7:H$120,6,FALSE)</f>
        <v>#N/A</v>
      </c>
      <c r="H42" s="191" t="e">
        <f>VLOOKUP(B42,пр.взв!B$7:H$120,7,FALSE)</f>
        <v>#N/A</v>
      </c>
    </row>
    <row r="43" spans="1:11" ht="24" hidden="1" customHeight="1">
      <c r="A43" s="187">
        <v>38</v>
      </c>
      <c r="B43" s="189" t="e">
        <f>INDEX(пр.хода!$B$6:'пр.хода'!$AB$119,MATCH(38,пр.хода!$AC$6:'пр.хода'!$AC$119,0),MATCH("№ п/ж",пр.хода!$B$4:'пр.хода'!$D$4,0))</f>
        <v>#N/A</v>
      </c>
      <c r="C43" s="191" t="e">
        <f>VLOOKUP(B43,пр.взв!B$7:H$120,2,FALSE)</f>
        <v>#N/A</v>
      </c>
      <c r="D43" s="191" t="e">
        <f>VLOOKUP(B43,пр.взв!B$7:H$120,3,FALSE)</f>
        <v>#N/A</v>
      </c>
      <c r="E43" s="191" t="e">
        <f>VLOOKUP(B43,пр.взв!B$7:H$120,4,FALSE)</f>
        <v>#N/A</v>
      </c>
      <c r="F43" s="191" t="e">
        <f>VLOOKUP(B43,пр.взв!B$7:H$120,5,FALSE)</f>
        <v>#N/A</v>
      </c>
      <c r="G43" s="192" t="e">
        <f>VLOOKUP(B43,пр.взв!B$7:H$120,6,FALSE)</f>
        <v>#N/A</v>
      </c>
      <c r="H43" s="191" t="e">
        <f>VLOOKUP(B43,пр.взв!B$7:H$120,7,FALSE)</f>
        <v>#N/A</v>
      </c>
    </row>
    <row r="44" spans="1:11" ht="24" hidden="1" customHeight="1">
      <c r="A44" s="187">
        <v>39</v>
      </c>
      <c r="B44" s="189" t="e">
        <f>INDEX(пр.хода!$B$6:'пр.хода'!$AB$119,MATCH(39,пр.хода!$AC$6:'пр.хода'!$AC$119,0),MATCH("№ п/ж",пр.хода!$B$4:'пр.хода'!$D$4,0))</f>
        <v>#N/A</v>
      </c>
      <c r="C44" s="191" t="e">
        <f>VLOOKUP(B44,пр.взв!B$7:H$120,2,FALSE)</f>
        <v>#N/A</v>
      </c>
      <c r="D44" s="191" t="e">
        <f>VLOOKUP(B44,пр.взв!B$7:H$120,3,FALSE)</f>
        <v>#N/A</v>
      </c>
      <c r="E44" s="191" t="e">
        <f>VLOOKUP(B44,пр.взв!B$7:H$120,4,FALSE)</f>
        <v>#N/A</v>
      </c>
      <c r="F44" s="191" t="e">
        <f>VLOOKUP(B44,пр.взв!B$7:H$120,5,FALSE)</f>
        <v>#N/A</v>
      </c>
      <c r="G44" s="192" t="e">
        <f>VLOOKUP(B44,пр.взв!B$7:H$120,6,FALSE)</f>
        <v>#N/A</v>
      </c>
      <c r="H44" s="191" t="e">
        <f>VLOOKUP(B44,пр.взв!B$7:H$120,7,FALSE)</f>
        <v>#N/A</v>
      </c>
    </row>
    <row r="45" spans="1:11" ht="24" hidden="1" customHeight="1">
      <c r="A45" s="181">
        <v>40</v>
      </c>
      <c r="B45" s="189" t="e">
        <f>INDEX(пр.хода!$B$6:'пр.хода'!$AB$119,MATCH(40,пр.хода!$AC$6:'пр.хода'!$AC$119,0),MATCH("№ п/ж",пр.хода!$B$4:'пр.хода'!$D$4,0))</f>
        <v>#N/A</v>
      </c>
      <c r="C45" s="191" t="e">
        <f>VLOOKUP(B45,пр.взв!B$7:H$120,2,FALSE)</f>
        <v>#N/A</v>
      </c>
      <c r="D45" s="191" t="e">
        <f>VLOOKUP(B45,пр.взв!B$7:H$120,3,FALSE)</f>
        <v>#N/A</v>
      </c>
      <c r="E45" s="191" t="e">
        <f>VLOOKUP(B45,пр.взв!B$7:H$120,4,FALSE)</f>
        <v>#N/A</v>
      </c>
      <c r="F45" s="191" t="e">
        <f>VLOOKUP(B45,пр.взв!B$7:H$120,5,FALSE)</f>
        <v>#N/A</v>
      </c>
      <c r="G45" s="192" t="e">
        <f>VLOOKUP(B45,пр.взв!B$7:H$120,6,FALSE)</f>
        <v>#N/A</v>
      </c>
      <c r="H45" s="191" t="e">
        <f>VLOOKUP(B45,пр.взв!B$7:H$120,7,FALSE)</f>
        <v>#N/A</v>
      </c>
    </row>
    <row r="46" spans="1:11" ht="24" hidden="1" customHeight="1">
      <c r="A46" s="181">
        <v>41</v>
      </c>
      <c r="B46" s="189" t="e">
        <f>INDEX(пр.хода!$B$6:'пр.хода'!$AB$119,MATCH(41,пр.хода!$AC$6:'пр.хода'!$AC$119,0),MATCH("№ п/ж",пр.хода!$B$4:'пр.хода'!$D$4,0))</f>
        <v>#N/A</v>
      </c>
      <c r="C46" s="191" t="e">
        <f>VLOOKUP(B46,пр.взв!B$7:H$120,2,FALSE)</f>
        <v>#N/A</v>
      </c>
      <c r="D46" s="191" t="e">
        <f>VLOOKUP(B46,пр.взв!B$7:H$120,3,FALSE)</f>
        <v>#N/A</v>
      </c>
      <c r="E46" s="191" t="e">
        <f>VLOOKUP(B46,пр.взв!B$7:H$120,4,FALSE)</f>
        <v>#N/A</v>
      </c>
      <c r="F46" s="191" t="e">
        <f>VLOOKUP(B46,пр.взв!B$7:H$120,5,FALSE)</f>
        <v>#N/A</v>
      </c>
      <c r="G46" s="192" t="e">
        <f>VLOOKUP(B46,пр.взв!B$7:H$120,6,FALSE)</f>
        <v>#N/A</v>
      </c>
      <c r="H46" s="191" t="e">
        <f>VLOOKUP(B46,пр.взв!B$7:H$120,7,FALSE)</f>
        <v>#N/A</v>
      </c>
    </row>
    <row r="47" spans="1:11" ht="24" hidden="1" customHeight="1">
      <c r="A47" s="181">
        <v>42</v>
      </c>
      <c r="B47" s="189" t="e">
        <f>INDEX(пр.хода!$B$6:'пр.хода'!$AB$119,MATCH(42,пр.хода!$AC$6:'пр.хода'!$AC$119,0),MATCH("№ п/ж",пр.хода!$B$4:'пр.хода'!$D$4,0))</f>
        <v>#N/A</v>
      </c>
      <c r="C47" s="191" t="e">
        <f>VLOOKUP(B47,пр.взв!B$7:H$120,2,FALSE)</f>
        <v>#N/A</v>
      </c>
      <c r="D47" s="191" t="e">
        <f>VLOOKUP(B47,пр.взв!B$7:H$120,3,FALSE)</f>
        <v>#N/A</v>
      </c>
      <c r="E47" s="191" t="e">
        <f>VLOOKUP(B47,пр.взв!B$7:H$120,4,FALSE)</f>
        <v>#N/A</v>
      </c>
      <c r="F47" s="191" t="e">
        <f>VLOOKUP(B47,пр.взв!B$7:H$120,5,FALSE)</f>
        <v>#N/A</v>
      </c>
      <c r="G47" s="192" t="e">
        <f>VLOOKUP(B47,пр.взв!B$7:H$120,6,FALSE)</f>
        <v>#N/A</v>
      </c>
      <c r="H47" s="191" t="e">
        <f>VLOOKUP(B47,пр.взв!B$7:H$120,7,FALSE)</f>
        <v>#N/A</v>
      </c>
    </row>
    <row r="48" spans="1:11" ht="24" hidden="1" customHeight="1">
      <c r="A48" s="181">
        <v>43</v>
      </c>
      <c r="B48" s="189" t="e">
        <f>INDEX(пр.хода!$B$6:'пр.хода'!$AB$119,MATCH(43,пр.хода!$AC$6:'пр.хода'!$AC$119,0),MATCH("№ п/ж",пр.хода!$B$4:'пр.хода'!$D$4,0))</f>
        <v>#N/A</v>
      </c>
      <c r="C48" s="191" t="e">
        <f>VLOOKUP(B48,пр.взв!B$7:H$120,2,FALSE)</f>
        <v>#N/A</v>
      </c>
      <c r="D48" s="191" t="e">
        <f>VLOOKUP(B48,пр.взв!B$7:H$120,3,FALSE)</f>
        <v>#N/A</v>
      </c>
      <c r="E48" s="191" t="e">
        <f>VLOOKUP(B48,пр.взв!B$7:H$120,4,FALSE)</f>
        <v>#N/A</v>
      </c>
      <c r="F48" s="191" t="e">
        <f>VLOOKUP(B48,пр.взв!B$7:H$120,5,FALSE)</f>
        <v>#N/A</v>
      </c>
      <c r="G48" s="192" t="e">
        <f>VLOOKUP(B48,пр.взв!B$7:H$120,6,FALSE)</f>
        <v>#N/A</v>
      </c>
      <c r="H48" s="191" t="e">
        <f>VLOOKUP(B48,пр.взв!B$7:H$120,7,FALSE)</f>
        <v>#N/A</v>
      </c>
    </row>
    <row r="49" spans="1:8" ht="24" hidden="1" customHeight="1">
      <c r="A49" s="181">
        <v>44</v>
      </c>
      <c r="B49" s="189" t="e">
        <f>INDEX(пр.хода!$B$6:'пр.хода'!$AB$119,MATCH(44,пр.хода!$AC$6:'пр.хода'!$AC$119,0),MATCH("№ п/ж",пр.хода!$B$4:'пр.хода'!$D$4,0))</f>
        <v>#N/A</v>
      </c>
      <c r="C49" s="191" t="e">
        <f>VLOOKUP(B49,пр.взв!B$7:H$120,2,FALSE)</f>
        <v>#N/A</v>
      </c>
      <c r="D49" s="191" t="e">
        <f>VLOOKUP(B49,пр.взв!B$7:H$120,3,FALSE)</f>
        <v>#N/A</v>
      </c>
      <c r="E49" s="191" t="e">
        <f>VLOOKUP(B49,пр.взв!B$7:H$120,4,FALSE)</f>
        <v>#N/A</v>
      </c>
      <c r="F49" s="191" t="e">
        <f>VLOOKUP(B49,пр.взв!B$7:H$120,5,FALSE)</f>
        <v>#N/A</v>
      </c>
      <c r="G49" s="192" t="e">
        <f>VLOOKUP(B49,пр.взв!B$7:H$120,6,FALSE)</f>
        <v>#N/A</v>
      </c>
      <c r="H49" s="191" t="e">
        <f>VLOOKUP(B49,пр.взв!B$7:H$120,7,FALSE)</f>
        <v>#N/A</v>
      </c>
    </row>
    <row r="50" spans="1:8" ht="24" hidden="1" customHeight="1">
      <c r="A50" s="181">
        <v>45</v>
      </c>
      <c r="B50" s="189" t="e">
        <f>INDEX(пр.хода!$B$6:'пр.хода'!$AB$119,MATCH(45,пр.хода!$AC$6:'пр.хода'!$AC$119,0),MATCH("№ п/ж",пр.хода!$B$4:'пр.хода'!$D$4,0))</f>
        <v>#N/A</v>
      </c>
      <c r="C50" s="191" t="e">
        <f>VLOOKUP(B50,пр.взв!B$7:H$120,2,FALSE)</f>
        <v>#N/A</v>
      </c>
      <c r="D50" s="191" t="e">
        <f>VLOOKUP(B50,пр.взв!B$7:H$120,3,FALSE)</f>
        <v>#N/A</v>
      </c>
      <c r="E50" s="191" t="e">
        <f>VLOOKUP(B50,пр.взв!B$7:H$120,4,FALSE)</f>
        <v>#N/A</v>
      </c>
      <c r="F50" s="191" t="e">
        <f>VLOOKUP(B50,пр.взв!B$7:H$120,5,FALSE)</f>
        <v>#N/A</v>
      </c>
      <c r="G50" s="192" t="e">
        <f>VLOOKUP(B50,пр.взв!B$7:H$120,6,FALSE)</f>
        <v>#N/A</v>
      </c>
      <c r="H50" s="191" t="e">
        <f>VLOOKUP(B50,пр.взв!B$7:H$120,7,FALSE)</f>
        <v>#N/A</v>
      </c>
    </row>
    <row r="51" spans="1:8" ht="24" hidden="1" customHeight="1">
      <c r="A51" s="181">
        <v>46</v>
      </c>
      <c r="B51" s="189" t="e">
        <f>INDEX(пр.хода!$B$6:'пр.хода'!$AB$119,MATCH(46,пр.хода!$AC$6:'пр.хода'!$AC$119,0),MATCH("№ п/ж",пр.хода!$B$4:'пр.хода'!$D$4,0))</f>
        <v>#N/A</v>
      </c>
      <c r="C51" s="191" t="e">
        <f>VLOOKUP(B51,пр.взв!B$7:H$120,2,FALSE)</f>
        <v>#N/A</v>
      </c>
      <c r="D51" s="191" t="e">
        <f>VLOOKUP(B51,пр.взв!B$7:H$120,3,FALSE)</f>
        <v>#N/A</v>
      </c>
      <c r="E51" s="191" t="e">
        <f>VLOOKUP(B51,пр.взв!B$7:H$120,4,FALSE)</f>
        <v>#N/A</v>
      </c>
      <c r="F51" s="191" t="e">
        <f>VLOOKUP(B51,пр.взв!B$7:H$120,5,FALSE)</f>
        <v>#N/A</v>
      </c>
      <c r="G51" s="192" t="e">
        <f>VLOOKUP(B51,пр.взв!B$7:H$120,6,FALSE)</f>
        <v>#N/A</v>
      </c>
      <c r="H51" s="191" t="e">
        <f>VLOOKUP(B51,пр.взв!B$7:H$120,7,FALSE)</f>
        <v>#N/A</v>
      </c>
    </row>
    <row r="52" spans="1:8" ht="24" hidden="1" customHeight="1">
      <c r="A52" s="181">
        <v>47</v>
      </c>
      <c r="B52" s="189" t="e">
        <f>INDEX(пр.хода!$B$6:'пр.хода'!$AB$119,MATCH(47,пр.хода!$AC$6:'пр.хода'!$AC$119,0),MATCH("№ п/ж",пр.хода!$B$4:'пр.хода'!$D$4,0))</f>
        <v>#N/A</v>
      </c>
      <c r="C52" s="191" t="e">
        <f>VLOOKUP(B52,пр.взв!B$7:H$120,2,FALSE)</f>
        <v>#N/A</v>
      </c>
      <c r="D52" s="191" t="e">
        <f>VLOOKUP(B52,пр.взв!B$7:H$120,3,FALSE)</f>
        <v>#N/A</v>
      </c>
      <c r="E52" s="191" t="e">
        <f>VLOOKUP(B52,пр.взв!B$7:H$120,4,FALSE)</f>
        <v>#N/A</v>
      </c>
      <c r="F52" s="191" t="e">
        <f>VLOOKUP(B52,пр.взв!B$7:H$120,5,FALSE)</f>
        <v>#N/A</v>
      </c>
      <c r="G52" s="192" t="e">
        <f>VLOOKUP(B52,пр.взв!B$7:H$120,6,FALSE)</f>
        <v>#N/A</v>
      </c>
      <c r="H52" s="191" t="e">
        <f>VLOOKUP(B52,пр.взв!B$7:H$120,7,FALSE)</f>
        <v>#N/A</v>
      </c>
    </row>
    <row r="53" spans="1:8" ht="24" hidden="1" customHeight="1">
      <c r="A53" s="181">
        <v>48</v>
      </c>
      <c r="B53" s="189" t="e">
        <f>INDEX(пр.хода!$B$6:'пр.хода'!$AB$119,MATCH(48,пр.хода!$AC$6:'пр.хода'!$AC$119,0),MATCH("№ п/ж",пр.хода!$B$4:'пр.хода'!$D$4,0))</f>
        <v>#N/A</v>
      </c>
      <c r="C53" s="191" t="e">
        <f>VLOOKUP(B53,пр.взв!B$7:H$120,2,FALSE)</f>
        <v>#N/A</v>
      </c>
      <c r="D53" s="191" t="e">
        <f>VLOOKUP(B53,пр.взв!B$7:H$120,3,FALSE)</f>
        <v>#N/A</v>
      </c>
      <c r="E53" s="191" t="e">
        <f>VLOOKUP(B53,пр.взв!B$7:H$120,4,FALSE)</f>
        <v>#N/A</v>
      </c>
      <c r="F53" s="191" t="e">
        <f>VLOOKUP(B53,пр.взв!B$7:H$120,5,FALSE)</f>
        <v>#N/A</v>
      </c>
      <c r="G53" s="192" t="e">
        <f>VLOOKUP(B53,пр.взв!B$7:H$120,6,FALSE)</f>
        <v>#N/A</v>
      </c>
      <c r="H53" s="191" t="e">
        <f>VLOOKUP(B53,пр.взв!B$7:H$120,7,FALSE)</f>
        <v>#N/A</v>
      </c>
    </row>
    <row r="54" spans="1:8" ht="24" hidden="1" customHeight="1">
      <c r="A54" s="181">
        <v>49</v>
      </c>
      <c r="B54" s="189" t="e">
        <f>INDEX(пр.хода!$B$6:'пр.хода'!$AB$119,MATCH(49,пр.хода!$AC$6:'пр.хода'!$AC$119,0),MATCH("№ п/ж",пр.хода!$B$4:'пр.хода'!$D$4,0))</f>
        <v>#N/A</v>
      </c>
      <c r="C54" s="191" t="e">
        <f>VLOOKUP(B54,пр.взв!B$7:H$120,2,FALSE)</f>
        <v>#N/A</v>
      </c>
      <c r="D54" s="191" t="e">
        <f>VLOOKUP(B54,пр.взв!B$7:H$120,3,FALSE)</f>
        <v>#N/A</v>
      </c>
      <c r="E54" s="191" t="e">
        <f>VLOOKUP(B54,пр.взв!B$7:H$120,4,FALSE)</f>
        <v>#N/A</v>
      </c>
      <c r="F54" s="191" t="e">
        <f>VLOOKUP(B54,пр.взв!B$7:H$120,5,FALSE)</f>
        <v>#N/A</v>
      </c>
      <c r="G54" s="192" t="e">
        <f>VLOOKUP(B54,пр.взв!B$7:H$120,6,FALSE)</f>
        <v>#N/A</v>
      </c>
      <c r="H54" s="191" t="e">
        <f>VLOOKUP(B54,пр.взв!B$7:H$120,7,FALSE)</f>
        <v>#N/A</v>
      </c>
    </row>
    <row r="55" spans="1:8" ht="24" hidden="1" customHeight="1">
      <c r="A55" s="181">
        <v>50</v>
      </c>
      <c r="B55" s="189" t="e">
        <f>INDEX(пр.хода!$B$6:'пр.хода'!$AB$119,MATCH(50,пр.хода!$AC$6:'пр.хода'!$AC$119,0),MATCH("№ п/ж",пр.хода!$B$4:'пр.хода'!$D$4,0))</f>
        <v>#N/A</v>
      </c>
      <c r="C55" s="191" t="e">
        <f>VLOOKUP(B55,пр.взв!B$7:H$120,2,FALSE)</f>
        <v>#N/A</v>
      </c>
      <c r="D55" s="191" t="e">
        <f>VLOOKUP(B55,пр.взв!B$7:H$120,3,FALSE)</f>
        <v>#N/A</v>
      </c>
      <c r="E55" s="191" t="e">
        <f>VLOOKUP(B55,пр.взв!B$7:H$120,4,FALSE)</f>
        <v>#N/A</v>
      </c>
      <c r="F55" s="191" t="e">
        <f>VLOOKUP(B55,пр.взв!B$7:H$120,5,FALSE)</f>
        <v>#N/A</v>
      </c>
      <c r="G55" s="192" t="e">
        <f>VLOOKUP(B55,пр.взв!B$7:H$120,6,FALSE)</f>
        <v>#N/A</v>
      </c>
      <c r="H55" s="191" t="e">
        <f>VLOOKUP(B55,пр.взв!B$7:H$120,7,FALSE)</f>
        <v>#N/A</v>
      </c>
    </row>
    <row r="56" spans="1:8" ht="24" hidden="1" customHeight="1">
      <c r="A56" s="181">
        <v>51</v>
      </c>
      <c r="B56" s="189" t="e">
        <f>INDEX(пр.хода!$B$6:'пр.хода'!$AB$119,MATCH(51,пр.хода!$AC$6:'пр.хода'!$AC$119,0),MATCH("№ п/ж",пр.хода!$B$4:'пр.хода'!$D$4,0))</f>
        <v>#N/A</v>
      </c>
      <c r="C56" s="191" t="e">
        <f>VLOOKUP(B56,пр.взв!B$7:H$120,2,FALSE)</f>
        <v>#N/A</v>
      </c>
      <c r="D56" s="191" t="e">
        <f>VLOOKUP(B56,пр.взв!B$7:H$120,3,FALSE)</f>
        <v>#N/A</v>
      </c>
      <c r="E56" s="191" t="e">
        <f>VLOOKUP(B56,пр.взв!B$7:H$120,4,FALSE)</f>
        <v>#N/A</v>
      </c>
      <c r="F56" s="191" t="e">
        <f>VLOOKUP(B56,пр.взв!B$7:H$120,5,FALSE)</f>
        <v>#N/A</v>
      </c>
      <c r="G56" s="192" t="e">
        <f>VLOOKUP(B56,пр.взв!B$7:H$120,6,FALSE)</f>
        <v>#N/A</v>
      </c>
      <c r="H56" s="191" t="e">
        <f>VLOOKUP(B56,пр.взв!B$7:H$120,7,FALSE)</f>
        <v>#N/A</v>
      </c>
    </row>
    <row r="57" spans="1:8" ht="24" hidden="1" customHeight="1">
      <c r="A57" s="181">
        <v>52</v>
      </c>
      <c r="B57" s="189" t="e">
        <f>INDEX(пр.хода!$B$6:'пр.хода'!$AB$119,MATCH(52,пр.хода!$AC$6:'пр.хода'!$AC$119,0),MATCH("№ п/ж",пр.хода!$B$4:'пр.хода'!$D$4,0))</f>
        <v>#N/A</v>
      </c>
      <c r="C57" s="191" t="e">
        <f>VLOOKUP(B57,пр.взв!B$7:H$120,2,FALSE)</f>
        <v>#N/A</v>
      </c>
      <c r="D57" s="191" t="e">
        <f>VLOOKUP(B57,пр.взв!B$7:H$120,3,FALSE)</f>
        <v>#N/A</v>
      </c>
      <c r="E57" s="191" t="e">
        <f>VLOOKUP(B57,пр.взв!B$7:H$120,4,FALSE)</f>
        <v>#N/A</v>
      </c>
      <c r="F57" s="191" t="e">
        <f>VLOOKUP(B57,пр.взв!B$7:H$120,5,FALSE)</f>
        <v>#N/A</v>
      </c>
      <c r="G57" s="192" t="e">
        <f>VLOOKUP(B57,пр.взв!B$7:H$120,6,FALSE)</f>
        <v>#N/A</v>
      </c>
      <c r="H57" s="191" t="e">
        <f>VLOOKUP(B57,пр.взв!B$7:H$120,7,FALSE)</f>
        <v>#N/A</v>
      </c>
    </row>
    <row r="58" spans="1:8" ht="24" hidden="1" customHeight="1">
      <c r="A58" s="181">
        <v>53</v>
      </c>
      <c r="B58" s="189" t="e">
        <f>INDEX(пр.хода!$B$6:'пр.хода'!$AB$119,MATCH(53,пр.хода!$AC$6:'пр.хода'!$AC$119,0),MATCH("№ п/ж",пр.хода!$B$4:'пр.хода'!$D$4,0))</f>
        <v>#N/A</v>
      </c>
      <c r="C58" s="191" t="e">
        <f>VLOOKUP(B58,пр.взв!B$7:H$120,2,FALSE)</f>
        <v>#N/A</v>
      </c>
      <c r="D58" s="191" t="e">
        <f>VLOOKUP(B58,пр.взв!B$7:H$120,3,FALSE)</f>
        <v>#N/A</v>
      </c>
      <c r="E58" s="191" t="e">
        <f>VLOOKUP(B58,пр.взв!B$7:H$120,4,FALSE)</f>
        <v>#N/A</v>
      </c>
      <c r="F58" s="191" t="e">
        <f>VLOOKUP(B58,пр.взв!B$7:H$120,5,FALSE)</f>
        <v>#N/A</v>
      </c>
      <c r="G58" s="192" t="e">
        <f>VLOOKUP(B58,пр.взв!B$7:H$120,6,FALSE)</f>
        <v>#N/A</v>
      </c>
      <c r="H58" s="191" t="e">
        <f>VLOOKUP(B58,пр.взв!B$7:H$120,7,FALSE)</f>
        <v>#N/A</v>
      </c>
    </row>
    <row r="59" spans="1:8" ht="24" hidden="1" customHeight="1">
      <c r="A59" s="181">
        <v>54</v>
      </c>
      <c r="B59" s="189" t="e">
        <f>INDEX(пр.хода!$B$6:'пр.хода'!$AB$119,MATCH(54,пр.хода!$AC$6:'пр.хода'!$AC$119,0),MATCH("№ п/ж",пр.хода!$B$4:'пр.хода'!$D$4,0))</f>
        <v>#N/A</v>
      </c>
      <c r="C59" s="191" t="e">
        <f>VLOOKUP(B59,пр.взв!B$7:H$120,2,FALSE)</f>
        <v>#N/A</v>
      </c>
      <c r="D59" s="191" t="e">
        <f>VLOOKUP(B59,пр.взв!B$7:H$120,3,FALSE)</f>
        <v>#N/A</v>
      </c>
      <c r="E59" s="191" t="e">
        <f>VLOOKUP(B59,пр.взв!B$7:H$120,4,FALSE)</f>
        <v>#N/A</v>
      </c>
      <c r="F59" s="191" t="e">
        <f>VLOOKUP(B59,пр.взв!B$7:H$120,5,FALSE)</f>
        <v>#N/A</v>
      </c>
      <c r="G59" s="192" t="e">
        <f>VLOOKUP(B59,пр.взв!B$7:H$120,6,FALSE)</f>
        <v>#N/A</v>
      </c>
      <c r="H59" s="191" t="e">
        <f>VLOOKUP(B59,пр.взв!B$7:H$120,7,FALSE)</f>
        <v>#N/A</v>
      </c>
    </row>
    <row r="60" spans="1:8" ht="24" hidden="1" customHeight="1">
      <c r="A60" s="181">
        <v>55</v>
      </c>
      <c r="B60" s="189" t="e">
        <f>INDEX(пр.хода!$B$6:'пр.хода'!$AB$119,MATCH(55,пр.хода!$AC$6:'пр.хода'!$AC$119,0),MATCH("№ п/ж",пр.хода!$B$4:'пр.хода'!$D$4,0))</f>
        <v>#N/A</v>
      </c>
      <c r="C60" s="191" t="e">
        <f>VLOOKUP(B60,пр.взв!B$7:H$120,2,FALSE)</f>
        <v>#N/A</v>
      </c>
      <c r="D60" s="191" t="e">
        <f>VLOOKUP(B60,пр.взв!B$7:H$120,3,FALSE)</f>
        <v>#N/A</v>
      </c>
      <c r="E60" s="191" t="e">
        <f>VLOOKUP(B60,пр.взв!B$7:H$120,4,FALSE)</f>
        <v>#N/A</v>
      </c>
      <c r="F60" s="191" t="e">
        <f>VLOOKUP(B60,пр.взв!B$7:H$120,5,FALSE)</f>
        <v>#N/A</v>
      </c>
      <c r="G60" s="192" t="e">
        <f>VLOOKUP(B60,пр.взв!B$7:H$120,6,FALSE)</f>
        <v>#N/A</v>
      </c>
      <c r="H60" s="191" t="e">
        <f>VLOOKUP(B60,пр.взв!B$7:H$120,7,FALSE)</f>
        <v>#N/A</v>
      </c>
    </row>
    <row r="61" spans="1:8" ht="24" hidden="1" customHeight="1">
      <c r="A61" s="181">
        <v>56</v>
      </c>
      <c r="B61" s="189" t="e">
        <f>INDEX(пр.хода!$B$6:'пр.хода'!$AB$119,MATCH(56,пр.хода!$AC$6:'пр.хода'!$AC$119,0),MATCH("№ п/ж",пр.хода!$B$4:'пр.хода'!$D$4,0))</f>
        <v>#N/A</v>
      </c>
      <c r="C61" s="191" t="e">
        <f>VLOOKUP(B61,пр.взв!B$7:H$120,2,FALSE)</f>
        <v>#N/A</v>
      </c>
      <c r="D61" s="191" t="e">
        <f>VLOOKUP(B61,пр.взв!B$7:H$120,3,FALSE)</f>
        <v>#N/A</v>
      </c>
      <c r="E61" s="191" t="e">
        <f>VLOOKUP(B61,пр.взв!B$7:H$120,4,FALSE)</f>
        <v>#N/A</v>
      </c>
      <c r="F61" s="191" t="e">
        <f>VLOOKUP(B61,пр.взв!B$7:H$120,5,FALSE)</f>
        <v>#N/A</v>
      </c>
      <c r="G61" s="192" t="e">
        <f>VLOOKUP(B61,пр.взв!B$7:H$120,6,FALSE)</f>
        <v>#N/A</v>
      </c>
      <c r="H61" s="191" t="e">
        <f>VLOOKUP(B61,пр.взв!B$7:H$120,7,FALSE)</f>
        <v>#N/A</v>
      </c>
    </row>
    <row r="62" spans="1:8" ht="24" hidden="1" customHeight="1">
      <c r="A62" s="181">
        <v>57</v>
      </c>
      <c r="B62" s="189" t="e">
        <f>INDEX(пр.хода!$B$6:'пр.хода'!$AB$119,MATCH(57,пр.хода!$AC$6:'пр.хода'!$AC$119,0),MATCH("№ п/ж",пр.хода!$B$4:'пр.хода'!$D$4,0))</f>
        <v>#N/A</v>
      </c>
      <c r="C62" s="191" t="e">
        <f>VLOOKUP(B62,пр.взв!B$7:H$120,2,FALSE)</f>
        <v>#N/A</v>
      </c>
      <c r="D62" s="191" t="e">
        <f>VLOOKUP(B62,пр.взв!B$7:H$120,3,FALSE)</f>
        <v>#N/A</v>
      </c>
      <c r="E62" s="191" t="e">
        <f>VLOOKUP(B62,пр.взв!B$7:H$120,4,FALSE)</f>
        <v>#N/A</v>
      </c>
      <c r="F62" s="191" t="e">
        <f>VLOOKUP(B62,пр.взв!B$7:H$120,5,FALSE)</f>
        <v>#N/A</v>
      </c>
      <c r="G62" s="192" t="e">
        <f>VLOOKUP(B62,пр.взв!B$7:H$120,6,FALSE)</f>
        <v>#N/A</v>
      </c>
      <c r="H62" s="191" t="e">
        <f>VLOOKUP(B62,пр.взв!B$7:H$120,7,FALSE)</f>
        <v>#N/A</v>
      </c>
    </row>
    <row r="63" spans="1:8" ht="24" hidden="1" customHeight="1">
      <c r="A63" s="181">
        <v>58</v>
      </c>
      <c r="B63" s="189" t="e">
        <f>INDEX(пр.хода!$B$6:'пр.хода'!$AB$119,MATCH(58,пр.хода!$AC$6:'пр.хода'!$AC$119,0),MATCH("№ п/ж",пр.хода!$B$4:'пр.хода'!$D$4,0))</f>
        <v>#N/A</v>
      </c>
      <c r="C63" s="191" t="e">
        <f>VLOOKUP(B63,пр.взв!B$7:H$120,2,FALSE)</f>
        <v>#N/A</v>
      </c>
      <c r="D63" s="191" t="e">
        <f>VLOOKUP(B63,пр.взв!B$7:H$120,3,FALSE)</f>
        <v>#N/A</v>
      </c>
      <c r="E63" s="191" t="e">
        <f>VLOOKUP(B63,пр.взв!B$7:H$120,4,FALSE)</f>
        <v>#N/A</v>
      </c>
      <c r="F63" s="191" t="e">
        <f>VLOOKUP(B63,пр.взв!B$7:H$120,5,FALSE)</f>
        <v>#N/A</v>
      </c>
      <c r="G63" s="192" t="e">
        <f>VLOOKUP(B63,пр.взв!B$7:H$120,6,FALSE)</f>
        <v>#N/A</v>
      </c>
      <c r="H63" s="191" t="e">
        <f>VLOOKUP(B63,пр.взв!B$7:H$120,7,FALSE)</f>
        <v>#N/A</v>
      </c>
    </row>
    <row r="64" spans="1:8" ht="24" hidden="1" customHeight="1" thickBot="1">
      <c r="A64" s="188">
        <v>59</v>
      </c>
      <c r="B64" s="199" t="e">
        <f>INDEX(пр.хода!$B$6:'пр.хода'!$AB$119,MATCH(59,пр.хода!$AC$6:'пр.хода'!$AC$119,0),MATCH("№ п/ж",пр.хода!$B$4:'пр.хода'!$D$4,0))</f>
        <v>#N/A</v>
      </c>
      <c r="C64" s="193" t="e">
        <f>VLOOKUP(B64,пр.взв!B$7:H$120,2,FALSE)</f>
        <v>#N/A</v>
      </c>
      <c r="D64" s="193" t="e">
        <f>VLOOKUP(B64,пр.взв!B$7:H$120,3,FALSE)</f>
        <v>#N/A</v>
      </c>
      <c r="E64" s="193" t="e">
        <f>VLOOKUP(B64,пр.взв!B$7:H$120,4,FALSE)</f>
        <v>#N/A</v>
      </c>
      <c r="F64" s="193" t="e">
        <f>VLOOKUP(B64,пр.взв!B$7:H$120,5,FALSE)</f>
        <v>#N/A</v>
      </c>
      <c r="G64" s="194" t="e">
        <f>VLOOKUP(B64,пр.взв!B$7:H$120,6,FALSE)</f>
        <v>#N/A</v>
      </c>
      <c r="H64" s="193" t="e">
        <f>VLOOKUP(B64,пр.взв!B$7:H$120,7,FALSE)</f>
        <v>#N/A</v>
      </c>
    </row>
    <row r="65" spans="1:20" ht="12" hidden="1" customHeight="1">
      <c r="A65" s="184"/>
      <c r="B65" s="185"/>
      <c r="C65" s="16"/>
      <c r="D65" s="16"/>
      <c r="E65" s="16"/>
      <c r="F65" s="16"/>
      <c r="G65" s="186"/>
      <c r="H65" s="16"/>
    </row>
    <row r="66" spans="1:20" ht="12" hidden="1" customHeight="1">
      <c r="A66" s="184"/>
      <c r="B66" s="185"/>
      <c r="C66" s="16"/>
      <c r="D66" s="16"/>
      <c r="E66" s="16"/>
      <c r="F66" s="16"/>
      <c r="G66" s="186"/>
      <c r="H66" s="16"/>
      <c r="I66" s="2"/>
      <c r="J66" s="2"/>
      <c r="K66" s="2"/>
      <c r="L66" s="23"/>
      <c r="M66" s="24"/>
      <c r="N66" s="23"/>
      <c r="O66" s="24"/>
      <c r="Q66" s="24"/>
      <c r="R66" s="23"/>
      <c r="S66" s="19"/>
      <c r="T66" s="19"/>
    </row>
    <row r="67" spans="1:20" ht="12" hidden="1" customHeight="1">
      <c r="A67" s="184"/>
      <c r="B67" s="185"/>
      <c r="C67" s="16"/>
      <c r="D67" s="16"/>
      <c r="E67" s="16"/>
      <c r="F67" s="16"/>
      <c r="G67" s="186"/>
      <c r="H67" s="16"/>
      <c r="I67" s="2"/>
      <c r="J67" s="2"/>
      <c r="K67" s="2"/>
      <c r="L67" s="23"/>
      <c r="M67" s="24"/>
      <c r="N67" s="23"/>
      <c r="O67" s="24"/>
      <c r="Q67" s="24"/>
      <c r="R67" s="23"/>
      <c r="S67" s="19"/>
      <c r="T67" s="19"/>
    </row>
    <row r="68" spans="1:20" ht="12" hidden="1" customHeight="1">
      <c r="A68" s="184"/>
      <c r="B68" s="185"/>
      <c r="C68" s="16"/>
      <c r="D68" s="16"/>
      <c r="E68" s="16"/>
      <c r="F68" s="16"/>
      <c r="G68" s="186"/>
      <c r="H68" s="16"/>
      <c r="I68" s="2"/>
      <c r="J68" s="2"/>
      <c r="K68" s="2"/>
    </row>
    <row r="69" spans="1:20" ht="12" hidden="1" customHeight="1">
      <c r="A69" s="184"/>
      <c r="B69" s="185"/>
      <c r="C69" s="16"/>
      <c r="D69" s="16"/>
      <c r="E69" s="16"/>
      <c r="F69" s="16"/>
      <c r="G69" s="186"/>
      <c r="H69" s="16"/>
      <c r="I69" s="2"/>
      <c r="J69" s="2"/>
      <c r="K69" s="2"/>
    </row>
    <row r="70" spans="1:20" ht="12" hidden="1" customHeight="1">
      <c r="A70" s="184"/>
      <c r="B70" s="185"/>
      <c r="C70" s="16"/>
      <c r="D70" s="16"/>
      <c r="E70" s="16"/>
      <c r="F70" s="16"/>
      <c r="G70" s="186"/>
      <c r="H70" s="16"/>
      <c r="I70" s="2"/>
      <c r="J70" s="2"/>
      <c r="K70" s="2"/>
    </row>
    <row r="71" spans="1:20" ht="12" hidden="1" customHeight="1">
      <c r="A71" s="184"/>
      <c r="B71" s="185"/>
      <c r="C71" s="16"/>
      <c r="D71" s="16"/>
      <c r="E71" s="16"/>
      <c r="F71" s="16"/>
      <c r="G71" s="186"/>
      <c r="H71" s="16"/>
      <c r="I71" s="2"/>
      <c r="J71" s="2"/>
      <c r="K71" s="2"/>
    </row>
    <row r="72" spans="1:20" ht="12" hidden="1" customHeight="1">
      <c r="A72" s="184"/>
      <c r="B72" s="185"/>
      <c r="C72" s="16"/>
      <c r="D72" s="16"/>
      <c r="E72" s="16"/>
      <c r="F72" s="16"/>
      <c r="G72" s="186"/>
      <c r="H72" s="16"/>
      <c r="I72" s="2"/>
      <c r="J72" s="2"/>
      <c r="K72" s="2"/>
    </row>
    <row r="73" spans="1:20" ht="12" hidden="1" customHeight="1">
      <c r="A73" s="184"/>
      <c r="B73" s="185"/>
      <c r="C73" s="16"/>
      <c r="D73" s="16"/>
      <c r="E73" s="16"/>
      <c r="F73" s="16"/>
      <c r="G73" s="186"/>
      <c r="H73" s="16"/>
      <c r="I73" s="2"/>
      <c r="J73" s="2"/>
      <c r="K73" s="2"/>
    </row>
    <row r="74" spans="1:20" ht="12" hidden="1" customHeight="1">
      <c r="A74" s="184"/>
      <c r="B74" s="185"/>
      <c r="C74" s="16"/>
      <c r="D74" s="16"/>
      <c r="E74" s="16"/>
      <c r="F74" s="16"/>
      <c r="G74" s="186"/>
      <c r="H74" s="16"/>
      <c r="I74" s="2"/>
      <c r="J74" s="2"/>
      <c r="K74" s="2"/>
    </row>
    <row r="75" spans="1:20" ht="12" hidden="1" customHeight="1">
      <c r="A75" s="184"/>
      <c r="B75" s="185"/>
      <c r="C75" s="16"/>
      <c r="D75" s="16"/>
      <c r="E75" s="16"/>
      <c r="F75" s="16"/>
      <c r="G75" s="186"/>
      <c r="H75" s="16"/>
      <c r="I75" s="2"/>
      <c r="J75" s="2"/>
      <c r="K75" s="2"/>
    </row>
    <row r="76" spans="1:20" ht="12" hidden="1" customHeight="1">
      <c r="A76" s="184"/>
      <c r="B76" s="185"/>
      <c r="C76" s="16"/>
      <c r="D76" s="16"/>
      <c r="E76" s="16"/>
      <c r="F76" s="16"/>
      <c r="G76" s="186"/>
      <c r="H76" s="16"/>
      <c r="I76" s="2"/>
      <c r="J76" s="2"/>
      <c r="K76" s="2"/>
    </row>
    <row r="77" spans="1:20" ht="12" hidden="1" customHeight="1">
      <c r="A77" s="184"/>
      <c r="B77" s="185"/>
      <c r="C77" s="16"/>
      <c r="D77" s="16"/>
      <c r="E77" s="16"/>
      <c r="F77" s="16"/>
      <c r="G77" s="186"/>
      <c r="H77" s="16"/>
      <c r="I77" s="2"/>
      <c r="J77" s="2"/>
      <c r="K77" s="2"/>
    </row>
    <row r="78" spans="1:20" ht="12" hidden="1" customHeight="1">
      <c r="A78" s="184"/>
      <c r="B78" s="185"/>
      <c r="C78" s="16"/>
      <c r="D78" s="16"/>
      <c r="E78" s="16"/>
      <c r="F78" s="16"/>
      <c r="G78" s="186"/>
      <c r="H78" s="16"/>
      <c r="I78" s="2"/>
      <c r="J78" s="2"/>
      <c r="K78" s="2"/>
    </row>
    <row r="79" spans="1:20" ht="12" hidden="1" customHeight="1">
      <c r="A79" s="184"/>
      <c r="B79" s="185"/>
      <c r="C79" s="16"/>
      <c r="D79" s="16"/>
      <c r="E79" s="16"/>
      <c r="F79" s="16"/>
      <c r="G79" s="186"/>
      <c r="H79" s="16"/>
      <c r="I79" s="2"/>
      <c r="J79" s="2"/>
      <c r="K79" s="2"/>
    </row>
    <row r="80" spans="1:20" ht="12" hidden="1" customHeight="1">
      <c r="A80" s="184"/>
      <c r="B80" s="185"/>
      <c r="C80" s="16"/>
      <c r="D80" s="16"/>
      <c r="E80" s="16"/>
      <c r="F80" s="16"/>
      <c r="G80" s="186"/>
      <c r="H80" s="16"/>
      <c r="I80" s="2"/>
      <c r="J80" s="2"/>
      <c r="K80" s="2"/>
    </row>
    <row r="81" spans="1:11" ht="12" hidden="1" customHeight="1">
      <c r="A81" s="184"/>
      <c r="B81" s="185"/>
      <c r="C81" s="16"/>
      <c r="D81" s="16"/>
      <c r="E81" s="16"/>
      <c r="F81" s="16"/>
      <c r="G81" s="186"/>
      <c r="H81" s="16"/>
      <c r="I81" s="2"/>
      <c r="J81" s="2"/>
      <c r="K81" s="2"/>
    </row>
    <row r="82" spans="1:11" ht="12" hidden="1" customHeight="1">
      <c r="A82" s="184"/>
      <c r="B82" s="185"/>
      <c r="C82" s="16"/>
      <c r="D82" s="16"/>
      <c r="E82" s="16"/>
      <c r="F82" s="16"/>
      <c r="G82" s="186"/>
      <c r="H82" s="16"/>
      <c r="I82" s="2"/>
      <c r="J82" s="2"/>
      <c r="K82" s="2"/>
    </row>
    <row r="83" spans="1:11" ht="12" hidden="1" customHeight="1">
      <c r="A83" s="184"/>
      <c r="B83" s="185"/>
      <c r="C83" s="16"/>
      <c r="D83" s="16"/>
      <c r="E83" s="16"/>
      <c r="F83" s="16"/>
      <c r="G83" s="186"/>
      <c r="H83" s="16"/>
      <c r="I83" s="2"/>
      <c r="J83" s="2"/>
      <c r="K83" s="2"/>
    </row>
    <row r="84" spans="1:11" ht="12" hidden="1" customHeight="1">
      <c r="A84" s="184"/>
      <c r="B84" s="185"/>
      <c r="C84" s="16"/>
      <c r="D84" s="16"/>
      <c r="E84" s="16"/>
      <c r="F84" s="16"/>
      <c r="G84" s="186"/>
      <c r="H84" s="16"/>
      <c r="I84" s="2"/>
      <c r="J84" s="2"/>
      <c r="K84" s="2"/>
    </row>
    <row r="85" spans="1:11" ht="12" hidden="1" customHeight="1">
      <c r="A85" s="184"/>
      <c r="B85" s="185"/>
      <c r="C85" s="16"/>
      <c r="D85" s="16"/>
      <c r="E85" s="16"/>
      <c r="F85" s="16"/>
      <c r="G85" s="186"/>
      <c r="H85" s="16"/>
      <c r="I85" s="2"/>
      <c r="J85" s="2"/>
      <c r="K85" s="2"/>
    </row>
    <row r="86" spans="1:11" ht="12" hidden="1" customHeight="1">
      <c r="A86" s="184"/>
      <c r="B86" s="185"/>
      <c r="C86" s="16"/>
      <c r="D86" s="16"/>
      <c r="E86" s="16"/>
      <c r="F86" s="16"/>
      <c r="G86" s="186"/>
      <c r="H86" s="16"/>
      <c r="I86" s="2"/>
      <c r="J86" s="2"/>
      <c r="K86" s="2"/>
    </row>
    <row r="87" spans="1:11" ht="12" hidden="1" customHeight="1">
      <c r="A87" s="184"/>
      <c r="B87" s="185"/>
      <c r="C87" s="16"/>
      <c r="D87" s="16"/>
      <c r="E87" s="16"/>
      <c r="F87" s="16"/>
      <c r="G87" s="186"/>
      <c r="H87" s="16"/>
      <c r="I87" s="2"/>
      <c r="J87" s="2"/>
      <c r="K87" s="2"/>
    </row>
    <row r="88" spans="1:11" ht="12" hidden="1" customHeight="1">
      <c r="A88" s="184"/>
      <c r="B88" s="185"/>
      <c r="C88" s="16"/>
      <c r="D88" s="16"/>
      <c r="E88" s="16"/>
      <c r="F88" s="16"/>
      <c r="G88" s="186"/>
      <c r="H88" s="16"/>
      <c r="I88" s="2"/>
      <c r="J88" s="2"/>
      <c r="K88" s="2"/>
    </row>
    <row r="89" spans="1:11" ht="12" hidden="1" customHeight="1">
      <c r="A89" s="184"/>
      <c r="B89" s="185"/>
      <c r="C89" s="16"/>
      <c r="D89" s="16"/>
      <c r="E89" s="16"/>
      <c r="F89" s="16"/>
      <c r="G89" s="186"/>
      <c r="H89" s="16"/>
      <c r="I89" s="2"/>
      <c r="J89" s="2"/>
      <c r="K89" s="2"/>
    </row>
    <row r="90" spans="1:11" ht="12" hidden="1" customHeight="1">
      <c r="A90" s="184"/>
      <c r="B90" s="185"/>
      <c r="C90" s="16"/>
      <c r="D90" s="16"/>
      <c r="E90" s="16"/>
      <c r="F90" s="16"/>
      <c r="G90" s="186"/>
      <c r="H90" s="16"/>
      <c r="I90" s="2"/>
      <c r="J90" s="2"/>
      <c r="K90" s="2"/>
    </row>
    <row r="91" spans="1:11" ht="12" hidden="1" customHeight="1">
      <c r="A91" s="184"/>
      <c r="B91" s="185"/>
      <c r="C91" s="16"/>
      <c r="D91" s="16"/>
      <c r="E91" s="16"/>
      <c r="F91" s="16"/>
      <c r="G91" s="186"/>
      <c r="H91" s="16"/>
      <c r="I91" s="2"/>
      <c r="J91" s="2"/>
      <c r="K91" s="2"/>
    </row>
    <row r="92" spans="1:11" ht="12" hidden="1" customHeight="1">
      <c r="A92" s="184"/>
      <c r="B92" s="185"/>
      <c r="C92" s="16"/>
      <c r="D92" s="16"/>
      <c r="E92" s="16"/>
      <c r="F92" s="16"/>
      <c r="G92" s="186"/>
      <c r="H92" s="16"/>
      <c r="I92" s="2"/>
      <c r="J92" s="2"/>
      <c r="K92" s="2"/>
    </row>
    <row r="93" spans="1:11" ht="12" hidden="1" customHeight="1">
      <c r="A93" s="184"/>
      <c r="B93" s="185"/>
      <c r="C93" s="16"/>
      <c r="D93" s="16"/>
      <c r="E93" s="16"/>
      <c r="F93" s="16"/>
      <c r="G93" s="186"/>
      <c r="H93" s="16"/>
      <c r="I93" s="2"/>
      <c r="J93" s="2"/>
      <c r="K93" s="2"/>
    </row>
    <row r="94" spans="1:11" ht="12" hidden="1" customHeight="1">
      <c r="A94" s="184"/>
      <c r="B94" s="185"/>
      <c r="C94" s="16"/>
      <c r="D94" s="16"/>
      <c r="E94" s="16"/>
      <c r="F94" s="16"/>
      <c r="G94" s="186"/>
      <c r="H94" s="16"/>
      <c r="I94" s="2"/>
      <c r="J94" s="2"/>
      <c r="K94" s="2"/>
    </row>
    <row r="95" spans="1:11" ht="12" hidden="1" customHeight="1">
      <c r="A95" s="184"/>
      <c r="B95" s="185"/>
      <c r="C95" s="16"/>
      <c r="D95" s="16"/>
      <c r="E95" s="16"/>
      <c r="F95" s="16"/>
      <c r="G95" s="186"/>
      <c r="H95" s="16"/>
      <c r="I95" s="2"/>
      <c r="J95" s="2"/>
      <c r="K95" s="2"/>
    </row>
    <row r="96" spans="1:11" ht="12" hidden="1" customHeight="1">
      <c r="A96" s="184"/>
      <c r="B96" s="185"/>
      <c r="C96" s="16"/>
      <c r="D96" s="16"/>
      <c r="E96" s="16"/>
      <c r="F96" s="16"/>
      <c r="G96" s="186"/>
      <c r="H96" s="16"/>
      <c r="I96" s="2"/>
      <c r="J96" s="2"/>
      <c r="K96" s="2"/>
    </row>
    <row r="97" spans="1:11" ht="12" hidden="1" customHeight="1">
      <c r="A97" s="184"/>
      <c r="B97" s="185"/>
      <c r="C97" s="16"/>
      <c r="D97" s="16"/>
      <c r="E97" s="16"/>
      <c r="F97" s="16"/>
      <c r="G97" s="186"/>
      <c r="H97" s="16"/>
      <c r="I97" s="2"/>
      <c r="J97" s="2"/>
      <c r="K97" s="2"/>
    </row>
    <row r="98" spans="1:11" ht="12" hidden="1" customHeight="1">
      <c r="A98" s="184"/>
      <c r="B98" s="185"/>
      <c r="C98" s="16"/>
      <c r="D98" s="16"/>
      <c r="E98" s="16"/>
      <c r="F98" s="16"/>
      <c r="G98" s="186"/>
      <c r="H98" s="16"/>
      <c r="I98" s="2"/>
      <c r="J98" s="2"/>
      <c r="K98" s="2"/>
    </row>
    <row r="99" spans="1:11" ht="12" hidden="1" customHeight="1">
      <c r="A99" s="184"/>
      <c r="B99" s="185"/>
      <c r="C99" s="16"/>
      <c r="D99" s="16"/>
      <c r="E99" s="16"/>
      <c r="F99" s="16"/>
      <c r="G99" s="186"/>
      <c r="H99" s="16"/>
      <c r="I99" s="2"/>
      <c r="J99" s="2"/>
      <c r="K99" s="2"/>
    </row>
    <row r="100" spans="1:11" ht="12" hidden="1" customHeight="1">
      <c r="A100" s="184"/>
      <c r="B100" s="185"/>
      <c r="C100" s="16"/>
      <c r="D100" s="16"/>
      <c r="E100" s="16"/>
      <c r="F100" s="16"/>
      <c r="G100" s="186"/>
      <c r="H100" s="16"/>
      <c r="I100" s="2"/>
      <c r="J100" s="2"/>
      <c r="K100" s="2"/>
    </row>
    <row r="101" spans="1:11" ht="12" hidden="1" customHeight="1">
      <c r="A101" s="184"/>
      <c r="B101" s="185"/>
      <c r="C101" s="16"/>
      <c r="D101" s="16"/>
      <c r="E101" s="16"/>
      <c r="F101" s="16"/>
      <c r="G101" s="186"/>
      <c r="H101" s="16"/>
      <c r="I101" s="2"/>
      <c r="J101" s="2"/>
      <c r="K101" s="2"/>
    </row>
    <row r="102" spans="1:11" ht="12" hidden="1" customHeight="1">
      <c r="A102" s="184"/>
      <c r="B102" s="185"/>
      <c r="C102" s="16"/>
      <c r="D102" s="16"/>
      <c r="E102" s="16"/>
      <c r="F102" s="16"/>
      <c r="G102" s="186"/>
      <c r="H102" s="16"/>
      <c r="I102" s="2"/>
      <c r="J102" s="2"/>
      <c r="K102" s="2"/>
    </row>
    <row r="103" spans="1:11" ht="12" hidden="1" customHeight="1">
      <c r="A103" s="184"/>
      <c r="B103" s="185"/>
      <c r="C103" s="16"/>
      <c r="D103" s="16"/>
      <c r="E103" s="16"/>
      <c r="F103" s="16"/>
      <c r="G103" s="186"/>
      <c r="H103" s="16"/>
      <c r="I103" s="2"/>
      <c r="J103" s="2"/>
      <c r="K103" s="2"/>
    </row>
    <row r="104" spans="1:11" ht="12" hidden="1" customHeight="1">
      <c r="A104" s="184"/>
      <c r="B104" s="185"/>
      <c r="C104" s="16"/>
      <c r="D104" s="16"/>
      <c r="E104" s="16"/>
      <c r="F104" s="16"/>
      <c r="G104" s="186"/>
      <c r="H104" s="16"/>
      <c r="I104" s="2"/>
      <c r="J104" s="2"/>
      <c r="K104" s="2"/>
    </row>
    <row r="105" spans="1:11" ht="12" hidden="1" customHeight="1">
      <c r="A105" s="184"/>
      <c r="B105" s="185"/>
      <c r="C105" s="16"/>
      <c r="D105" s="16"/>
      <c r="E105" s="16"/>
      <c r="F105" s="16"/>
      <c r="G105" s="186"/>
      <c r="H105" s="16"/>
      <c r="I105" s="2"/>
      <c r="J105" s="2"/>
      <c r="K105" s="2"/>
    </row>
    <row r="106" spans="1:11" ht="12" hidden="1" customHeight="1">
      <c r="A106" s="184"/>
      <c r="B106" s="185"/>
      <c r="C106" s="16"/>
      <c r="D106" s="16"/>
      <c r="E106" s="16"/>
      <c r="F106" s="16"/>
      <c r="G106" s="186"/>
      <c r="H106" s="16"/>
      <c r="I106" s="2"/>
      <c r="J106" s="2"/>
      <c r="K106" s="2"/>
    </row>
    <row r="107" spans="1:11" ht="12" hidden="1" customHeight="1">
      <c r="A107" s="184"/>
      <c r="B107" s="185"/>
      <c r="C107" s="16"/>
      <c r="D107" s="16"/>
      <c r="E107" s="16"/>
      <c r="F107" s="16"/>
      <c r="G107" s="186"/>
      <c r="H107" s="16"/>
      <c r="I107" s="2"/>
      <c r="J107" s="2"/>
      <c r="K107" s="2"/>
    </row>
    <row r="108" spans="1:11" ht="12" hidden="1" customHeight="1">
      <c r="A108" s="184"/>
      <c r="B108" s="185"/>
      <c r="C108" s="16"/>
      <c r="D108" s="16"/>
      <c r="E108" s="16"/>
      <c r="F108" s="16"/>
      <c r="G108" s="186"/>
      <c r="H108" s="16"/>
      <c r="I108" s="2"/>
      <c r="J108" s="2"/>
      <c r="K108" s="2"/>
    </row>
    <row r="109" spans="1:11" ht="12" hidden="1" customHeight="1">
      <c r="A109" s="184"/>
      <c r="B109" s="185"/>
      <c r="C109" s="16"/>
      <c r="D109" s="16"/>
      <c r="E109" s="16"/>
      <c r="F109" s="16"/>
      <c r="G109" s="186"/>
      <c r="H109" s="16"/>
      <c r="I109" s="2"/>
      <c r="J109" s="2"/>
      <c r="K109" s="2"/>
    </row>
    <row r="110" spans="1:11" ht="12" hidden="1" customHeight="1">
      <c r="A110" s="184"/>
      <c r="B110" s="185"/>
      <c r="C110" s="16"/>
      <c r="D110" s="16"/>
      <c r="E110" s="16"/>
      <c r="F110" s="16"/>
      <c r="G110" s="186"/>
      <c r="H110" s="16"/>
      <c r="I110" s="2"/>
      <c r="J110" s="2"/>
      <c r="K110" s="2"/>
    </row>
    <row r="111" spans="1:11" ht="12" hidden="1" customHeight="1">
      <c r="A111" s="184"/>
      <c r="B111" s="185"/>
      <c r="C111" s="16"/>
      <c r="D111" s="16"/>
      <c r="E111" s="16"/>
      <c r="F111" s="16"/>
      <c r="G111" s="186"/>
      <c r="H111" s="16"/>
      <c r="I111" s="2"/>
      <c r="J111" s="2"/>
      <c r="K111" s="2"/>
    </row>
    <row r="112" spans="1:11" ht="12" hidden="1" customHeight="1">
      <c r="A112" s="184"/>
      <c r="B112" s="185"/>
      <c r="C112" s="16"/>
      <c r="D112" s="16"/>
      <c r="E112" s="16"/>
      <c r="F112" s="16"/>
      <c r="G112" s="186"/>
      <c r="H112" s="16"/>
      <c r="I112" s="2"/>
      <c r="J112" s="2"/>
      <c r="K112" s="2"/>
    </row>
    <row r="113" spans="1:11" ht="12" hidden="1" customHeight="1">
      <c r="A113" s="184"/>
      <c r="B113" s="185"/>
      <c r="C113" s="16"/>
      <c r="D113" s="16"/>
      <c r="E113" s="16"/>
      <c r="F113" s="16"/>
      <c r="G113" s="186"/>
      <c r="H113" s="16"/>
      <c r="I113" s="2"/>
      <c r="J113" s="2"/>
      <c r="K113" s="2"/>
    </row>
    <row r="114" spans="1:11" ht="12" hidden="1" customHeight="1">
      <c r="A114" s="184"/>
      <c r="B114" s="185"/>
      <c r="C114" s="16"/>
      <c r="D114" s="16"/>
      <c r="E114" s="16"/>
      <c r="F114" s="16"/>
      <c r="G114" s="186"/>
      <c r="H114" s="16"/>
      <c r="I114" s="2"/>
      <c r="J114" s="2"/>
      <c r="K114" s="2"/>
    </row>
    <row r="115" spans="1:11" ht="12" hidden="1" customHeight="1">
      <c r="A115" s="184"/>
      <c r="B115" s="185"/>
      <c r="C115" s="16"/>
      <c r="D115" s="16"/>
      <c r="E115" s="16"/>
      <c r="F115" s="16"/>
      <c r="G115" s="186"/>
      <c r="H115" s="16"/>
      <c r="I115" s="2"/>
      <c r="J115" s="2"/>
      <c r="K115" s="2"/>
    </row>
    <row r="116" spans="1:11" ht="12" hidden="1" customHeight="1">
      <c r="A116" s="184"/>
      <c r="B116" s="185"/>
      <c r="C116" s="16"/>
      <c r="D116" s="16"/>
      <c r="E116" s="16"/>
      <c r="F116" s="16"/>
      <c r="G116" s="186"/>
      <c r="H116" s="16"/>
      <c r="I116" s="2"/>
      <c r="J116" s="2"/>
      <c r="K116" s="2"/>
    </row>
    <row r="117" spans="1:11" ht="12" hidden="1" customHeight="1">
      <c r="A117" s="184"/>
      <c r="B117" s="185"/>
      <c r="C117" s="16"/>
      <c r="D117" s="16"/>
      <c r="E117" s="16"/>
      <c r="F117" s="16"/>
      <c r="G117" s="186"/>
      <c r="H117" s="16"/>
      <c r="I117" s="2"/>
      <c r="J117" s="2"/>
      <c r="K117" s="2"/>
    </row>
    <row r="118" spans="1:11" ht="40.5" customHeight="1">
      <c r="A118" s="92" t="str">
        <f>[4]реквизиты!$A$6</f>
        <v>Гл. судья, судья ВК</v>
      </c>
      <c r="B118" s="93"/>
      <c r="C118" s="93"/>
      <c r="D118" s="101"/>
      <c r="E118" s="101"/>
      <c r="F118" s="94" t="str">
        <f>[4]реквизиты!$G$6</f>
        <v>А.С.Тимошин</v>
      </c>
      <c r="H118" s="95" t="str">
        <f>[4]реквизиты!$G$7</f>
        <v>/г.Рыбинск/</v>
      </c>
      <c r="I118" s="2"/>
      <c r="J118" s="2"/>
      <c r="K118" s="2"/>
    </row>
    <row r="119" spans="1:11" ht="40.5" customHeight="1">
      <c r="A119" s="92" t="str">
        <f>[4]реквизиты!$A$8</f>
        <v>Гл. секретарь, судья ВК</v>
      </c>
      <c r="B119" s="93"/>
      <c r="C119" s="96"/>
      <c r="D119" s="101"/>
      <c r="E119" s="97"/>
      <c r="F119" s="94" t="str">
        <f>[4]реквизиты!$G$8</f>
        <v>Д.П.Сапунов</v>
      </c>
      <c r="G119" s="2"/>
      <c r="H119" s="95" t="str">
        <f>[4]реквизиты!$G$9</f>
        <v>/г.Качканар/</v>
      </c>
      <c r="I119" s="2"/>
      <c r="J119" s="2"/>
      <c r="K119" s="2"/>
    </row>
    <row r="120" spans="1:11">
      <c r="A120" s="2"/>
      <c r="B120" s="2"/>
      <c r="C120" s="2"/>
      <c r="D120" s="2"/>
      <c r="E120" s="509"/>
      <c r="F120" s="2"/>
      <c r="G120" s="2"/>
      <c r="H120" s="2"/>
      <c r="I120" s="2"/>
      <c r="J120" s="2"/>
      <c r="K120" s="2"/>
    </row>
    <row r="121" spans="1:11">
      <c r="A121" s="2"/>
      <c r="B121" s="2"/>
      <c r="C121" s="2"/>
      <c r="D121" s="2"/>
      <c r="E121" s="510"/>
      <c r="F121" s="2"/>
      <c r="G121" s="2"/>
      <c r="H121" s="2"/>
      <c r="I121" s="2"/>
      <c r="J121" s="2"/>
      <c r="K121" s="2"/>
    </row>
  </sheetData>
  <mergeCells count="25">
    <mergeCell ref="AC2:AH2"/>
    <mergeCell ref="M2:Q2"/>
    <mergeCell ref="V4:V5"/>
    <mergeCell ref="W4:W5"/>
    <mergeCell ref="X4:AA4"/>
    <mergeCell ref="AC4:AC5"/>
    <mergeCell ref="AD4:AD5"/>
    <mergeCell ref="M4:M5"/>
    <mergeCell ref="N4:Q4"/>
    <mergeCell ref="E120:E121"/>
    <mergeCell ref="AE4:AH4"/>
    <mergeCell ref="L4:L5"/>
    <mergeCell ref="J4:J5"/>
    <mergeCell ref="K4:K5"/>
    <mergeCell ref="A1:H1"/>
    <mergeCell ref="A2:C2"/>
    <mergeCell ref="D2:H2"/>
    <mergeCell ref="A4:A5"/>
    <mergeCell ref="B4:B5"/>
    <mergeCell ref="C4:C5"/>
    <mergeCell ref="C3:G3"/>
    <mergeCell ref="D4:D5"/>
    <mergeCell ref="G4:G5"/>
    <mergeCell ref="H4:H5"/>
    <mergeCell ref="E4:F5"/>
  </mergeCells>
  <phoneticPr fontId="13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tabColor indexed="46"/>
  </sheetPr>
  <dimension ref="A1:T68"/>
  <sheetViews>
    <sheetView workbookViewId="0">
      <selection activeCell="J7" sqref="A1:J8"/>
    </sheetView>
  </sheetViews>
  <sheetFormatPr defaultRowHeight="12.5"/>
  <cols>
    <col min="1" max="1" width="0.81640625" customWidth="1"/>
    <col min="2" max="2" width="5.1796875" customWidth="1"/>
    <col min="3" max="3" width="22.1796875" customWidth="1"/>
    <col min="4" max="4" width="8.81640625" customWidth="1"/>
    <col min="5" max="5" width="6.1796875" customWidth="1"/>
    <col min="6" max="6" width="12.54296875" customWidth="1"/>
    <col min="7" max="7" width="30.81640625" customWidth="1"/>
    <col min="8" max="8" width="6.1796875" customWidth="1"/>
    <col min="9" max="9" width="4.81640625" customWidth="1"/>
    <col min="10" max="10" width="5.453125" customWidth="1"/>
    <col min="11" max="11" width="1.81640625" customWidth="1"/>
    <col min="12" max="12" width="5.54296875" customWidth="1"/>
    <col min="13" max="13" width="22.1796875" customWidth="1"/>
    <col min="14" max="14" width="8.54296875" customWidth="1"/>
    <col min="15" max="15" width="5.81640625" customWidth="1"/>
    <col min="16" max="16" width="11.1796875" customWidth="1"/>
    <col min="17" max="17" width="31" customWidth="1"/>
    <col min="18" max="18" width="6.1796875" customWidth="1"/>
    <col min="19" max="19" width="4.453125" customWidth="1"/>
    <col min="20" max="20" width="5.1796875" customWidth="1"/>
  </cols>
  <sheetData>
    <row r="1" spans="1:20" ht="23.25" customHeight="1">
      <c r="A1" s="10"/>
      <c r="B1" s="294" t="s">
        <v>141</v>
      </c>
      <c r="C1" s="294"/>
      <c r="D1" s="219">
        <f>кр2!D1</f>
        <v>1</v>
      </c>
      <c r="E1" s="218"/>
      <c r="F1" s="295" t="s">
        <v>142</v>
      </c>
      <c r="G1" s="295"/>
      <c r="H1" s="295"/>
      <c r="I1" s="295"/>
      <c r="J1" s="295"/>
      <c r="L1" s="294" t="s">
        <v>141</v>
      </c>
      <c r="M1" s="294"/>
      <c r="N1" s="219">
        <f>кр2!N1</f>
        <v>1</v>
      </c>
      <c r="O1" s="218"/>
      <c r="P1" s="295" t="s">
        <v>142</v>
      </c>
      <c r="Q1" s="295"/>
      <c r="R1" s="295"/>
      <c r="S1" s="295"/>
      <c r="T1" s="295"/>
    </row>
    <row r="2" spans="1:20" ht="15" customHeight="1" thickBot="1">
      <c r="A2" s="10"/>
      <c r="B2" s="11"/>
      <c r="C2" s="11" t="s">
        <v>144</v>
      </c>
      <c r="D2" s="39" t="s">
        <v>0</v>
      </c>
      <c r="E2" s="39"/>
      <c r="F2" s="11"/>
      <c r="G2" s="217" t="str">
        <f>пр.взв!D4</f>
        <v>В.к. 52 кг.</v>
      </c>
      <c r="H2" s="11"/>
      <c r="I2" s="11"/>
      <c r="J2" s="11"/>
      <c r="L2" s="1"/>
      <c r="M2" s="1" t="s">
        <v>144</v>
      </c>
      <c r="N2" s="40" t="s">
        <v>32</v>
      </c>
      <c r="O2" s="40"/>
      <c r="P2" s="1"/>
      <c r="Q2" s="217" t="str">
        <f>G2</f>
        <v>В.к. 52 кг.</v>
      </c>
      <c r="R2" s="1"/>
      <c r="S2" s="1"/>
      <c r="T2" s="1"/>
    </row>
    <row r="3" spans="1:20" ht="12.75" customHeight="1">
      <c r="A3" s="273"/>
      <c r="B3" s="274" t="s">
        <v>5</v>
      </c>
      <c r="C3" s="276" t="s">
        <v>2</v>
      </c>
      <c r="D3" s="278" t="s">
        <v>23</v>
      </c>
      <c r="E3" s="280" t="s">
        <v>24</v>
      </c>
      <c r="F3" s="281"/>
      <c r="G3" s="276" t="s">
        <v>25</v>
      </c>
      <c r="H3" s="278" t="s">
        <v>26</v>
      </c>
      <c r="I3" s="276" t="s">
        <v>27</v>
      </c>
      <c r="J3" s="284" t="s">
        <v>28</v>
      </c>
      <c r="L3" s="286" t="s">
        <v>5</v>
      </c>
      <c r="M3" s="288" t="s">
        <v>2</v>
      </c>
      <c r="N3" s="288" t="s">
        <v>23</v>
      </c>
      <c r="O3" s="535" t="s">
        <v>24</v>
      </c>
      <c r="P3" s="281"/>
      <c r="Q3" s="288" t="s">
        <v>25</v>
      </c>
      <c r="R3" s="290" t="s">
        <v>26</v>
      </c>
      <c r="S3" s="288" t="s">
        <v>27</v>
      </c>
      <c r="T3" s="292" t="s">
        <v>28</v>
      </c>
    </row>
    <row r="4" spans="1:20" ht="13" thickBot="1">
      <c r="A4" s="273"/>
      <c r="B4" s="275"/>
      <c r="C4" s="277"/>
      <c r="D4" s="279"/>
      <c r="E4" s="282"/>
      <c r="F4" s="283"/>
      <c r="G4" s="277"/>
      <c r="H4" s="279"/>
      <c r="I4" s="277"/>
      <c r="J4" s="285"/>
      <c r="L4" s="287"/>
      <c r="M4" s="289"/>
      <c r="N4" s="289"/>
      <c r="O4" s="536"/>
      <c r="P4" s="283"/>
      <c r="Q4" s="289"/>
      <c r="R4" s="291"/>
      <c r="S4" s="289"/>
      <c r="T4" s="293"/>
    </row>
    <row r="5" spans="1:20" ht="12.75" customHeight="1">
      <c r="A5" s="273"/>
      <c r="B5" s="296">
        <f ca="1">пр.хода!$AW13</f>
        <v>1</v>
      </c>
      <c r="C5" s="298" t="str">
        <f ca="1">IFERROR(VLOOKUP(B5,пр.взв!$B$7:$H$76,2,0),"")</f>
        <v>ГАВРИЛОВА Полина Сергеевна</v>
      </c>
      <c r="D5" s="300" t="str">
        <f ca="1">IFERROR(VLOOKUP(B5,пр.взв!$B$7:$H$76,3,0),"")</f>
        <v>23.06.96, КМС</v>
      </c>
      <c r="E5" s="300" t="str">
        <f ca="1">IFERROR(VLOOKUP(B5,пр.взв!$B$7:$H$76,4,0),"")</f>
        <v>УФО</v>
      </c>
      <c r="F5" s="302" t="str">
        <f ca="1">IFERROR(VLOOKUP(B5,пр.взв!$B$7:$H$76,5,0),"")</f>
        <v>Свердловская, Серов</v>
      </c>
      <c r="G5" s="304"/>
      <c r="H5" s="304"/>
      <c r="I5" s="306"/>
      <c r="J5" s="308"/>
      <c r="L5" s="310">
        <f ca="1">пр.хода!AY13</f>
        <v>3</v>
      </c>
      <c r="M5" s="298" t="str">
        <f ca="1">IFERROR(VLOOKUP(L5,пр.взв!$B$7:$H$76,2,0),"")</f>
        <v>ВИНИЧЕНКО Екатерина Константиновна</v>
      </c>
      <c r="N5" s="300" t="str">
        <f ca="1">IFERROR(VLOOKUP(L5,пр.взв!$B$7:$H$76,3,0),"")</f>
        <v>16.02.97, КМС</v>
      </c>
      <c r="O5" s="300" t="str">
        <f ca="1">IFERROR(VLOOKUP(L5,пр.взв!$B$7:$H$76,4,0),"")</f>
        <v>УФО</v>
      </c>
      <c r="P5" s="302" t="str">
        <f ca="1">IFERROR(VLOOKUP(L5,пр.взв!$B$7:$H$76,5,0),"")</f>
        <v>Свердловская, Екатеринбург, СШОР ПО САМБО И ДЗЮДО</v>
      </c>
      <c r="Q5" s="304"/>
      <c r="R5" s="304"/>
      <c r="S5" s="306"/>
      <c r="T5" s="308"/>
    </row>
    <row r="6" spans="1:20">
      <c r="A6" s="273"/>
      <c r="B6" s="297"/>
      <c r="C6" s="299"/>
      <c r="D6" s="301"/>
      <c r="E6" s="301"/>
      <c r="F6" s="303"/>
      <c r="G6" s="305"/>
      <c r="H6" s="305"/>
      <c r="I6" s="307"/>
      <c r="J6" s="309"/>
      <c r="L6" s="311"/>
      <c r="M6" s="299"/>
      <c r="N6" s="301"/>
      <c r="O6" s="301"/>
      <c r="P6" s="303"/>
      <c r="Q6" s="305"/>
      <c r="R6" s="305"/>
      <c r="S6" s="307"/>
      <c r="T6" s="309"/>
    </row>
    <row r="7" spans="1:20" ht="12.75" customHeight="1">
      <c r="A7" s="273"/>
      <c r="B7" s="297">
        <f ca="1">пр.хода!$AX13</f>
        <v>2</v>
      </c>
      <c r="C7" s="313" t="str">
        <f ca="1">IFERROR(VLOOKUP(B7,пр.взв!$B$7:$H$76,2,0),"")</f>
        <v>ШКЕТ Ольга Владимировна</v>
      </c>
      <c r="D7" s="315" t="str">
        <f ca="1">IFERROR(VLOOKUP(B7,пр.взв!$B$7:$H$76,3,0),"")</f>
        <v>11.05.96, МС</v>
      </c>
      <c r="E7" s="315" t="str">
        <f ca="1">IFERROR(VLOOKUP(B7,пр.взв!$B$7:$H$76,4,0),"")</f>
        <v>УФО</v>
      </c>
      <c r="F7" s="315" t="str">
        <f ca="1">IFERROR(VLOOKUP(B7,пр.взв!$B$7:$H$76,5,0),"")</f>
        <v>Курганская, Курган, СШОР№1</v>
      </c>
      <c r="G7" s="305"/>
      <c r="H7" s="305"/>
      <c r="I7" s="307"/>
      <c r="J7" s="309"/>
      <c r="L7" s="311">
        <f ca="1">пр.хода!AZ13</f>
        <v>4</v>
      </c>
      <c r="M7" s="313" t="str">
        <f ca="1">IFERROR(VLOOKUP(L7,пр.взв!$B$7:$H$76,2,0),"")</f>
        <v>ГАСПАРЯН Наре Петросовна</v>
      </c>
      <c r="N7" s="315" t="str">
        <f ca="1">IFERROR(VLOOKUP(L7,пр.взв!$B$7:$H$76,3,0),"")</f>
        <v>26.02.97, КМС</v>
      </c>
      <c r="O7" s="315" t="str">
        <f ca="1">IFERROR(VLOOKUP(L7,пр.взв!$B$7:$H$76,4,0),"")</f>
        <v>УФО</v>
      </c>
      <c r="P7" s="315" t="str">
        <f ca="1">IFERROR(VLOOKUP(L7,пр.взв!$B$7:$H$76,5,0),"")</f>
        <v>Челябинская, Челябинск</v>
      </c>
      <c r="Q7" s="305"/>
      <c r="R7" s="305"/>
      <c r="S7" s="307"/>
      <c r="T7" s="309"/>
    </row>
    <row r="8" spans="1:20" ht="13" thickBot="1">
      <c r="A8" s="273"/>
      <c r="B8" s="340"/>
      <c r="C8" s="314"/>
      <c r="D8" s="316"/>
      <c r="E8" s="316"/>
      <c r="F8" s="316"/>
      <c r="G8" s="317"/>
      <c r="H8" s="317"/>
      <c r="I8" s="318"/>
      <c r="J8" s="319"/>
      <c r="L8" s="320"/>
      <c r="M8" s="314"/>
      <c r="N8" s="316"/>
      <c r="O8" s="316"/>
      <c r="P8" s="316"/>
      <c r="Q8" s="317"/>
      <c r="R8" s="317"/>
      <c r="S8" s="318"/>
      <c r="T8" s="319"/>
    </row>
    <row r="9" spans="1:20" ht="12.75" customHeight="1">
      <c r="A9" s="273"/>
      <c r="B9" s="296">
        <f ca="1">пр.хода!$AW14</f>
        <v>0</v>
      </c>
      <c r="C9" s="321" t="str">
        <f ca="1">IFERROR(VLOOKUP(B9,пр.взв!$B$7:$H$76,2,0),"")</f>
        <v/>
      </c>
      <c r="D9" s="302" t="str">
        <f ca="1">IFERROR(VLOOKUP(B9,пр.взв!$B$7:$H$76,3,0),"")</f>
        <v/>
      </c>
      <c r="E9" s="302" t="str">
        <f ca="1">IFERROR(VLOOKUP(B9,пр.взв!$B$7:$H$76,4,0),"")</f>
        <v/>
      </c>
      <c r="F9" s="302" t="str">
        <f ca="1">IFERROR(VLOOKUP(B9,пр.взв!$B$7:$H$76,5,0),"")</f>
        <v/>
      </c>
      <c r="G9" s="304"/>
      <c r="H9" s="304"/>
      <c r="I9" s="306"/>
      <c r="J9" s="308"/>
      <c r="L9" s="310" t="b">
        <f ca="1">пр.хода!AY14</f>
        <v>0</v>
      </c>
      <c r="M9" s="321" t="str">
        <f ca="1">IFERROR(VLOOKUP(L9,пр.взв!$B$7:$H$76,2,0),"")</f>
        <v/>
      </c>
      <c r="N9" s="302" t="str">
        <f ca="1">IFERROR(VLOOKUP(L9,пр.взв!$B$7:$H$76,3,0),"")</f>
        <v/>
      </c>
      <c r="O9" s="302" t="str">
        <f ca="1">IFERROR(VLOOKUP(L9,пр.взв!$B$7:$H$76,4,0),"")</f>
        <v/>
      </c>
      <c r="P9" s="302" t="str">
        <f ca="1">IFERROR(VLOOKUP(L9,пр.взв!$B$7:$H$76,5,0),"")</f>
        <v/>
      </c>
      <c r="Q9" s="304"/>
      <c r="R9" s="304"/>
      <c r="S9" s="306"/>
      <c r="T9" s="308"/>
    </row>
    <row r="10" spans="1:20">
      <c r="A10" s="273"/>
      <c r="B10" s="297"/>
      <c r="C10" s="322"/>
      <c r="D10" s="303"/>
      <c r="E10" s="303"/>
      <c r="F10" s="303"/>
      <c r="G10" s="305"/>
      <c r="H10" s="305"/>
      <c r="I10" s="307"/>
      <c r="J10" s="309"/>
      <c r="L10" s="311"/>
      <c r="M10" s="322"/>
      <c r="N10" s="303"/>
      <c r="O10" s="303"/>
      <c r="P10" s="303"/>
      <c r="Q10" s="305"/>
      <c r="R10" s="305"/>
      <c r="S10" s="307"/>
      <c r="T10" s="309"/>
    </row>
    <row r="11" spans="1:20" ht="12.75" customHeight="1">
      <c r="A11" s="273"/>
      <c r="B11" s="297">
        <f ca="1">пр.хода!$AX14</f>
        <v>0</v>
      </c>
      <c r="C11" s="313" t="str">
        <f ca="1">IFERROR(VLOOKUP(B11,пр.взв!$B$7:$H$76,2,0),"")</f>
        <v/>
      </c>
      <c r="D11" s="315" t="str">
        <f ca="1">IFERROR(VLOOKUP(B11,пр.взв!$B$7:$H$76,3,0),"")</f>
        <v/>
      </c>
      <c r="E11" s="315" t="str">
        <f ca="1">IFERROR(VLOOKUP(B11,пр.взв!$B$7:$H$76,4,0),"")</f>
        <v/>
      </c>
      <c r="F11" s="315" t="str">
        <f ca="1">IFERROR(VLOOKUP(B11,пр.взв!$B$7:$H$76,5,0),"")</f>
        <v/>
      </c>
      <c r="G11" s="305"/>
      <c r="H11" s="305"/>
      <c r="I11" s="307"/>
      <c r="J11" s="309"/>
      <c r="L11" s="311" t="b">
        <f ca="1">пр.хода!AZ14</f>
        <v>0</v>
      </c>
      <c r="M11" s="313" t="str">
        <f ca="1">IFERROR(VLOOKUP(L11,пр.взв!$B$7:$H$76,2,0),"")</f>
        <v/>
      </c>
      <c r="N11" s="315" t="str">
        <f ca="1">IFERROR(VLOOKUP(L11,пр.взв!$B$7:$H$76,3,0),"")</f>
        <v/>
      </c>
      <c r="O11" s="315" t="str">
        <f ca="1">IFERROR(VLOOKUP(L11,пр.взв!$B$7:$H$76,4,0),"")</f>
        <v/>
      </c>
      <c r="P11" s="315" t="str">
        <f ca="1">IFERROR(VLOOKUP(L11,пр.взв!$B$7:$H$76,5,0),"")</f>
        <v/>
      </c>
      <c r="Q11" s="305"/>
      <c r="R11" s="305"/>
      <c r="S11" s="307"/>
      <c r="T11" s="309"/>
    </row>
    <row r="12" spans="1:20" ht="13" thickBot="1">
      <c r="A12" s="273"/>
      <c r="B12" s="340"/>
      <c r="C12" s="314"/>
      <c r="D12" s="316"/>
      <c r="E12" s="316"/>
      <c r="F12" s="316"/>
      <c r="G12" s="317"/>
      <c r="H12" s="317"/>
      <c r="I12" s="318"/>
      <c r="J12" s="319"/>
      <c r="L12" s="320"/>
      <c r="M12" s="314"/>
      <c r="N12" s="316"/>
      <c r="O12" s="316"/>
      <c r="P12" s="316"/>
      <c r="Q12" s="317"/>
      <c r="R12" s="317"/>
      <c r="S12" s="318"/>
      <c r="T12" s="319"/>
    </row>
    <row r="13" spans="1:20" ht="12.75" customHeight="1">
      <c r="A13" s="273"/>
      <c r="B13" s="296">
        <f ca="1">пр.хода!$AW15</f>
        <v>3</v>
      </c>
      <c r="C13" s="321" t="str">
        <f ca="1">IFERROR(VLOOKUP(B13,пр.взв!$B$7:$H$76,2,0),"")</f>
        <v>ВИНИЧЕНКО Екатерина Константиновна</v>
      </c>
      <c r="D13" s="302" t="str">
        <f ca="1">IFERROR(VLOOKUP(B13,пр.взв!$B$7:$H$76,3,0),"")</f>
        <v>16.02.97, КМС</v>
      </c>
      <c r="E13" s="302" t="str">
        <f ca="1">IFERROR(VLOOKUP(B13,пр.взв!$B$7:$H$76,4,0),"")</f>
        <v>УФО</v>
      </c>
      <c r="F13" s="302" t="str">
        <f ca="1">IFERROR(VLOOKUP(B13,пр.взв!$B$7:$H$76,5,0),"")</f>
        <v>Свердловская, Екатеринбург, СШОР ПО САМБО И ДЗЮДО</v>
      </c>
      <c r="G13" s="304"/>
      <c r="H13" s="304"/>
      <c r="I13" s="306"/>
      <c r="J13" s="308"/>
      <c r="L13" s="310" t="b">
        <f ca="1">пр.хода!AY15</f>
        <v>0</v>
      </c>
      <c r="M13" s="321" t="str">
        <f ca="1">IFERROR(VLOOKUP(L13,пр.взв!$B$7:$H$76,2,0),"")</f>
        <v/>
      </c>
      <c r="N13" s="302" t="str">
        <f ca="1">IFERROR(VLOOKUP(L13,пр.взв!$B$7:$H$76,3,0),"")</f>
        <v/>
      </c>
      <c r="O13" s="302" t="str">
        <f ca="1">IFERROR(VLOOKUP(L13,пр.взв!$B$7:$H$76,4,0),"")</f>
        <v/>
      </c>
      <c r="P13" s="302" t="str">
        <f ca="1">IFERROR(VLOOKUP(L13,пр.взв!$B$7:$H$76,5,0),"")</f>
        <v/>
      </c>
      <c r="Q13" s="304"/>
      <c r="R13" s="304"/>
      <c r="S13" s="306"/>
      <c r="T13" s="308"/>
    </row>
    <row r="14" spans="1:20">
      <c r="A14" s="273"/>
      <c r="B14" s="297"/>
      <c r="C14" s="322"/>
      <c r="D14" s="303"/>
      <c r="E14" s="303"/>
      <c r="F14" s="303"/>
      <c r="G14" s="305"/>
      <c r="H14" s="305"/>
      <c r="I14" s="307"/>
      <c r="J14" s="309"/>
      <c r="L14" s="311"/>
      <c r="M14" s="322"/>
      <c r="N14" s="303"/>
      <c r="O14" s="303"/>
      <c r="P14" s="303"/>
      <c r="Q14" s="305"/>
      <c r="R14" s="305"/>
      <c r="S14" s="307"/>
      <c r="T14" s="309"/>
    </row>
    <row r="15" spans="1:20" ht="12.75" customHeight="1">
      <c r="A15" s="273"/>
      <c r="B15" s="297">
        <f ca="1">пр.хода!$AX15</f>
        <v>4</v>
      </c>
      <c r="C15" s="327" t="str">
        <f ca="1">IFERROR(VLOOKUP(B15,пр.взв!$B$7:$H$76,2,0),"")</f>
        <v>ГАСПАРЯН Наре Петросовна</v>
      </c>
      <c r="D15" s="329" t="str">
        <f ca="1">IFERROR(VLOOKUP(B15,пр.взв!$B$7:$H$76,3,0),"")</f>
        <v>26.02.97, КМС</v>
      </c>
      <c r="E15" s="329" t="str">
        <f ca="1">IFERROR(VLOOKUP(B15,пр.взв!$B$7:$H$76,4,0),"")</f>
        <v>УФО</v>
      </c>
      <c r="F15" s="329" t="str">
        <f ca="1">IFERROR(VLOOKUP(B15,пр.взв!$B$7:$H$76,5,0),"")</f>
        <v>Челябинская, Челябинск</v>
      </c>
      <c r="G15" s="305"/>
      <c r="H15" s="305"/>
      <c r="I15" s="307"/>
      <c r="J15" s="309"/>
      <c r="L15" s="311" t="b">
        <f ca="1">пр.хода!AZ15</f>
        <v>0</v>
      </c>
      <c r="M15" s="327" t="str">
        <f ca="1">IFERROR(VLOOKUP(L15,пр.взв!$B$7:$H$76,2,0),"")</f>
        <v/>
      </c>
      <c r="N15" s="329" t="str">
        <f ca="1">IFERROR(VLOOKUP(L15,пр.взв!$B$7:$H$76,3,0),"")</f>
        <v/>
      </c>
      <c r="O15" s="329" t="str">
        <f ca="1">IFERROR(VLOOKUP(L15,пр.взв!$B$7:$H$76,4,0),"")</f>
        <v/>
      </c>
      <c r="P15" s="329" t="str">
        <f ca="1">IFERROR(VLOOKUP(L15,пр.взв!$B$7:$H$76,5,0),"")</f>
        <v/>
      </c>
      <c r="Q15" s="305"/>
      <c r="R15" s="305"/>
      <c r="S15" s="307"/>
      <c r="T15" s="309"/>
    </row>
    <row r="16" spans="1:20" ht="13" thickBot="1">
      <c r="A16" s="273"/>
      <c r="B16" s="340"/>
      <c r="C16" s="328"/>
      <c r="D16" s="330"/>
      <c r="E16" s="330"/>
      <c r="F16" s="330"/>
      <c r="G16" s="317"/>
      <c r="H16" s="317"/>
      <c r="I16" s="318"/>
      <c r="J16" s="319"/>
      <c r="L16" s="320"/>
      <c r="M16" s="328"/>
      <c r="N16" s="330"/>
      <c r="O16" s="330"/>
      <c r="P16" s="330"/>
      <c r="Q16" s="317"/>
      <c r="R16" s="317"/>
      <c r="S16" s="318"/>
      <c r="T16" s="319"/>
    </row>
    <row r="17" spans="1:20" ht="12.75" customHeight="1">
      <c r="A17" s="273"/>
      <c r="B17" s="296" t="str">
        <f ca="1">пр.хода!$AW16</f>
        <v xml:space="preserve"> </v>
      </c>
      <c r="C17" s="331" t="str">
        <f ca="1">IFERROR(VLOOKUP(B17,пр.взв!$B$7:$H$76,2,0),"")</f>
        <v/>
      </c>
      <c r="D17" s="333" t="str">
        <f ca="1">IFERROR(VLOOKUP(B17,пр.взв!$B$7:$H$76,3,0),"")</f>
        <v/>
      </c>
      <c r="E17" s="333" t="str">
        <f ca="1">IFERROR(VLOOKUP(B17,пр.взв!$B$7:$H$76,4,0),"")</f>
        <v/>
      </c>
      <c r="F17" s="333" t="str">
        <f ca="1">IFERROR(VLOOKUP(B17,пр.взв!$B$7:$H$76,5,0),"")</f>
        <v/>
      </c>
      <c r="G17" s="304"/>
      <c r="H17" s="304"/>
      <c r="I17" s="306"/>
      <c r="J17" s="308"/>
      <c r="L17" s="310" t="b">
        <f ca="1">пр.хода!AY16</f>
        <v>0</v>
      </c>
      <c r="M17" s="331" t="str">
        <f ca="1">IFERROR(VLOOKUP(L17,пр.взв!$B$7:$H$76,2,0),"")</f>
        <v/>
      </c>
      <c r="N17" s="333" t="str">
        <f ca="1">IFERROR(VLOOKUP(L17,пр.взв!$B$7:$H$76,3,0),"")</f>
        <v/>
      </c>
      <c r="O17" s="333" t="str">
        <f ca="1">IFERROR(VLOOKUP(L17,пр.взв!$B$7:$H$76,4,0),"")</f>
        <v/>
      </c>
      <c r="P17" s="333" t="str">
        <f ca="1">IFERROR(VLOOKUP(L17,пр.взв!$B$7:$H$76,5,0),"")</f>
        <v/>
      </c>
      <c r="Q17" s="304"/>
      <c r="R17" s="304"/>
      <c r="S17" s="306"/>
      <c r="T17" s="308"/>
    </row>
    <row r="18" spans="1:20">
      <c r="A18" s="273"/>
      <c r="B18" s="297"/>
      <c r="C18" s="332"/>
      <c r="D18" s="334"/>
      <c r="E18" s="334"/>
      <c r="F18" s="334"/>
      <c r="G18" s="305"/>
      <c r="H18" s="305"/>
      <c r="I18" s="307"/>
      <c r="J18" s="309"/>
      <c r="L18" s="311"/>
      <c r="M18" s="332"/>
      <c r="N18" s="334"/>
      <c r="O18" s="334"/>
      <c r="P18" s="334"/>
      <c r="Q18" s="305"/>
      <c r="R18" s="305"/>
      <c r="S18" s="307"/>
      <c r="T18" s="309"/>
    </row>
    <row r="19" spans="1:20" ht="12.75" customHeight="1">
      <c r="A19" s="273"/>
      <c r="B19" s="297" t="str">
        <f ca="1">пр.хода!$AX16</f>
        <v xml:space="preserve"> </v>
      </c>
      <c r="C19" s="327" t="str">
        <f ca="1">IFERROR(VLOOKUP(B19,пр.взв!$B$7:$H$76,2,0),"")</f>
        <v/>
      </c>
      <c r="D19" s="329" t="str">
        <f ca="1">IFERROR(VLOOKUP(B19,пр.взв!$B$7:$H$76,3,0),"")</f>
        <v/>
      </c>
      <c r="E19" s="329" t="str">
        <f ca="1">IFERROR(VLOOKUP(B19,пр.взв!$B$7:$H$76,4,0),"")</f>
        <v/>
      </c>
      <c r="F19" s="329" t="str">
        <f ca="1">IFERROR(VLOOKUP(B19,пр.взв!$B$7:$H$76,5,0),"")</f>
        <v/>
      </c>
      <c r="G19" s="305"/>
      <c r="H19" s="305"/>
      <c r="I19" s="307"/>
      <c r="J19" s="309"/>
      <c r="L19" s="311" t="b">
        <f ca="1">пр.хода!AZ16</f>
        <v>0</v>
      </c>
      <c r="M19" s="327" t="str">
        <f ca="1">IFERROR(VLOOKUP(L19,пр.взв!$B$7:$H$76,2,0),"")</f>
        <v/>
      </c>
      <c r="N19" s="329" t="str">
        <f ca="1">IFERROR(VLOOKUP(L19,пр.взв!$B$7:$H$76,3,0),"")</f>
        <v/>
      </c>
      <c r="O19" s="329" t="str">
        <f ca="1">IFERROR(VLOOKUP(L19,пр.взв!$B$7:$H$76,4,0),"")</f>
        <v/>
      </c>
      <c r="P19" s="329" t="str">
        <f ca="1">IFERROR(VLOOKUP(L19,пр.взв!$B$7:$H$76,5,0),"")</f>
        <v/>
      </c>
      <c r="Q19" s="305"/>
      <c r="R19" s="305"/>
      <c r="S19" s="307"/>
      <c r="T19" s="309"/>
    </row>
    <row r="20" spans="1:20" ht="13" thickBot="1">
      <c r="A20" s="273"/>
      <c r="B20" s="340"/>
      <c r="C20" s="328"/>
      <c r="D20" s="330"/>
      <c r="E20" s="330"/>
      <c r="F20" s="330"/>
      <c r="G20" s="317"/>
      <c r="H20" s="317"/>
      <c r="I20" s="318"/>
      <c r="J20" s="319"/>
      <c r="L20" s="320"/>
      <c r="M20" s="328"/>
      <c r="N20" s="330"/>
      <c r="O20" s="330"/>
      <c r="P20" s="330"/>
      <c r="Q20" s="317"/>
      <c r="R20" s="317"/>
      <c r="S20" s="318"/>
      <c r="T20" s="319"/>
    </row>
    <row r="21" spans="1:20" ht="12.75" customHeight="1">
      <c r="A21" s="273"/>
      <c r="B21" s="296" t="str">
        <f ca="1">пр.хода!$AW17</f>
        <v xml:space="preserve"> </v>
      </c>
      <c r="C21" s="331" t="str">
        <f ca="1">IFERROR(VLOOKUP(B21,пр.взв!$B$7:$H$76,2,0),"")</f>
        <v/>
      </c>
      <c r="D21" s="333" t="str">
        <f ca="1">IFERROR(VLOOKUP(B21,пр.взв!$B$7:$H$76,3,0),"")</f>
        <v/>
      </c>
      <c r="E21" s="333" t="str">
        <f ca="1">IFERROR(VLOOKUP(B21,пр.взв!$B$7:$H$76,4,0),"")</f>
        <v/>
      </c>
      <c r="F21" s="333" t="str">
        <f ca="1">IFERROR(VLOOKUP(B21,пр.взв!$B$7:$H$76,5,0),"")</f>
        <v/>
      </c>
      <c r="G21" s="335"/>
      <c r="H21" s="304"/>
      <c r="I21" s="306"/>
      <c r="J21" s="308"/>
      <c r="L21" s="310" t="b">
        <f ca="1">пр.хода!AY17</f>
        <v>0</v>
      </c>
      <c r="M21" s="331" t="str">
        <f ca="1">IFERROR(VLOOKUP(L21,пр.взв!$B$7:$H$76,2,0),"")</f>
        <v/>
      </c>
      <c r="N21" s="333" t="str">
        <f ca="1">IFERROR(VLOOKUP(L21,пр.взв!$B$7:$H$76,3,0),"")</f>
        <v/>
      </c>
      <c r="O21" s="333" t="str">
        <f ca="1">IFERROR(VLOOKUP(L21,пр.взв!$B$7:$H$76,4,0),"")</f>
        <v/>
      </c>
      <c r="P21" s="333" t="str">
        <f ca="1">IFERROR(VLOOKUP(L21,пр.взв!$B$7:$H$76,5,0),"")</f>
        <v/>
      </c>
      <c r="Q21" s="304"/>
      <c r="R21" s="304"/>
      <c r="S21" s="306"/>
      <c r="T21" s="308"/>
    </row>
    <row r="22" spans="1:20">
      <c r="A22" s="273"/>
      <c r="B22" s="297"/>
      <c r="C22" s="332"/>
      <c r="D22" s="334"/>
      <c r="E22" s="334"/>
      <c r="F22" s="334"/>
      <c r="G22" s="336"/>
      <c r="H22" s="305"/>
      <c r="I22" s="307"/>
      <c r="J22" s="309"/>
      <c r="L22" s="311"/>
      <c r="M22" s="332"/>
      <c r="N22" s="334"/>
      <c r="O22" s="334"/>
      <c r="P22" s="334"/>
      <c r="Q22" s="305"/>
      <c r="R22" s="305"/>
      <c r="S22" s="307"/>
      <c r="T22" s="309"/>
    </row>
    <row r="23" spans="1:20" ht="12.75" customHeight="1">
      <c r="A23" s="273"/>
      <c r="B23" s="297" t="str">
        <f ca="1">пр.хода!$AX17</f>
        <v xml:space="preserve"> </v>
      </c>
      <c r="C23" s="327" t="str">
        <f ca="1">IFERROR(VLOOKUP(B23,пр.взв!$B$7:$H$76,2,0),"")</f>
        <v/>
      </c>
      <c r="D23" s="329" t="str">
        <f ca="1">IFERROR(VLOOKUP(B23,пр.взв!$B$7:$H$76,3,0),"")</f>
        <v/>
      </c>
      <c r="E23" s="329" t="str">
        <f ca="1">IFERROR(VLOOKUP(B23,пр.взв!$B$7:$H$76,4,0),"")</f>
        <v/>
      </c>
      <c r="F23" s="329" t="str">
        <f ca="1">IFERROR(VLOOKUP(B23,пр.взв!$B$7:$H$76,5,0),"")</f>
        <v/>
      </c>
      <c r="G23" s="305"/>
      <c r="H23" s="305"/>
      <c r="I23" s="307"/>
      <c r="J23" s="309"/>
      <c r="L23" s="311" t="b">
        <f ca="1">пр.хода!AZ17</f>
        <v>0</v>
      </c>
      <c r="M23" s="327" t="str">
        <f ca="1">IFERROR(VLOOKUP(L23,пр.взв!$B$7:$H$76,2,0),"")</f>
        <v/>
      </c>
      <c r="N23" s="329" t="str">
        <f ca="1">IFERROR(VLOOKUP(L23,пр.взв!$B$7:$H$76,3,0),"")</f>
        <v/>
      </c>
      <c r="O23" s="329" t="str">
        <f ca="1">IFERROR(VLOOKUP(L23,пр.взв!$B$7:$H$76,4,0),"")</f>
        <v/>
      </c>
      <c r="P23" s="329" t="str">
        <f ca="1">IFERROR(VLOOKUP(L23,пр.взв!$B$7:$H$76,5,0),"")</f>
        <v/>
      </c>
      <c r="Q23" s="305"/>
      <c r="R23" s="305"/>
      <c r="S23" s="307"/>
      <c r="T23" s="309"/>
    </row>
    <row r="24" spans="1:20" ht="13" thickBot="1">
      <c r="A24" s="273"/>
      <c r="B24" s="340"/>
      <c r="C24" s="328"/>
      <c r="D24" s="330"/>
      <c r="E24" s="330"/>
      <c r="F24" s="330"/>
      <c r="G24" s="317"/>
      <c r="H24" s="317"/>
      <c r="I24" s="318"/>
      <c r="J24" s="319"/>
      <c r="L24" s="320"/>
      <c r="M24" s="328"/>
      <c r="N24" s="330"/>
      <c r="O24" s="330"/>
      <c r="P24" s="330"/>
      <c r="Q24" s="317"/>
      <c r="R24" s="317"/>
      <c r="S24" s="318"/>
      <c r="T24" s="319"/>
    </row>
    <row r="25" spans="1:20" ht="12.75" customHeight="1">
      <c r="A25" s="273"/>
      <c r="B25" s="296" t="str">
        <f ca="1">пр.хода!$AW18</f>
        <v xml:space="preserve"> </v>
      </c>
      <c r="C25" s="321" t="str">
        <f ca="1">IFERROR(VLOOKUP(B25,пр.взв!$B$7:$H$76,2,0),"")</f>
        <v/>
      </c>
      <c r="D25" s="302" t="str">
        <f ca="1">IFERROR(VLOOKUP(B25,пр.взв!$B$7:$H$76,3,0),"")</f>
        <v/>
      </c>
      <c r="E25" s="302" t="str">
        <f ca="1">IFERROR(VLOOKUP(B25,пр.взв!$B$7:$H$76,4,0),"")</f>
        <v/>
      </c>
      <c r="F25" s="302" t="str">
        <f ca="1">IFERROR(VLOOKUP(B25,пр.взв!$B$7:$H$76,5,0),"")</f>
        <v/>
      </c>
      <c r="G25" s="304"/>
      <c r="H25" s="304"/>
      <c r="I25" s="306"/>
      <c r="J25" s="308"/>
      <c r="L25" s="310" t="b">
        <f ca="1">пр.хода!AY18</f>
        <v>0</v>
      </c>
      <c r="M25" s="321" t="str">
        <f ca="1">IFERROR(VLOOKUP(L25,пр.взв!$B$7:$H$76,2,0),"")</f>
        <v/>
      </c>
      <c r="N25" s="302" t="str">
        <f ca="1">IFERROR(VLOOKUP(L25,пр.взв!$B$7:$H$76,3,0),"")</f>
        <v/>
      </c>
      <c r="O25" s="302" t="str">
        <f ca="1">IFERROR(VLOOKUP(L25,пр.взв!$B$7:$H$76,4,0),"")</f>
        <v/>
      </c>
      <c r="P25" s="302" t="str">
        <f ca="1">IFERROR(VLOOKUP(L25,пр.взв!$B$7:$H$76,5,0),"")</f>
        <v/>
      </c>
      <c r="Q25" s="304"/>
      <c r="R25" s="304"/>
      <c r="S25" s="306"/>
      <c r="T25" s="308"/>
    </row>
    <row r="26" spans="1:20">
      <c r="A26" s="273"/>
      <c r="B26" s="297"/>
      <c r="C26" s="322"/>
      <c r="D26" s="303"/>
      <c r="E26" s="303"/>
      <c r="F26" s="303"/>
      <c r="G26" s="305"/>
      <c r="H26" s="305"/>
      <c r="I26" s="307"/>
      <c r="J26" s="309"/>
      <c r="L26" s="311"/>
      <c r="M26" s="322"/>
      <c r="N26" s="303"/>
      <c r="O26" s="303"/>
      <c r="P26" s="303"/>
      <c r="Q26" s="305"/>
      <c r="R26" s="305"/>
      <c r="S26" s="307"/>
      <c r="T26" s="309"/>
    </row>
    <row r="27" spans="1:20" ht="12.75" customHeight="1">
      <c r="A27" s="273"/>
      <c r="B27" s="297" t="str">
        <f ca="1">пр.хода!$AX18</f>
        <v xml:space="preserve"> </v>
      </c>
      <c r="C27" s="313" t="str">
        <f ca="1">IFERROR(VLOOKUP(B27,пр.взв!$B$7:$H$76,2,0),"")</f>
        <v/>
      </c>
      <c r="D27" s="315" t="str">
        <f ca="1">IFERROR(VLOOKUP(B27,пр.взв!$B$7:$H$76,3,0),"")</f>
        <v/>
      </c>
      <c r="E27" s="315" t="str">
        <f ca="1">IFERROR(VLOOKUP(B27,пр.взв!$B$7:$H$76,4,0),"")</f>
        <v/>
      </c>
      <c r="F27" s="315" t="str">
        <f ca="1">IFERROR(VLOOKUP(B27,пр.взв!$B$7:$H$76,5,0),"")</f>
        <v/>
      </c>
      <c r="G27" s="305"/>
      <c r="H27" s="305"/>
      <c r="I27" s="307"/>
      <c r="J27" s="309"/>
      <c r="L27" s="311" t="b">
        <f ca="1">пр.хода!AZ18</f>
        <v>0</v>
      </c>
      <c r="M27" s="313" t="str">
        <f ca="1">IFERROR(VLOOKUP(L27,пр.взв!$B$7:$H$76,2,0),"")</f>
        <v/>
      </c>
      <c r="N27" s="315" t="str">
        <f ca="1">IFERROR(VLOOKUP(L27,пр.взв!$B$7:$H$76,3,0),"")</f>
        <v/>
      </c>
      <c r="O27" s="315" t="str">
        <f ca="1">IFERROR(VLOOKUP(L27,пр.взв!$B$7:$H$76,4,0),"")</f>
        <v/>
      </c>
      <c r="P27" s="315" t="str">
        <f ca="1">IFERROR(VLOOKUP(L27,пр.взв!$B$7:$H$76,5,0),"")</f>
        <v/>
      </c>
      <c r="Q27" s="305"/>
      <c r="R27" s="305"/>
      <c r="S27" s="307"/>
      <c r="T27" s="309"/>
    </row>
    <row r="28" spans="1:20" ht="13" thickBot="1">
      <c r="A28" s="273"/>
      <c r="B28" s="340"/>
      <c r="C28" s="314"/>
      <c r="D28" s="316"/>
      <c r="E28" s="316"/>
      <c r="F28" s="316"/>
      <c r="G28" s="317"/>
      <c r="H28" s="317"/>
      <c r="I28" s="318"/>
      <c r="J28" s="319"/>
      <c r="L28" s="320"/>
      <c r="M28" s="314"/>
      <c r="N28" s="316"/>
      <c r="O28" s="316"/>
      <c r="P28" s="316"/>
      <c r="Q28" s="317"/>
      <c r="R28" s="317"/>
      <c r="S28" s="318"/>
      <c r="T28" s="319"/>
    </row>
    <row r="29" spans="1:20">
      <c r="A29" s="273"/>
      <c r="B29" s="296" t="str">
        <f ca="1">пр.хода!$AW19</f>
        <v xml:space="preserve"> </v>
      </c>
      <c r="C29" s="321" t="str">
        <f ca="1">IFERROR(VLOOKUP(B29,пр.взв!$B$7:$H$76,2,0),"")</f>
        <v/>
      </c>
      <c r="D29" s="302" t="str">
        <f ca="1">IFERROR(VLOOKUP(B29,пр.взв!$B$7:$H$76,3,0),"")</f>
        <v/>
      </c>
      <c r="E29" s="302" t="str">
        <f ca="1">IFERROR(VLOOKUP(B29,пр.взв!$B$7:$H$76,4,0),"")</f>
        <v/>
      </c>
      <c r="F29" s="302" t="str">
        <f ca="1">IFERROR(VLOOKUP(B29,пр.взв!$B$7:$H$76,5,0),"")</f>
        <v/>
      </c>
      <c r="G29" s="304"/>
      <c r="H29" s="304"/>
      <c r="I29" s="306"/>
      <c r="J29" s="308"/>
      <c r="L29" s="310" t="b">
        <f ca="1">пр.хода!AY19</f>
        <v>0</v>
      </c>
      <c r="M29" s="321" t="str">
        <f ca="1">IFERROR(VLOOKUP(L29,пр.взв!$B$7:$H$76,2,0),"")</f>
        <v/>
      </c>
      <c r="N29" s="302" t="str">
        <f ca="1">IFERROR(VLOOKUP(L29,пр.взв!$B$7:$H$76,3,0),"")</f>
        <v/>
      </c>
      <c r="O29" s="302" t="str">
        <f ca="1">IFERROR(VLOOKUP(L29,пр.взв!$B$7:$H$76,4,0),"")</f>
        <v/>
      </c>
      <c r="P29" s="302" t="str">
        <f ca="1">IFERROR(VLOOKUP(L29,пр.взв!$B$7:$H$76,5,0),"")</f>
        <v/>
      </c>
      <c r="Q29" s="304"/>
      <c r="R29" s="304"/>
      <c r="S29" s="306"/>
      <c r="T29" s="308"/>
    </row>
    <row r="30" spans="1:20">
      <c r="A30" s="273"/>
      <c r="B30" s="297"/>
      <c r="C30" s="322"/>
      <c r="D30" s="303"/>
      <c r="E30" s="303"/>
      <c r="F30" s="303"/>
      <c r="G30" s="305"/>
      <c r="H30" s="305"/>
      <c r="I30" s="307"/>
      <c r="J30" s="309"/>
      <c r="L30" s="311"/>
      <c r="M30" s="322"/>
      <c r="N30" s="303"/>
      <c r="O30" s="303"/>
      <c r="P30" s="303"/>
      <c r="Q30" s="305"/>
      <c r="R30" s="305"/>
      <c r="S30" s="307"/>
      <c r="T30" s="309"/>
    </row>
    <row r="31" spans="1:20">
      <c r="A31" s="273"/>
      <c r="B31" s="297" t="str">
        <f ca="1">пр.хода!$AX19</f>
        <v xml:space="preserve"> </v>
      </c>
      <c r="C31" s="313" t="str">
        <f ca="1">IFERROR(VLOOKUP(B31,пр.взв!$B$7:$H$76,2,0),"")</f>
        <v/>
      </c>
      <c r="D31" s="315" t="str">
        <f ca="1">IFERROR(VLOOKUP(B31,пр.взв!$B$7:$H$76,3,0),"")</f>
        <v/>
      </c>
      <c r="E31" s="315" t="str">
        <f ca="1">IFERROR(VLOOKUP(B31,пр.взв!$B$7:$H$76,4,0),"")</f>
        <v/>
      </c>
      <c r="F31" s="315" t="str">
        <f ca="1">IFERROR(VLOOKUP(B31,пр.взв!$B$7:$H$76,5,0),"")</f>
        <v/>
      </c>
      <c r="G31" s="305"/>
      <c r="H31" s="305"/>
      <c r="I31" s="307"/>
      <c r="J31" s="309"/>
      <c r="L31" s="311" t="b">
        <f ca="1">пр.хода!AZ19</f>
        <v>0</v>
      </c>
      <c r="M31" s="313" t="str">
        <f ca="1">IFERROR(VLOOKUP(L31,пр.взв!$B$7:$H$76,2,0),"")</f>
        <v/>
      </c>
      <c r="N31" s="315" t="str">
        <f ca="1">IFERROR(VLOOKUP(L31,пр.взв!$B$7:$H$76,3,0),"")</f>
        <v/>
      </c>
      <c r="O31" s="315" t="str">
        <f ca="1">IFERROR(VLOOKUP(L31,пр.взв!$B$7:$H$76,4,0),"")</f>
        <v/>
      </c>
      <c r="P31" s="315" t="str">
        <f ca="1">IFERROR(VLOOKUP(L31,пр.взв!$B$7:$H$76,5,0),"")</f>
        <v/>
      </c>
      <c r="Q31" s="305"/>
      <c r="R31" s="305"/>
      <c r="S31" s="307"/>
      <c r="T31" s="309"/>
    </row>
    <row r="32" spans="1:20" ht="13" thickBot="1">
      <c r="A32" s="273"/>
      <c r="B32" s="340"/>
      <c r="C32" s="314"/>
      <c r="D32" s="316"/>
      <c r="E32" s="316"/>
      <c r="F32" s="316"/>
      <c r="G32" s="317"/>
      <c r="H32" s="317"/>
      <c r="I32" s="318"/>
      <c r="J32" s="319"/>
      <c r="L32" s="320"/>
      <c r="M32" s="314"/>
      <c r="N32" s="316"/>
      <c r="O32" s="316"/>
      <c r="P32" s="316"/>
      <c r="Q32" s="317"/>
      <c r="R32" s="317"/>
      <c r="S32" s="318"/>
      <c r="T32" s="319"/>
    </row>
    <row r="33" spans="1:20">
      <c r="A33" s="273"/>
      <c r="B33" s="296" t="str">
        <f ca="1">пр.хода!$AW20</f>
        <v xml:space="preserve"> </v>
      </c>
      <c r="C33" s="321" t="str">
        <f ca="1">IFERROR(VLOOKUP(B33,пр.взв!$B$7:$H$76,2,0),"")</f>
        <v/>
      </c>
      <c r="D33" s="302" t="str">
        <f ca="1">IFERROR(VLOOKUP(B33,пр.взв!$B$7:$H$76,3,0),"")</f>
        <v/>
      </c>
      <c r="E33" s="302" t="str">
        <f ca="1">IFERROR(VLOOKUP(B33,пр.взв!$B$7:$H$76,4,0),"")</f>
        <v/>
      </c>
      <c r="F33" s="302" t="str">
        <f ca="1">IFERROR(VLOOKUP(B33,пр.взв!$B$7:$H$76,5,0),"")</f>
        <v/>
      </c>
      <c r="G33" s="304"/>
      <c r="H33" s="304"/>
      <c r="I33" s="306"/>
      <c r="J33" s="308"/>
      <c r="L33" s="310" t="b">
        <f ca="1">пр.хода!AY20</f>
        <v>0</v>
      </c>
      <c r="M33" s="321" t="str">
        <f ca="1">IFERROR(VLOOKUP(L33,пр.взв!$B$7:$H$76,2,0),"")</f>
        <v/>
      </c>
      <c r="N33" s="302" t="str">
        <f ca="1">IFERROR(VLOOKUP(L33,пр.взв!$B$7:$H$76,3,0),"")</f>
        <v/>
      </c>
      <c r="O33" s="302" t="str">
        <f ca="1">IFERROR(VLOOKUP(L33,пр.взв!$B$7:$H$76,4,0),"")</f>
        <v/>
      </c>
      <c r="P33" s="302" t="str">
        <f ca="1">IFERROR(VLOOKUP(L33,пр.взв!$B$7:$H$76,5,0),"")</f>
        <v/>
      </c>
      <c r="Q33" s="304"/>
      <c r="R33" s="304"/>
      <c r="S33" s="306"/>
      <c r="T33" s="308"/>
    </row>
    <row r="34" spans="1:20">
      <c r="A34" s="273"/>
      <c r="B34" s="297"/>
      <c r="C34" s="322"/>
      <c r="D34" s="303"/>
      <c r="E34" s="303"/>
      <c r="F34" s="303"/>
      <c r="G34" s="305"/>
      <c r="H34" s="305"/>
      <c r="I34" s="307"/>
      <c r="J34" s="309"/>
      <c r="L34" s="311"/>
      <c r="M34" s="322"/>
      <c r="N34" s="303"/>
      <c r="O34" s="303"/>
      <c r="P34" s="303"/>
      <c r="Q34" s="305"/>
      <c r="R34" s="305"/>
      <c r="S34" s="307"/>
      <c r="T34" s="309"/>
    </row>
    <row r="35" spans="1:20">
      <c r="A35" s="273"/>
      <c r="B35" s="297" t="str">
        <f ca="1">пр.хода!$AX20</f>
        <v xml:space="preserve"> </v>
      </c>
      <c r="C35" s="313" t="str">
        <f ca="1">IFERROR(VLOOKUP(B35,пр.взв!$B$7:$H$76,2,0),"")</f>
        <v/>
      </c>
      <c r="D35" s="315" t="str">
        <f ca="1">IFERROR(VLOOKUP(B35,пр.взв!$B$7:$H$76,3,0),"")</f>
        <v/>
      </c>
      <c r="E35" s="315" t="str">
        <f ca="1">IFERROR(VLOOKUP(B35,пр.взв!$B$7:$H$76,4,0),"")</f>
        <v/>
      </c>
      <c r="F35" s="315" t="str">
        <f ca="1">IFERROR(VLOOKUP(B35,пр.взв!$B$7:$H$76,5,0),"")</f>
        <v/>
      </c>
      <c r="G35" s="305"/>
      <c r="H35" s="305"/>
      <c r="I35" s="307"/>
      <c r="J35" s="309"/>
      <c r="L35" s="311" t="b">
        <f ca="1">пр.хода!AZ20</f>
        <v>0</v>
      </c>
      <c r="M35" s="313" t="str">
        <f ca="1">IFERROR(VLOOKUP(L35,пр.взв!$B$7:$H$76,2,0),"")</f>
        <v/>
      </c>
      <c r="N35" s="315" t="str">
        <f ca="1">IFERROR(VLOOKUP(L35,пр.взв!$B$7:$H$76,3,0),"")</f>
        <v/>
      </c>
      <c r="O35" s="315" t="str">
        <f ca="1">IFERROR(VLOOKUP(L35,пр.взв!$B$7:$H$76,4,0),"")</f>
        <v/>
      </c>
      <c r="P35" s="315" t="str">
        <f ca="1">IFERROR(VLOOKUP(L35,пр.взв!$B$7:$H$76,5,0),"")</f>
        <v/>
      </c>
      <c r="Q35" s="305"/>
      <c r="R35" s="305"/>
      <c r="S35" s="307"/>
      <c r="T35" s="309"/>
    </row>
    <row r="36" spans="1:20" ht="13" thickBot="1">
      <c r="A36" s="273"/>
      <c r="B36" s="340"/>
      <c r="C36" s="314"/>
      <c r="D36" s="316"/>
      <c r="E36" s="316"/>
      <c r="F36" s="316"/>
      <c r="G36" s="317"/>
      <c r="H36" s="317"/>
      <c r="I36" s="318"/>
      <c r="J36" s="319"/>
      <c r="L36" s="320"/>
      <c r="M36" s="314"/>
      <c r="N36" s="316"/>
      <c r="O36" s="316"/>
      <c r="P36" s="316"/>
      <c r="Q36" s="317"/>
      <c r="R36" s="317"/>
      <c r="S36" s="318"/>
      <c r="T36" s="319"/>
    </row>
    <row r="37" spans="1:20">
      <c r="A37" s="273"/>
      <c r="B37" s="296" t="str">
        <f ca="1">пр.хода!$AW21</f>
        <v xml:space="preserve"> </v>
      </c>
      <c r="C37" s="321" t="str">
        <f ca="1">IFERROR(VLOOKUP(B37,пр.взв!$B$7:$H$76,2,0),"")</f>
        <v/>
      </c>
      <c r="D37" s="302" t="str">
        <f ca="1">IFERROR(VLOOKUP(B37,пр.взв!$B$7:$H$76,3,0),"")</f>
        <v/>
      </c>
      <c r="E37" s="302" t="str">
        <f ca="1">IFERROR(VLOOKUP(B37,пр.взв!$B$7:$H$76,4,0),"")</f>
        <v/>
      </c>
      <c r="F37" s="302" t="str">
        <f ca="1">IFERROR(VLOOKUP(B37,пр.взв!$B$7:$H$76,5,0),"")</f>
        <v/>
      </c>
      <c r="G37" s="304"/>
      <c r="H37" s="304"/>
      <c r="I37" s="306"/>
      <c r="J37" s="308"/>
      <c r="L37" s="310" t="b">
        <f ca="1">пр.хода!AY21</f>
        <v>0</v>
      </c>
      <c r="M37" s="321" t="str">
        <f ca="1">IFERROR(VLOOKUP(L37,пр.взв!$B$7:$H$76,2,0),"")</f>
        <v/>
      </c>
      <c r="N37" s="302" t="str">
        <f ca="1">IFERROR(VLOOKUP(L37,пр.взв!$B$7:$H$76,3,0),"")</f>
        <v/>
      </c>
      <c r="O37" s="302" t="str">
        <f ca="1">IFERROR(VLOOKUP(L37,пр.взв!$B$7:$H$76,4,0),"")</f>
        <v/>
      </c>
      <c r="P37" s="302" t="str">
        <f ca="1">IFERROR(VLOOKUP(L37,пр.взв!$B$7:$H$76,5,0),"")</f>
        <v/>
      </c>
      <c r="Q37" s="304"/>
      <c r="R37" s="304"/>
      <c r="S37" s="306"/>
      <c r="T37" s="308"/>
    </row>
    <row r="38" spans="1:20">
      <c r="A38" s="273"/>
      <c r="B38" s="297"/>
      <c r="C38" s="322"/>
      <c r="D38" s="303"/>
      <c r="E38" s="303"/>
      <c r="F38" s="303"/>
      <c r="G38" s="305"/>
      <c r="H38" s="305"/>
      <c r="I38" s="307"/>
      <c r="J38" s="309"/>
      <c r="L38" s="311"/>
      <c r="M38" s="322"/>
      <c r="N38" s="303"/>
      <c r="O38" s="303"/>
      <c r="P38" s="303"/>
      <c r="Q38" s="305"/>
      <c r="R38" s="305"/>
      <c r="S38" s="307"/>
      <c r="T38" s="309"/>
    </row>
    <row r="39" spans="1:20">
      <c r="A39" s="273"/>
      <c r="B39" s="297" t="str">
        <f ca="1">пр.хода!$AX21</f>
        <v xml:space="preserve"> </v>
      </c>
      <c r="C39" s="313" t="str">
        <f ca="1">IFERROR(VLOOKUP(B39,пр.взв!$B$7:$H$76,2,0),"")</f>
        <v/>
      </c>
      <c r="D39" s="315" t="str">
        <f ca="1">IFERROR(VLOOKUP(B39,пр.взв!$B$7:$H$76,3,0),"")</f>
        <v/>
      </c>
      <c r="E39" s="315" t="str">
        <f ca="1">IFERROR(VLOOKUP(B39,пр.взв!$B$7:$H$76,4,0),"")</f>
        <v/>
      </c>
      <c r="F39" s="315" t="str">
        <f ca="1">IFERROR(VLOOKUP(B39,пр.взв!$B$7:$H$76,5,0),"")</f>
        <v/>
      </c>
      <c r="G39" s="305"/>
      <c r="H39" s="305"/>
      <c r="I39" s="307"/>
      <c r="J39" s="309"/>
      <c r="L39" s="311" t="b">
        <f ca="1">пр.хода!AZ21</f>
        <v>0</v>
      </c>
      <c r="M39" s="313" t="str">
        <f ca="1">IFERROR(VLOOKUP(L39,пр.взв!$B$7:$H$76,2,0),"")</f>
        <v/>
      </c>
      <c r="N39" s="315" t="str">
        <f ca="1">IFERROR(VLOOKUP(L39,пр.взв!$B$7:$H$76,3,0),"")</f>
        <v/>
      </c>
      <c r="O39" s="315" t="str">
        <f ca="1">IFERROR(VLOOKUP(L39,пр.взв!$B$7:$H$76,4,0),"")</f>
        <v/>
      </c>
      <c r="P39" s="315" t="str">
        <f ca="1">IFERROR(VLOOKUP(L39,пр.взв!$B$7:$H$76,5,0),"")</f>
        <v/>
      </c>
      <c r="Q39" s="305"/>
      <c r="R39" s="305"/>
      <c r="S39" s="307"/>
      <c r="T39" s="309"/>
    </row>
    <row r="40" spans="1:20" ht="13" thickBot="1">
      <c r="A40" s="273"/>
      <c r="B40" s="340"/>
      <c r="C40" s="314"/>
      <c r="D40" s="316"/>
      <c r="E40" s="316"/>
      <c r="F40" s="316"/>
      <c r="G40" s="317"/>
      <c r="H40" s="317"/>
      <c r="I40" s="318"/>
      <c r="J40" s="319"/>
      <c r="L40" s="320"/>
      <c r="M40" s="314"/>
      <c r="N40" s="316"/>
      <c r="O40" s="316"/>
      <c r="P40" s="316"/>
      <c r="Q40" s="317"/>
      <c r="R40" s="317"/>
      <c r="S40" s="318"/>
      <c r="T40" s="319"/>
    </row>
    <row r="41" spans="1:20">
      <c r="A41" s="273"/>
      <c r="B41" s="296" t="str">
        <f ca="1">пр.хода!$AW22</f>
        <v xml:space="preserve"> </v>
      </c>
      <c r="C41" s="321" t="str">
        <f ca="1">IFERROR(VLOOKUP(B41,пр.взв!$B$7:$H$76,2,0),"")</f>
        <v/>
      </c>
      <c r="D41" s="302" t="str">
        <f ca="1">IFERROR(VLOOKUP(B41,пр.взв!$B$7:$H$76,3,0),"")</f>
        <v/>
      </c>
      <c r="E41" s="302" t="str">
        <f ca="1">IFERROR(VLOOKUP(B41,пр.взв!$B$7:$H$76,4,0),"")</f>
        <v/>
      </c>
      <c r="F41" s="302" t="str">
        <f ca="1">IFERROR(VLOOKUP(B41,пр.взв!$B$7:$H$76,5,0),"")</f>
        <v/>
      </c>
      <c r="G41" s="304"/>
      <c r="H41" s="304"/>
      <c r="I41" s="306"/>
      <c r="J41" s="308"/>
      <c r="L41" s="310" t="b">
        <f ca="1">пр.хода!AY22</f>
        <v>0</v>
      </c>
      <c r="M41" s="321" t="str">
        <f ca="1">IFERROR(VLOOKUP(L41,пр.взв!$B$7:$H$76,2,0),"")</f>
        <v/>
      </c>
      <c r="N41" s="302" t="str">
        <f ca="1">IFERROR(VLOOKUP(L41,пр.взв!$B$7:$H$76,3,0),"")</f>
        <v/>
      </c>
      <c r="O41" s="302" t="str">
        <f ca="1">IFERROR(VLOOKUP(L41,пр.взв!$B$7:$H$76,4,0),"")</f>
        <v/>
      </c>
      <c r="P41" s="302" t="str">
        <f ca="1">IFERROR(VLOOKUP(L41,пр.взв!$B$7:$H$76,5,0),"")</f>
        <v/>
      </c>
      <c r="Q41" s="304"/>
      <c r="R41" s="304"/>
      <c r="S41" s="306"/>
      <c r="T41" s="308"/>
    </row>
    <row r="42" spans="1:20">
      <c r="A42" s="273"/>
      <c r="B42" s="297"/>
      <c r="C42" s="322"/>
      <c r="D42" s="303"/>
      <c r="E42" s="303"/>
      <c r="F42" s="303"/>
      <c r="G42" s="305"/>
      <c r="H42" s="305"/>
      <c r="I42" s="307"/>
      <c r="J42" s="309"/>
      <c r="L42" s="311"/>
      <c r="M42" s="322"/>
      <c r="N42" s="303"/>
      <c r="O42" s="303"/>
      <c r="P42" s="303"/>
      <c r="Q42" s="305"/>
      <c r="R42" s="305"/>
      <c r="S42" s="307"/>
      <c r="T42" s="309"/>
    </row>
    <row r="43" spans="1:20">
      <c r="A43" s="273"/>
      <c r="B43" s="297" t="str">
        <f ca="1">пр.хода!$AX22</f>
        <v xml:space="preserve"> </v>
      </c>
      <c r="C43" s="313" t="str">
        <f ca="1">IFERROR(VLOOKUP(B43,пр.взв!$B$7:$H$76,2,0),"")</f>
        <v/>
      </c>
      <c r="D43" s="315" t="str">
        <f ca="1">IFERROR(VLOOKUP(B43,пр.взв!$B$7:$H$76,3,0),"")</f>
        <v/>
      </c>
      <c r="E43" s="315" t="str">
        <f ca="1">IFERROR(VLOOKUP(B43,пр.взв!$B$7:$H$76,4,0),"")</f>
        <v/>
      </c>
      <c r="F43" s="315" t="str">
        <f ca="1">IFERROR(VLOOKUP(B43,пр.взв!$B$7:$H$76,5,0),"")</f>
        <v/>
      </c>
      <c r="G43" s="305"/>
      <c r="H43" s="305"/>
      <c r="I43" s="307"/>
      <c r="J43" s="309"/>
      <c r="L43" s="311" t="b">
        <f ca="1">пр.хода!AZ22</f>
        <v>0</v>
      </c>
      <c r="M43" s="313" t="str">
        <f ca="1">IFERROR(VLOOKUP(L43,пр.взв!$B$7:$H$76,2,0),"")</f>
        <v/>
      </c>
      <c r="N43" s="315" t="str">
        <f ca="1">IFERROR(VLOOKUP(L43,пр.взв!$B$7:$H$76,3,0),"")</f>
        <v/>
      </c>
      <c r="O43" s="315" t="str">
        <f ca="1">IFERROR(VLOOKUP(L43,пр.взв!$B$7:$H$76,4,0),"")</f>
        <v/>
      </c>
      <c r="P43" s="315" t="str">
        <f ca="1">IFERROR(VLOOKUP(L43,пр.взв!$B$7:$H$76,5,0),"")</f>
        <v/>
      </c>
      <c r="Q43" s="305"/>
      <c r="R43" s="305"/>
      <c r="S43" s="307"/>
      <c r="T43" s="309"/>
    </row>
    <row r="44" spans="1:20" ht="13" thickBot="1">
      <c r="A44" s="273"/>
      <c r="B44" s="340"/>
      <c r="C44" s="314"/>
      <c r="D44" s="316"/>
      <c r="E44" s="316"/>
      <c r="F44" s="316"/>
      <c r="G44" s="317"/>
      <c r="H44" s="317"/>
      <c r="I44" s="318"/>
      <c r="J44" s="319"/>
      <c r="L44" s="320"/>
      <c r="M44" s="314"/>
      <c r="N44" s="316"/>
      <c r="O44" s="316"/>
      <c r="P44" s="316"/>
      <c r="Q44" s="317"/>
      <c r="R44" s="317"/>
      <c r="S44" s="318"/>
      <c r="T44" s="319"/>
    </row>
    <row r="45" spans="1:20">
      <c r="A45" s="273"/>
      <c r="B45" s="296" t="str">
        <f ca="1">пр.хода!$AW23</f>
        <v xml:space="preserve"> </v>
      </c>
      <c r="C45" s="321" t="str">
        <f ca="1">IFERROR(VLOOKUP(B45,пр.взв!$B$7:$H$76,2,0),"")</f>
        <v/>
      </c>
      <c r="D45" s="302" t="str">
        <f ca="1">IFERROR(VLOOKUP(B45,пр.взв!$B$7:$H$76,3,0),"")</f>
        <v/>
      </c>
      <c r="E45" s="302" t="str">
        <f ca="1">IFERROR(VLOOKUP(B45,пр.взв!$B$7:$H$76,4,0),"")</f>
        <v/>
      </c>
      <c r="F45" s="302" t="str">
        <f ca="1">IFERROR(VLOOKUP(B45,пр.взв!$B$7:$H$76,5,0),"")</f>
        <v/>
      </c>
      <c r="G45" s="304"/>
      <c r="H45" s="304"/>
      <c r="I45" s="306"/>
      <c r="J45" s="308"/>
      <c r="L45" s="310">
        <f>пр.хода!AY23</f>
        <v>0</v>
      </c>
      <c r="M45" s="321" t="str">
        <f>IFERROR(VLOOKUP(L45,пр.взв!$B$7:$H$76,2,0),"")</f>
        <v/>
      </c>
      <c r="N45" s="302" t="str">
        <f>IFERROR(VLOOKUP(L45,пр.взв!$B$7:$H$76,3,0),"")</f>
        <v/>
      </c>
      <c r="O45" s="302" t="str">
        <f>IFERROR(VLOOKUP(L45,пр.взв!$B$7:$H$76,4,0),"")</f>
        <v/>
      </c>
      <c r="P45" s="302" t="str">
        <f>IFERROR(VLOOKUP(L45,пр.взв!$B$7:$H$76,5,0),"")</f>
        <v/>
      </c>
      <c r="Q45" s="304"/>
      <c r="R45" s="304"/>
      <c r="S45" s="306"/>
      <c r="T45" s="308"/>
    </row>
    <row r="46" spans="1:20">
      <c r="A46" s="273"/>
      <c r="B46" s="297"/>
      <c r="C46" s="322"/>
      <c r="D46" s="303"/>
      <c r="E46" s="303"/>
      <c r="F46" s="303"/>
      <c r="G46" s="305"/>
      <c r="H46" s="305"/>
      <c r="I46" s="307"/>
      <c r="J46" s="309"/>
      <c r="L46" s="311"/>
      <c r="M46" s="322"/>
      <c r="N46" s="303"/>
      <c r="O46" s="303"/>
      <c r="P46" s="303"/>
      <c r="Q46" s="305"/>
      <c r="R46" s="305"/>
      <c r="S46" s="307"/>
      <c r="T46" s="309"/>
    </row>
    <row r="47" spans="1:20">
      <c r="A47" s="273"/>
      <c r="B47" s="297" t="str">
        <f ca="1">пр.хода!$AX23</f>
        <v xml:space="preserve"> </v>
      </c>
      <c r="C47" s="313" t="str">
        <f ca="1">IFERROR(VLOOKUP(B47,пр.взв!$B$7:$H$76,2,0),"")</f>
        <v/>
      </c>
      <c r="D47" s="315" t="str">
        <f ca="1">IFERROR(VLOOKUP(B47,пр.взв!$B$7:$H$76,3,0),"")</f>
        <v/>
      </c>
      <c r="E47" s="315" t="str">
        <f ca="1">IFERROR(VLOOKUP(B47,пр.взв!$B$7:$H$76,4,0),"")</f>
        <v/>
      </c>
      <c r="F47" s="315" t="str">
        <f ca="1">IFERROR(VLOOKUP(B47,пр.взв!$B$7:$H$76,5,0),"")</f>
        <v/>
      </c>
      <c r="G47" s="305"/>
      <c r="H47" s="305"/>
      <c r="I47" s="307"/>
      <c r="J47" s="309"/>
      <c r="L47" s="311">
        <f>пр.хода!AZ23</f>
        <v>0</v>
      </c>
      <c r="M47" s="313" t="str">
        <f>IFERROR(VLOOKUP(L47,пр.взв!$B$7:$H$76,2,0),"")</f>
        <v/>
      </c>
      <c r="N47" s="315" t="str">
        <f>IFERROR(VLOOKUP(L47,пр.взв!$B$7:$H$76,3,0),"")</f>
        <v/>
      </c>
      <c r="O47" s="315" t="str">
        <f>IFERROR(VLOOKUP(L47,пр.взв!$B$7:$H$76,4,0),"")</f>
        <v/>
      </c>
      <c r="P47" s="315" t="str">
        <f>IFERROR(VLOOKUP(L47,пр.взв!$B$7:$H$76,5,0),"")</f>
        <v/>
      </c>
      <c r="Q47" s="305"/>
      <c r="R47" s="305"/>
      <c r="S47" s="307"/>
      <c r="T47" s="309"/>
    </row>
    <row r="48" spans="1:20" ht="13" thickBot="1">
      <c r="A48" s="273"/>
      <c r="B48" s="340"/>
      <c r="C48" s="314"/>
      <c r="D48" s="316"/>
      <c r="E48" s="316"/>
      <c r="F48" s="316"/>
      <c r="G48" s="317"/>
      <c r="H48" s="317"/>
      <c r="I48" s="318"/>
      <c r="J48" s="319"/>
      <c r="L48" s="320"/>
      <c r="M48" s="314"/>
      <c r="N48" s="316"/>
      <c r="O48" s="316"/>
      <c r="P48" s="316"/>
      <c r="Q48" s="317"/>
      <c r="R48" s="317"/>
      <c r="S48" s="318"/>
      <c r="T48" s="319"/>
    </row>
    <row r="49" spans="1:20">
      <c r="A49" s="273"/>
      <c r="B49" s="296" t="str">
        <f ca="1">пр.хода!$AW24</f>
        <v xml:space="preserve"> </v>
      </c>
      <c r="C49" s="321" t="str">
        <f ca="1">IFERROR(VLOOKUP(B49,пр.взв!$B$7:$H$76,2,0),"")</f>
        <v/>
      </c>
      <c r="D49" s="302" t="str">
        <f ca="1">IFERROR(VLOOKUP(B49,пр.взв!$B$7:$H$76,3,0),"")</f>
        <v/>
      </c>
      <c r="E49" s="302" t="str">
        <f ca="1">IFERROR(VLOOKUP(B49,пр.взв!$B$7:$H$76,4,0),"")</f>
        <v/>
      </c>
      <c r="F49" s="302" t="str">
        <f ca="1">IFERROR(VLOOKUP(B49,пр.взв!$B$7:$H$76,5,0),"")</f>
        <v/>
      </c>
      <c r="G49" s="304"/>
      <c r="H49" s="304"/>
      <c r="I49" s="306"/>
      <c r="J49" s="308"/>
      <c r="L49" s="310">
        <f>пр.хода!AY24</f>
        <v>0</v>
      </c>
      <c r="M49" s="321" t="str">
        <f>IFERROR(VLOOKUP(L49,пр.взв!$B$7:$H$76,2,0),"")</f>
        <v/>
      </c>
      <c r="N49" s="302" t="str">
        <f>IFERROR(VLOOKUP(L49,пр.взв!$B$7:$H$76,3,0),"")</f>
        <v/>
      </c>
      <c r="O49" s="302" t="str">
        <f>IFERROR(VLOOKUP(L49,пр.взв!$B$7:$H$76,4,0),"")</f>
        <v/>
      </c>
      <c r="P49" s="302" t="str">
        <f>IFERROR(VLOOKUP(L49,пр.взв!$B$7:$H$76,5,0),"")</f>
        <v/>
      </c>
      <c r="Q49" s="304"/>
      <c r="R49" s="304"/>
      <c r="S49" s="306"/>
      <c r="T49" s="308"/>
    </row>
    <row r="50" spans="1:20">
      <c r="A50" s="273"/>
      <c r="B50" s="297"/>
      <c r="C50" s="322"/>
      <c r="D50" s="303"/>
      <c r="E50" s="303"/>
      <c r="F50" s="303"/>
      <c r="G50" s="305"/>
      <c r="H50" s="305"/>
      <c r="I50" s="307"/>
      <c r="J50" s="309"/>
      <c r="L50" s="311"/>
      <c r="M50" s="322"/>
      <c r="N50" s="303"/>
      <c r="O50" s="303"/>
      <c r="P50" s="303"/>
      <c r="Q50" s="305"/>
      <c r="R50" s="305"/>
      <c r="S50" s="307"/>
      <c r="T50" s="309"/>
    </row>
    <row r="51" spans="1:20">
      <c r="A51" s="273"/>
      <c r="B51" s="297" t="str">
        <f ca="1">пр.хода!$AX24</f>
        <v xml:space="preserve"> </v>
      </c>
      <c r="C51" s="313" t="str">
        <f ca="1">IFERROR(VLOOKUP(B51,пр.взв!$B$7:$H$76,2,0),"")</f>
        <v/>
      </c>
      <c r="D51" s="315" t="str">
        <f ca="1">IFERROR(VLOOKUP(B51,пр.взв!$B$7:$H$76,3,0),"")</f>
        <v/>
      </c>
      <c r="E51" s="315" t="str">
        <f ca="1">IFERROR(VLOOKUP(B51,пр.взв!$B$7:$H$76,4,0),"")</f>
        <v/>
      </c>
      <c r="F51" s="315" t="str">
        <f ca="1">IFERROR(VLOOKUP(B51,пр.взв!$B$7:$H$76,5,0),"")</f>
        <v/>
      </c>
      <c r="G51" s="305"/>
      <c r="H51" s="305"/>
      <c r="I51" s="307"/>
      <c r="J51" s="309"/>
      <c r="L51" s="311">
        <f>пр.хода!AZ24</f>
        <v>0</v>
      </c>
      <c r="M51" s="313" t="str">
        <f>IFERROR(VLOOKUP(L51,пр.взв!$B$7:$H$76,2,0),"")</f>
        <v/>
      </c>
      <c r="N51" s="315" t="str">
        <f>IFERROR(VLOOKUP(L51,пр.взв!$B$7:$H$76,3,0),"")</f>
        <v/>
      </c>
      <c r="O51" s="315" t="str">
        <f>IFERROR(VLOOKUP(L51,пр.взв!$B$7:$H$76,4,0),"")</f>
        <v/>
      </c>
      <c r="P51" s="315" t="str">
        <f>IFERROR(VLOOKUP(L51,пр.взв!$B$7:$H$76,5,0),"")</f>
        <v/>
      </c>
      <c r="Q51" s="305"/>
      <c r="R51" s="305"/>
      <c r="S51" s="307"/>
      <c r="T51" s="309"/>
    </row>
    <row r="52" spans="1:20" ht="13" thickBot="1">
      <c r="A52" s="273"/>
      <c r="B52" s="340"/>
      <c r="C52" s="314"/>
      <c r="D52" s="316"/>
      <c r="E52" s="316"/>
      <c r="F52" s="316"/>
      <c r="G52" s="317"/>
      <c r="H52" s="317"/>
      <c r="I52" s="318"/>
      <c r="J52" s="319"/>
      <c r="L52" s="320"/>
      <c r="M52" s="314"/>
      <c r="N52" s="316"/>
      <c r="O52" s="316"/>
      <c r="P52" s="316"/>
      <c r="Q52" s="317"/>
      <c r="R52" s="317"/>
      <c r="S52" s="318"/>
      <c r="T52" s="319"/>
    </row>
    <row r="53" spans="1:20">
      <c r="A53" s="273"/>
      <c r="B53" s="296" t="str">
        <f ca="1">пр.хода!$AW25</f>
        <v xml:space="preserve"> </v>
      </c>
      <c r="C53" s="321" t="str">
        <f ca="1">IFERROR(VLOOKUP(B53,пр.взв!$B$7:$H$76,2,0),"")</f>
        <v/>
      </c>
      <c r="D53" s="302" t="str">
        <f ca="1">IFERROR(VLOOKUP(B53,пр.взв!$B$7:$H$76,3,0),"")</f>
        <v/>
      </c>
      <c r="E53" s="302" t="str">
        <f ca="1">IFERROR(VLOOKUP(B53,пр.взв!$B$7:$H$76,4,0),"")</f>
        <v/>
      </c>
      <c r="F53" s="302" t="str">
        <f ca="1">IFERROR(VLOOKUP(B53,пр.взв!$B$7:$H$76,5,0),"")</f>
        <v/>
      </c>
      <c r="G53" s="304"/>
      <c r="H53" s="304"/>
      <c r="I53" s="306"/>
      <c r="J53" s="308"/>
      <c r="L53" s="310">
        <f>пр.хода!AY25</f>
        <v>0</v>
      </c>
      <c r="M53" s="321" t="str">
        <f>IFERROR(VLOOKUP(L53,пр.взв!$B$7:$H$76,2,0),"")</f>
        <v/>
      </c>
      <c r="N53" s="302" t="str">
        <f>IFERROR(VLOOKUP(L53,пр.взв!$B$7:$H$76,3,0),"")</f>
        <v/>
      </c>
      <c r="O53" s="302" t="str">
        <f>IFERROR(VLOOKUP(L53,пр.взв!$B$7:$H$76,4,0),"")</f>
        <v/>
      </c>
      <c r="P53" s="302" t="str">
        <f>IFERROR(VLOOKUP(L53,пр.взв!$B$7:$H$76,5,0),"")</f>
        <v/>
      </c>
      <c r="Q53" s="304"/>
      <c r="R53" s="304"/>
      <c r="S53" s="306"/>
      <c r="T53" s="308"/>
    </row>
    <row r="54" spans="1:20">
      <c r="A54" s="273"/>
      <c r="B54" s="297"/>
      <c r="C54" s="322"/>
      <c r="D54" s="303"/>
      <c r="E54" s="303"/>
      <c r="F54" s="303"/>
      <c r="G54" s="305"/>
      <c r="H54" s="305"/>
      <c r="I54" s="307"/>
      <c r="J54" s="309"/>
      <c r="L54" s="311"/>
      <c r="M54" s="322"/>
      <c r="N54" s="303"/>
      <c r="O54" s="303"/>
      <c r="P54" s="303"/>
      <c r="Q54" s="305"/>
      <c r="R54" s="305"/>
      <c r="S54" s="307"/>
      <c r="T54" s="309"/>
    </row>
    <row r="55" spans="1:20">
      <c r="A55" s="273"/>
      <c r="B55" s="297" t="str">
        <f ca="1">пр.хода!$AX25</f>
        <v xml:space="preserve"> </v>
      </c>
      <c r="C55" s="313" t="str">
        <f ca="1">IFERROR(VLOOKUP(B55,пр.взв!$B$7:$H$76,2,0),"")</f>
        <v/>
      </c>
      <c r="D55" s="315" t="str">
        <f ca="1">IFERROR(VLOOKUP(B55,пр.взв!$B$7:$H$76,3,0),"")</f>
        <v/>
      </c>
      <c r="E55" s="315" t="str">
        <f ca="1">IFERROR(VLOOKUP(B55,пр.взв!$B$7:$H$76,4,0),"")</f>
        <v/>
      </c>
      <c r="F55" s="315" t="str">
        <f ca="1">IFERROR(VLOOKUP(B55,пр.взв!$B$7:$H$76,5,0),"")</f>
        <v/>
      </c>
      <c r="G55" s="305"/>
      <c r="H55" s="305"/>
      <c r="I55" s="307"/>
      <c r="J55" s="309"/>
      <c r="L55" s="311">
        <f>пр.хода!AZ25</f>
        <v>0</v>
      </c>
      <c r="M55" s="313" t="str">
        <f>IFERROR(VLOOKUP(L55,пр.взв!$B$7:$H$76,2,0),"")</f>
        <v/>
      </c>
      <c r="N55" s="315" t="str">
        <f>IFERROR(VLOOKUP(L55,пр.взв!$B$7:$H$76,3,0),"")</f>
        <v/>
      </c>
      <c r="O55" s="315" t="str">
        <f>IFERROR(VLOOKUP(L55,пр.взв!$B$7:$H$76,4,0),"")</f>
        <v/>
      </c>
      <c r="P55" s="315" t="str">
        <f>IFERROR(VLOOKUP(L55,пр.взв!$B$7:$H$76,5,0),"")</f>
        <v/>
      </c>
      <c r="Q55" s="305"/>
      <c r="R55" s="305"/>
      <c r="S55" s="307"/>
      <c r="T55" s="309"/>
    </row>
    <row r="56" spans="1:20" ht="13" thickBot="1">
      <c r="A56" s="273"/>
      <c r="B56" s="340"/>
      <c r="C56" s="314"/>
      <c r="D56" s="316"/>
      <c r="E56" s="316"/>
      <c r="F56" s="316"/>
      <c r="G56" s="317"/>
      <c r="H56" s="317"/>
      <c r="I56" s="318"/>
      <c r="J56" s="319"/>
      <c r="L56" s="320"/>
      <c r="M56" s="314"/>
      <c r="N56" s="316"/>
      <c r="O56" s="316"/>
      <c r="P56" s="316"/>
      <c r="Q56" s="317"/>
      <c r="R56" s="317"/>
      <c r="S56" s="318"/>
      <c r="T56" s="319"/>
    </row>
    <row r="57" spans="1:20">
      <c r="A57" s="273"/>
      <c r="B57" s="296" t="str">
        <f ca="1">пр.хода!$AW26</f>
        <v xml:space="preserve"> </v>
      </c>
      <c r="C57" s="321" t="str">
        <f ca="1">IFERROR(VLOOKUP(B57,пр.взв!$B$7:$H$76,2,0),"")</f>
        <v/>
      </c>
      <c r="D57" s="302" t="str">
        <f ca="1">IFERROR(VLOOKUP(B57,пр.взв!$B$7:$H$76,3,0),"")</f>
        <v/>
      </c>
      <c r="E57" s="302" t="str">
        <f ca="1">IFERROR(VLOOKUP(B57,пр.взв!$B$7:$H$76,4,0),"")</f>
        <v/>
      </c>
      <c r="F57" s="302" t="str">
        <f ca="1">IFERROR(VLOOKUP(B57,пр.взв!$B$7:$H$76,5,0),"")</f>
        <v/>
      </c>
      <c r="G57" s="337"/>
      <c r="H57" s="304"/>
      <c r="I57" s="306"/>
      <c r="J57" s="308"/>
      <c r="L57" s="310">
        <f>пр.хода!AY26</f>
        <v>0</v>
      </c>
      <c r="M57" s="321" t="str">
        <f>IFERROR(VLOOKUP(L57,пр.взв!$B$7:$H$76,2,0),"")</f>
        <v/>
      </c>
      <c r="N57" s="302" t="str">
        <f>IFERROR(VLOOKUP(L57,пр.взв!$B$7:$H$76,3,0),"")</f>
        <v/>
      </c>
      <c r="O57" s="302" t="str">
        <f>IFERROR(VLOOKUP(L57,пр.взв!$B$7:$H$76,4,0),"")</f>
        <v/>
      </c>
      <c r="P57" s="302" t="str">
        <f>IFERROR(VLOOKUP(L57,пр.взв!$B$7:$H$76,5,0),"")</f>
        <v/>
      </c>
      <c r="Q57" s="337"/>
      <c r="R57" s="304"/>
      <c r="S57" s="306"/>
      <c r="T57" s="308"/>
    </row>
    <row r="58" spans="1:20">
      <c r="A58" s="273"/>
      <c r="B58" s="297"/>
      <c r="C58" s="322"/>
      <c r="D58" s="303"/>
      <c r="E58" s="303"/>
      <c r="F58" s="303"/>
      <c r="G58" s="338"/>
      <c r="H58" s="305"/>
      <c r="I58" s="307"/>
      <c r="J58" s="309"/>
      <c r="L58" s="311"/>
      <c r="M58" s="322"/>
      <c r="N58" s="303"/>
      <c r="O58" s="303"/>
      <c r="P58" s="303"/>
      <c r="Q58" s="338"/>
      <c r="R58" s="305"/>
      <c r="S58" s="307"/>
      <c r="T58" s="309"/>
    </row>
    <row r="59" spans="1:20">
      <c r="A59" s="273"/>
      <c r="B59" s="297" t="str">
        <f ca="1">пр.хода!$AX26</f>
        <v xml:space="preserve"> </v>
      </c>
      <c r="C59" s="313" t="str">
        <f ca="1">IFERROR(VLOOKUP(B59,пр.взв!$B$7:$H$76,2,0),"")</f>
        <v/>
      </c>
      <c r="D59" s="315" t="str">
        <f ca="1">IFERROR(VLOOKUP(B59,пр.взв!$B$7:$H$76,3,0),"")</f>
        <v/>
      </c>
      <c r="E59" s="315" t="str">
        <f ca="1">IFERROR(VLOOKUP(B59,пр.взв!$B$7:$H$76,4,0),"")</f>
        <v/>
      </c>
      <c r="F59" s="315" t="str">
        <f ca="1">IFERROR(VLOOKUP(B59,пр.взв!$B$7:$H$76,5,0),"")</f>
        <v/>
      </c>
      <c r="G59" s="338"/>
      <c r="H59" s="305"/>
      <c r="I59" s="307"/>
      <c r="J59" s="309"/>
      <c r="L59" s="311">
        <f>пр.хода!AZ26</f>
        <v>0</v>
      </c>
      <c r="M59" s="313" t="str">
        <f>IFERROR(VLOOKUP(L59,пр.взв!$B$7:$H$76,2,0),"")</f>
        <v/>
      </c>
      <c r="N59" s="315" t="str">
        <f>IFERROR(VLOOKUP(L59,пр.взв!$B$7:$H$76,3,0),"")</f>
        <v/>
      </c>
      <c r="O59" s="315" t="str">
        <f>IFERROR(VLOOKUP(L59,пр.взв!$B$7:$H$76,4,0),"")</f>
        <v/>
      </c>
      <c r="P59" s="315" t="str">
        <f>IFERROR(VLOOKUP(L59,пр.взв!$B$7:$H$76,5,0),"")</f>
        <v/>
      </c>
      <c r="Q59" s="338"/>
      <c r="R59" s="305"/>
      <c r="S59" s="307"/>
      <c r="T59" s="309"/>
    </row>
    <row r="60" spans="1:20" ht="13" thickBot="1">
      <c r="A60" s="273"/>
      <c r="B60" s="340"/>
      <c r="C60" s="314"/>
      <c r="D60" s="316"/>
      <c r="E60" s="316"/>
      <c r="F60" s="316"/>
      <c r="G60" s="339"/>
      <c r="H60" s="317"/>
      <c r="I60" s="318"/>
      <c r="J60" s="319"/>
      <c r="L60" s="320"/>
      <c r="M60" s="314"/>
      <c r="N60" s="316"/>
      <c r="O60" s="316"/>
      <c r="P60" s="316"/>
      <c r="Q60" s="339"/>
      <c r="R60" s="317"/>
      <c r="S60" s="318"/>
      <c r="T60" s="319"/>
    </row>
    <row r="61" spans="1:20" ht="14.25" customHeight="1">
      <c r="A61" s="10"/>
      <c r="B61" s="296"/>
      <c r="C61" s="321" t="str">
        <f>IFERROR(VLOOKUP(B61,пр.взв!$B$7:$H$76,2,0),"")</f>
        <v/>
      </c>
      <c r="D61" s="302" t="str">
        <f>IFERROR(VLOOKUP(B61,пр.взв!$B$7:$H$76,3,0),"")</f>
        <v/>
      </c>
      <c r="E61" s="302" t="str">
        <f>IFERROR(VLOOKUP(B61,пр.взв!$B$7:$H$76,4,0),"")</f>
        <v/>
      </c>
      <c r="F61" s="302" t="str">
        <f>IFERROR(VLOOKUP(B61,пр.взв!$B$7:$H$76,5,0),"")</f>
        <v/>
      </c>
      <c r="G61" s="534"/>
      <c r="H61" s="534"/>
      <c r="I61" s="525"/>
      <c r="J61" s="527"/>
      <c r="K61" s="91"/>
      <c r="L61" s="296"/>
      <c r="M61" s="321" t="str">
        <f>IFERROR(VLOOKUP(L61,пр.взв!$B$7:$H$76,2,0),"")</f>
        <v/>
      </c>
      <c r="N61" s="302" t="str">
        <f>IFERROR(VLOOKUP(L61,пр.взв!$B$7:$H$76,3,0),"")</f>
        <v/>
      </c>
      <c r="O61" s="302" t="str">
        <f>IFERROR(VLOOKUP(L61,пр.взв!$B$7:$H$76,4,0),"")</f>
        <v/>
      </c>
      <c r="P61" s="302" t="str">
        <f>IFERROR(VLOOKUP(L61,пр.взв!$B$7:$H$76,5,0),"")</f>
        <v/>
      </c>
      <c r="Q61" s="534"/>
      <c r="R61" s="304"/>
      <c r="S61" s="306"/>
      <c r="T61" s="308"/>
    </row>
    <row r="62" spans="1:20">
      <c r="B62" s="297"/>
      <c r="C62" s="322"/>
      <c r="D62" s="303"/>
      <c r="E62" s="303"/>
      <c r="F62" s="303"/>
      <c r="G62" s="341"/>
      <c r="H62" s="341"/>
      <c r="I62" s="526"/>
      <c r="J62" s="528"/>
      <c r="K62" s="91"/>
      <c r="L62" s="297"/>
      <c r="M62" s="322"/>
      <c r="N62" s="303"/>
      <c r="O62" s="303"/>
      <c r="P62" s="303"/>
      <c r="Q62" s="341"/>
      <c r="R62" s="305"/>
      <c r="S62" s="307"/>
      <c r="T62" s="309"/>
    </row>
    <row r="63" spans="1:20">
      <c r="B63" s="297"/>
      <c r="C63" s="313" t="str">
        <f>IFERROR(VLOOKUP(B63,пр.взв!$B$7:$H$76,2,0),"")</f>
        <v/>
      </c>
      <c r="D63" s="315" t="str">
        <f>IFERROR(VLOOKUP(B63,пр.взв!$B$7:$H$76,3,0),"")</f>
        <v/>
      </c>
      <c r="E63" s="315" t="str">
        <f>IFERROR(VLOOKUP(B63,пр.взв!$B$7:$H$76,4,0),"")</f>
        <v/>
      </c>
      <c r="F63" s="315" t="str">
        <f>IFERROR(VLOOKUP(B63,пр.взв!$B$7:$H$76,5,0),"")</f>
        <v/>
      </c>
      <c r="G63" s="341"/>
      <c r="H63" s="341"/>
      <c r="I63" s="526"/>
      <c r="J63" s="528"/>
      <c r="K63" s="91"/>
      <c r="L63" s="297"/>
      <c r="M63" s="313" t="str">
        <f>IFERROR(VLOOKUP(L63,пр.взв!$B$7:$H$76,2,0),"")</f>
        <v/>
      </c>
      <c r="N63" s="315" t="str">
        <f>IFERROR(VLOOKUP(L63,пр.взв!$B$7:$H$76,3,0),"")</f>
        <v/>
      </c>
      <c r="O63" s="315" t="str">
        <f>IFERROR(VLOOKUP(L63,пр.взв!$B$7:$H$76,4,0),"")</f>
        <v/>
      </c>
      <c r="P63" s="315" t="str">
        <f>IFERROR(VLOOKUP(L63,пр.взв!$B$7:$H$76,5,0),"")</f>
        <v/>
      </c>
      <c r="Q63" s="341"/>
      <c r="R63" s="305"/>
      <c r="S63" s="307"/>
      <c r="T63" s="309"/>
    </row>
    <row r="64" spans="1:20" ht="13" thickBot="1">
      <c r="B64" s="340"/>
      <c r="C64" s="314"/>
      <c r="D64" s="316"/>
      <c r="E64" s="316"/>
      <c r="F64" s="316"/>
      <c r="G64" s="342"/>
      <c r="H64" s="342"/>
      <c r="I64" s="531"/>
      <c r="J64" s="532"/>
      <c r="K64" s="91"/>
      <c r="L64" s="340"/>
      <c r="M64" s="314"/>
      <c r="N64" s="316"/>
      <c r="O64" s="316"/>
      <c r="P64" s="316"/>
      <c r="Q64" s="342"/>
      <c r="R64" s="317"/>
      <c r="S64" s="318"/>
      <c r="T64" s="319"/>
    </row>
    <row r="65" spans="2:20">
      <c r="B65" s="296"/>
      <c r="C65" s="321" t="str">
        <f>IFERROR(VLOOKUP(B65,пр.взв!$B$7:$H$76,2,0),"")</f>
        <v/>
      </c>
      <c r="D65" s="302" t="str">
        <f>IFERROR(VLOOKUP(B65,пр.взв!$B$7:$H$76,3,0),"")</f>
        <v/>
      </c>
      <c r="E65" s="302" t="str">
        <f>IFERROR(VLOOKUP(B65,пр.взв!$B$7:$H$76,4,0),"")</f>
        <v/>
      </c>
      <c r="F65" s="302" t="str">
        <f>IFERROR(VLOOKUP(B65,пр.взв!$B$7:$H$76,5,0),"")</f>
        <v/>
      </c>
      <c r="G65" s="533"/>
      <c r="H65" s="534"/>
      <c r="I65" s="525"/>
      <c r="J65" s="527"/>
      <c r="K65" s="91"/>
      <c r="L65" s="296"/>
      <c r="M65" s="321" t="str">
        <f>IFERROR(VLOOKUP(L65,пр.взв!$B$7:$H$76,2,0),"")</f>
        <v/>
      </c>
      <c r="N65" s="302" t="str">
        <f>IFERROR(VLOOKUP(L65,пр.взв!$B$7:$H$76,3,0),"")</f>
        <v/>
      </c>
      <c r="O65" s="302" t="str">
        <f>IFERROR(VLOOKUP(L65,пр.взв!$B$7:$H$76,4,0),"")</f>
        <v/>
      </c>
      <c r="P65" s="302" t="str">
        <f>IFERROR(VLOOKUP(L65,пр.взв!$B$7:$H$76,5,0),"")</f>
        <v/>
      </c>
      <c r="Q65" s="533"/>
      <c r="R65" s="304"/>
      <c r="S65" s="306"/>
      <c r="T65" s="308"/>
    </row>
    <row r="66" spans="2:20">
      <c r="B66" s="297"/>
      <c r="C66" s="322"/>
      <c r="D66" s="303"/>
      <c r="E66" s="303"/>
      <c r="F66" s="303"/>
      <c r="G66" s="529"/>
      <c r="H66" s="341"/>
      <c r="I66" s="526"/>
      <c r="J66" s="528"/>
      <c r="K66" s="91"/>
      <c r="L66" s="297"/>
      <c r="M66" s="322"/>
      <c r="N66" s="303"/>
      <c r="O66" s="303"/>
      <c r="P66" s="303"/>
      <c r="Q66" s="529"/>
      <c r="R66" s="305"/>
      <c r="S66" s="307"/>
      <c r="T66" s="309"/>
    </row>
    <row r="67" spans="2:20">
      <c r="B67" s="297"/>
      <c r="C67" s="313" t="str">
        <f>IFERROR(VLOOKUP(B67,пр.взв!$B$7:$H$76,2,0),"")</f>
        <v/>
      </c>
      <c r="D67" s="315" t="str">
        <f>IFERROR(VLOOKUP(B67,пр.взв!$B$7:$H$76,3,0),"")</f>
        <v/>
      </c>
      <c r="E67" s="315" t="str">
        <f>IFERROR(VLOOKUP(B67,пр.взв!$B$7:$H$76,4,0),"")</f>
        <v/>
      </c>
      <c r="F67" s="315" t="str">
        <f>IFERROR(VLOOKUP(B67,пр.взв!$B$7:$H$76,5,0),"")</f>
        <v/>
      </c>
      <c r="G67" s="529"/>
      <c r="H67" s="341"/>
      <c r="I67" s="526"/>
      <c r="J67" s="528"/>
      <c r="K67" s="91"/>
      <c r="L67" s="297"/>
      <c r="M67" s="313" t="str">
        <f>IFERROR(VLOOKUP(L67,пр.взв!$B$7:$H$76,2,0),"")</f>
        <v/>
      </c>
      <c r="N67" s="315" t="str">
        <f>IFERROR(VLOOKUP(L67,пр.взв!$B$7:$H$76,3,0),"")</f>
        <v/>
      </c>
      <c r="O67" s="315" t="str">
        <f>IFERROR(VLOOKUP(L67,пр.взв!$B$7:$H$76,4,0),"")</f>
        <v/>
      </c>
      <c r="P67" s="315" t="str">
        <f>IFERROR(VLOOKUP(L67,пр.взв!$B$7:$H$76,5,0),"")</f>
        <v/>
      </c>
      <c r="Q67" s="529"/>
      <c r="R67" s="305"/>
      <c r="S67" s="307"/>
      <c r="T67" s="309"/>
    </row>
    <row r="68" spans="2:20" ht="13" thickBot="1">
      <c r="B68" s="340"/>
      <c r="C68" s="314"/>
      <c r="D68" s="316"/>
      <c r="E68" s="316"/>
      <c r="F68" s="316"/>
      <c r="G68" s="530"/>
      <c r="H68" s="342"/>
      <c r="I68" s="531"/>
      <c r="J68" s="532"/>
      <c r="K68" s="91"/>
      <c r="L68" s="340"/>
      <c r="M68" s="314"/>
      <c r="N68" s="316"/>
      <c r="O68" s="316"/>
      <c r="P68" s="316"/>
      <c r="Q68" s="530"/>
      <c r="R68" s="317"/>
      <c r="S68" s="318"/>
      <c r="T68" s="319"/>
    </row>
  </sheetData>
  <mergeCells count="625"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tabColor indexed="46"/>
  </sheetPr>
  <dimension ref="A1:T68"/>
  <sheetViews>
    <sheetView topLeftCell="E1" workbookViewId="0">
      <selection activeCell="T5" sqref="L1:T6"/>
    </sheetView>
  </sheetViews>
  <sheetFormatPr defaultRowHeight="12.5"/>
  <cols>
    <col min="1" max="1" width="1" customWidth="1"/>
    <col min="2" max="2" width="5" customWidth="1"/>
    <col min="3" max="3" width="22.1796875" customWidth="1"/>
    <col min="4" max="4" width="8.81640625" customWidth="1"/>
    <col min="5" max="5" width="6" customWidth="1"/>
    <col min="6" max="6" width="12.54296875" customWidth="1"/>
    <col min="7" max="7" width="31.54296875" customWidth="1"/>
    <col min="8" max="8" width="5.81640625" customWidth="1"/>
    <col min="9" max="9" width="4.453125" customWidth="1"/>
    <col min="10" max="10" width="5.1796875" customWidth="1"/>
    <col min="11" max="11" width="1.1796875" customWidth="1"/>
    <col min="12" max="12" width="5" customWidth="1"/>
    <col min="13" max="13" width="22.1796875" customWidth="1"/>
    <col min="14" max="14" width="8.54296875" customWidth="1"/>
    <col min="15" max="15" width="5.54296875" customWidth="1"/>
    <col min="16" max="16" width="11.1796875" customWidth="1"/>
    <col min="17" max="17" width="32.81640625" customWidth="1"/>
    <col min="18" max="18" width="5.81640625" customWidth="1"/>
    <col min="19" max="19" width="5" customWidth="1"/>
    <col min="20" max="20" width="5.54296875" customWidth="1"/>
  </cols>
  <sheetData>
    <row r="1" spans="1:20" ht="23.25" customHeight="1">
      <c r="A1" s="10"/>
      <c r="B1" s="294" t="s">
        <v>141</v>
      </c>
      <c r="C1" s="294"/>
      <c r="D1" s="219">
        <f>кр3!D1</f>
        <v>1</v>
      </c>
      <c r="E1" s="218"/>
      <c r="F1" s="295" t="s">
        <v>142</v>
      </c>
      <c r="G1" s="295"/>
      <c r="H1" s="295"/>
      <c r="I1" s="295"/>
      <c r="J1" s="295"/>
      <c r="L1" s="294" t="s">
        <v>141</v>
      </c>
      <c r="M1" s="294"/>
      <c r="N1" s="219">
        <f>кр3!N1</f>
        <v>1</v>
      </c>
      <c r="O1" s="218"/>
      <c r="P1" s="295" t="s">
        <v>142</v>
      </c>
      <c r="Q1" s="295"/>
      <c r="R1" s="295"/>
      <c r="S1" s="295"/>
      <c r="T1" s="295"/>
    </row>
    <row r="2" spans="1:20" ht="15" customHeight="1" thickBot="1">
      <c r="A2" s="10"/>
      <c r="B2" s="11"/>
      <c r="C2" s="11" t="s">
        <v>145</v>
      </c>
      <c r="D2" s="39" t="s">
        <v>0</v>
      </c>
      <c r="E2" s="39"/>
      <c r="F2" s="11"/>
      <c r="G2" s="217" t="str">
        <f>пр.взв!D4</f>
        <v>В.к. 52 кг.</v>
      </c>
      <c r="H2" s="11"/>
      <c r="I2" s="11"/>
      <c r="J2" s="11"/>
      <c r="L2" s="1"/>
      <c r="M2" s="1" t="s">
        <v>145</v>
      </c>
      <c r="N2" s="40" t="s">
        <v>32</v>
      </c>
      <c r="O2" s="40"/>
      <c r="P2" s="1"/>
      <c r="Q2" s="217" t="str">
        <f>G2</f>
        <v>В.к. 52 кг.</v>
      </c>
      <c r="R2" s="1"/>
      <c r="S2" s="1"/>
      <c r="T2" s="1"/>
    </row>
    <row r="3" spans="1:20" ht="25.5" customHeight="1">
      <c r="A3" s="273"/>
      <c r="B3" s="274" t="s">
        <v>5</v>
      </c>
      <c r="C3" s="276" t="s">
        <v>2</v>
      </c>
      <c r="D3" s="278" t="s">
        <v>23</v>
      </c>
      <c r="E3" s="535" t="s">
        <v>24</v>
      </c>
      <c r="F3" s="281"/>
      <c r="G3" s="276" t="s">
        <v>25</v>
      </c>
      <c r="H3" s="278" t="s">
        <v>26</v>
      </c>
      <c r="I3" s="276" t="s">
        <v>27</v>
      </c>
      <c r="J3" s="284" t="s">
        <v>28</v>
      </c>
      <c r="L3" s="286" t="s">
        <v>5</v>
      </c>
      <c r="M3" s="288" t="s">
        <v>2</v>
      </c>
      <c r="N3" s="290" t="s">
        <v>23</v>
      </c>
      <c r="O3" s="537" t="s">
        <v>24</v>
      </c>
      <c r="P3" s="538"/>
      <c r="Q3" s="288" t="s">
        <v>25</v>
      </c>
      <c r="R3" s="290" t="s">
        <v>26</v>
      </c>
      <c r="S3" s="288" t="s">
        <v>27</v>
      </c>
      <c r="T3" s="292" t="s">
        <v>28</v>
      </c>
    </row>
    <row r="4" spans="1:20" ht="13" thickBot="1">
      <c r="A4" s="273"/>
      <c r="B4" s="275"/>
      <c r="C4" s="277"/>
      <c r="D4" s="279"/>
      <c r="E4" s="536"/>
      <c r="F4" s="283"/>
      <c r="G4" s="277"/>
      <c r="H4" s="279"/>
      <c r="I4" s="277"/>
      <c r="J4" s="285"/>
      <c r="L4" s="287"/>
      <c r="M4" s="289"/>
      <c r="N4" s="291"/>
      <c r="O4" s="539"/>
      <c r="P4" s="540"/>
      <c r="Q4" s="289"/>
      <c r="R4" s="291"/>
      <c r="S4" s="289"/>
      <c r="T4" s="293"/>
    </row>
    <row r="5" spans="1:20" ht="12.75" customHeight="1">
      <c r="A5" s="273"/>
      <c r="B5" s="296">
        <f ca="1">пр.хода!BB13</f>
        <v>1</v>
      </c>
      <c r="C5" s="298" t="str">
        <f ca="1">IFERROR(VLOOKUP(B5,пр.взв!$B$7:$H$76,2,0),"")</f>
        <v>ГАВРИЛОВА Полина Сергеевна</v>
      </c>
      <c r="D5" s="300" t="str">
        <f ca="1">IFERROR(VLOOKUP(B5,пр.взв!$B$7:$H$76,3,0),"")</f>
        <v>23.06.96, КМС</v>
      </c>
      <c r="E5" s="300" t="str">
        <f ca="1">IFERROR(VLOOKUP(B5,пр.взв!$B$7:$H$76,4,0),"")</f>
        <v>УФО</v>
      </c>
      <c r="F5" s="302" t="str">
        <f ca="1">IFERROR(VLOOKUP(B5,пр.взв!$B$7:$H$76,5,0),"")</f>
        <v>Свердловская, Серов</v>
      </c>
      <c r="G5" s="304"/>
      <c r="H5" s="304"/>
      <c r="I5" s="306"/>
      <c r="J5" s="308"/>
      <c r="L5" s="310">
        <f ca="1">пр.хода!BD13</f>
        <v>3</v>
      </c>
      <c r="M5" s="298" t="str">
        <f ca="1">IFERROR(VLOOKUP(L5,пр.взв!$B$7:$H$76,2,0),"")</f>
        <v>ВИНИЧЕНКО Екатерина Константиновна</v>
      </c>
      <c r="N5" s="300" t="str">
        <f ca="1">IFERROR(VLOOKUP(L5,пр.взв!$B$7:$H$76,3,0),"")</f>
        <v>16.02.97, КМС</v>
      </c>
      <c r="O5" s="300" t="str">
        <f ca="1">IFERROR(VLOOKUP(L5,пр.взв!$B$7:$H$76,4,0),"")</f>
        <v>УФО</v>
      </c>
      <c r="P5" s="302" t="str">
        <f ca="1">IFERROR(VLOOKUP(L5,пр.взв!$B$7:$H$76,5,0),"")</f>
        <v>Свердловская, Екатеринбург, СШОР ПО САМБО И ДЗЮДО</v>
      </c>
      <c r="Q5" s="304"/>
      <c r="R5" s="304"/>
      <c r="S5" s="306"/>
      <c r="T5" s="308"/>
    </row>
    <row r="6" spans="1:20">
      <c r="A6" s="273"/>
      <c r="B6" s="297"/>
      <c r="C6" s="299"/>
      <c r="D6" s="301"/>
      <c r="E6" s="301"/>
      <c r="F6" s="303"/>
      <c r="G6" s="305"/>
      <c r="H6" s="305"/>
      <c r="I6" s="307"/>
      <c r="J6" s="309"/>
      <c r="L6" s="311"/>
      <c r="M6" s="299"/>
      <c r="N6" s="301"/>
      <c r="O6" s="301"/>
      <c r="P6" s="303"/>
      <c r="Q6" s="305"/>
      <c r="R6" s="305"/>
      <c r="S6" s="307"/>
      <c r="T6" s="309"/>
    </row>
    <row r="7" spans="1:20">
      <c r="A7" s="273"/>
      <c r="B7" s="297">
        <f ca="1">пр.хода!BC13</f>
        <v>2</v>
      </c>
      <c r="C7" s="313" t="str">
        <f ca="1">IFERROR(VLOOKUP(B7,пр.взв!$B$7:$H$76,2,0),"")</f>
        <v>ШКЕТ Ольга Владимировна</v>
      </c>
      <c r="D7" s="315" t="str">
        <f ca="1">IFERROR(VLOOKUP(B7,пр.взв!$B$7:$H$76,3,0),"")</f>
        <v>11.05.96, МС</v>
      </c>
      <c r="E7" s="315" t="str">
        <f ca="1">IFERROR(VLOOKUP(B7,пр.взв!$B$7:$H$76,4,0),"")</f>
        <v>УФО</v>
      </c>
      <c r="F7" s="315" t="str">
        <f ca="1">IFERROR(VLOOKUP(B7,пр.взв!$B$7:$H$76,5,0),"")</f>
        <v>Курганская, Курган, СШОР№1</v>
      </c>
      <c r="G7" s="305"/>
      <c r="H7" s="305"/>
      <c r="I7" s="307"/>
      <c r="J7" s="309"/>
      <c r="L7" s="311">
        <f ca="1">пр.хода!BE13</f>
        <v>4</v>
      </c>
      <c r="M7" s="313" t="str">
        <f ca="1">IFERROR(VLOOKUP(L7,пр.взв!$B$7:$H$76,2,0),"")</f>
        <v>ГАСПАРЯН Наре Петросовна</v>
      </c>
      <c r="N7" s="315" t="str">
        <f ca="1">IFERROR(VLOOKUP(L7,пр.взв!$B$7:$H$76,3,0),"")</f>
        <v>26.02.97, КМС</v>
      </c>
      <c r="O7" s="315" t="str">
        <f ca="1">IFERROR(VLOOKUP(L7,пр.взв!$B$7:$H$76,4,0),"")</f>
        <v>УФО</v>
      </c>
      <c r="P7" s="315" t="str">
        <f ca="1">IFERROR(VLOOKUP(L7,пр.взв!$B$7:$H$76,5,0),"")</f>
        <v>Челябинская, Челябинск</v>
      </c>
      <c r="Q7" s="305"/>
      <c r="R7" s="305"/>
      <c r="S7" s="307"/>
      <c r="T7" s="309"/>
    </row>
    <row r="8" spans="1:20" ht="13" thickBot="1">
      <c r="A8" s="273"/>
      <c r="B8" s="340"/>
      <c r="C8" s="314"/>
      <c r="D8" s="316"/>
      <c r="E8" s="316"/>
      <c r="F8" s="316"/>
      <c r="G8" s="317"/>
      <c r="H8" s="317"/>
      <c r="I8" s="318"/>
      <c r="J8" s="319"/>
      <c r="L8" s="320"/>
      <c r="M8" s="314"/>
      <c r="N8" s="316"/>
      <c r="O8" s="316"/>
      <c r="P8" s="316"/>
      <c r="Q8" s="317"/>
      <c r="R8" s="317"/>
      <c r="S8" s="318"/>
      <c r="T8" s="319"/>
    </row>
    <row r="9" spans="1:20" ht="12.75" customHeight="1">
      <c r="A9" s="273"/>
      <c r="B9" s="296">
        <f ca="1">пр.хода!BB14</f>
        <v>0</v>
      </c>
      <c r="C9" s="321" t="str">
        <f ca="1">IFERROR(VLOOKUP(B9,пр.взв!$B$7:$H$76,2,0),"")</f>
        <v/>
      </c>
      <c r="D9" s="302" t="str">
        <f ca="1">IFERROR(VLOOKUP(B9,пр.взв!$B$7:$H$76,3,0),"")</f>
        <v/>
      </c>
      <c r="E9" s="302" t="str">
        <f ca="1">IFERROR(VLOOKUP(B9,пр.взв!$B$7:$H$76,4,0),"")</f>
        <v/>
      </c>
      <c r="F9" s="302" t="str">
        <f ca="1">IFERROR(VLOOKUP(B9,пр.взв!$B$7:$H$76,5,0),"")</f>
        <v/>
      </c>
      <c r="G9" s="304"/>
      <c r="H9" s="304"/>
      <c r="I9" s="306"/>
      <c r="J9" s="308"/>
      <c r="L9" s="310" t="b">
        <f ca="1">пр.хода!BD14</f>
        <v>0</v>
      </c>
      <c r="M9" s="321" t="str">
        <f ca="1">IFERROR(VLOOKUP(L9,пр.взв!$B$7:$H$76,2,0),"")</f>
        <v/>
      </c>
      <c r="N9" s="302" t="str">
        <f ca="1">IFERROR(VLOOKUP(L9,пр.взв!$B$7:$H$76,3,0),"")</f>
        <v/>
      </c>
      <c r="O9" s="302" t="str">
        <f ca="1">IFERROR(VLOOKUP(L9,пр.взв!$B$7:$H$76,4,0),"")</f>
        <v/>
      </c>
      <c r="P9" s="302" t="str">
        <f ca="1">IFERROR(VLOOKUP(L9,пр.взв!$B$7:$H$76,5,0),"")</f>
        <v/>
      </c>
      <c r="Q9" s="304"/>
      <c r="R9" s="304"/>
      <c r="S9" s="306"/>
      <c r="T9" s="308"/>
    </row>
    <row r="10" spans="1:20">
      <c r="A10" s="273"/>
      <c r="B10" s="297"/>
      <c r="C10" s="322"/>
      <c r="D10" s="303"/>
      <c r="E10" s="303"/>
      <c r="F10" s="303"/>
      <c r="G10" s="305"/>
      <c r="H10" s="305"/>
      <c r="I10" s="307"/>
      <c r="J10" s="309"/>
      <c r="L10" s="311"/>
      <c r="M10" s="322"/>
      <c r="N10" s="303"/>
      <c r="O10" s="303"/>
      <c r="P10" s="303"/>
      <c r="Q10" s="305"/>
      <c r="R10" s="305"/>
      <c r="S10" s="307"/>
      <c r="T10" s="309"/>
    </row>
    <row r="11" spans="1:20">
      <c r="A11" s="273"/>
      <c r="B11" s="297">
        <f ca="1">пр.хода!BC14</f>
        <v>0</v>
      </c>
      <c r="C11" s="313" t="str">
        <f ca="1">IFERROR(VLOOKUP(B11,пр.взв!$B$7:$H$76,2,0),"")</f>
        <v/>
      </c>
      <c r="D11" s="315" t="str">
        <f ca="1">IFERROR(VLOOKUP(B11,пр.взв!$B$7:$H$76,3,0),"")</f>
        <v/>
      </c>
      <c r="E11" s="315" t="str">
        <f ca="1">IFERROR(VLOOKUP(B11,пр.взв!$B$7:$H$76,4,0),"")</f>
        <v/>
      </c>
      <c r="F11" s="315" t="str">
        <f ca="1">IFERROR(VLOOKUP(B11,пр.взв!$B$7:$H$76,5,0),"")</f>
        <v/>
      </c>
      <c r="G11" s="305"/>
      <c r="H11" s="305"/>
      <c r="I11" s="307"/>
      <c r="J11" s="309"/>
      <c r="L11" s="311" t="b">
        <f ca="1">пр.хода!BE14</f>
        <v>0</v>
      </c>
      <c r="M11" s="313" t="str">
        <f ca="1">IFERROR(VLOOKUP(L11,пр.взв!$B$7:$H$76,2,0),"")</f>
        <v/>
      </c>
      <c r="N11" s="315" t="str">
        <f ca="1">IFERROR(VLOOKUP(L11,пр.взв!$B$7:$H$76,3,0),"")</f>
        <v/>
      </c>
      <c r="O11" s="315" t="str">
        <f ca="1">IFERROR(VLOOKUP(L11,пр.взв!$B$7:$H$76,4,0),"")</f>
        <v/>
      </c>
      <c r="P11" s="315" t="str">
        <f ca="1">IFERROR(VLOOKUP(L11,пр.взв!$B$7:$H$76,5,0),"")</f>
        <v/>
      </c>
      <c r="Q11" s="305"/>
      <c r="R11" s="305"/>
      <c r="S11" s="307"/>
      <c r="T11" s="309"/>
    </row>
    <row r="12" spans="1:20" ht="13" thickBot="1">
      <c r="A12" s="273"/>
      <c r="B12" s="340"/>
      <c r="C12" s="314"/>
      <c r="D12" s="316"/>
      <c r="E12" s="316"/>
      <c r="F12" s="316"/>
      <c r="G12" s="317"/>
      <c r="H12" s="317"/>
      <c r="I12" s="318"/>
      <c r="J12" s="319"/>
      <c r="L12" s="320"/>
      <c r="M12" s="314"/>
      <c r="N12" s="316"/>
      <c r="O12" s="316"/>
      <c r="P12" s="316"/>
      <c r="Q12" s="317"/>
      <c r="R12" s="317"/>
      <c r="S12" s="318"/>
      <c r="T12" s="319"/>
    </row>
    <row r="13" spans="1:20">
      <c r="A13" s="273"/>
      <c r="B13" s="296">
        <f ca="1">пр.хода!BB15</f>
        <v>3</v>
      </c>
      <c r="C13" s="321" t="str">
        <f ca="1">IFERROR(VLOOKUP(B13,пр.взв!$B$7:$H$76,2,0),"")</f>
        <v>ВИНИЧЕНКО Екатерина Константиновна</v>
      </c>
      <c r="D13" s="302" t="str">
        <f ca="1">IFERROR(VLOOKUP(B13,пр.взв!$B$7:$H$76,3,0),"")</f>
        <v>16.02.97, КМС</v>
      </c>
      <c r="E13" s="302" t="str">
        <f ca="1">IFERROR(VLOOKUP(B13,пр.взв!$B$7:$H$76,4,0),"")</f>
        <v>УФО</v>
      </c>
      <c r="F13" s="302" t="str">
        <f ca="1">IFERROR(VLOOKUP(B13,пр.взв!$B$7:$H$76,5,0),"")</f>
        <v>Свердловская, Екатеринбург, СШОР ПО САМБО И ДЗЮДО</v>
      </c>
      <c r="G13" s="304"/>
      <c r="H13" s="304"/>
      <c r="I13" s="306"/>
      <c r="J13" s="308"/>
      <c r="L13" s="310" t="b">
        <f ca="1">пр.хода!BD15</f>
        <v>0</v>
      </c>
      <c r="M13" s="321" t="str">
        <f ca="1">IFERROR(VLOOKUP(L13,пр.взв!$B$7:$H$76,2,0),"")</f>
        <v/>
      </c>
      <c r="N13" s="302" t="str">
        <f ca="1">IFERROR(VLOOKUP(L13,пр.взв!$B$7:$H$76,3,0),"")</f>
        <v/>
      </c>
      <c r="O13" s="302" t="str">
        <f ca="1">IFERROR(VLOOKUP(L13,пр.взв!$B$7:$H$76,4,0),"")</f>
        <v/>
      </c>
      <c r="P13" s="302" t="str">
        <f ca="1">IFERROR(VLOOKUP(L13,пр.взв!$B$7:$H$76,5,0),"")</f>
        <v/>
      </c>
      <c r="Q13" s="304"/>
      <c r="R13" s="304"/>
      <c r="S13" s="306"/>
      <c r="T13" s="308"/>
    </row>
    <row r="14" spans="1:20">
      <c r="A14" s="273"/>
      <c r="B14" s="297"/>
      <c r="C14" s="322"/>
      <c r="D14" s="303"/>
      <c r="E14" s="303"/>
      <c r="F14" s="303"/>
      <c r="G14" s="305"/>
      <c r="H14" s="305"/>
      <c r="I14" s="307"/>
      <c r="J14" s="309"/>
      <c r="L14" s="311"/>
      <c r="M14" s="322"/>
      <c r="N14" s="303"/>
      <c r="O14" s="303"/>
      <c r="P14" s="303"/>
      <c r="Q14" s="305"/>
      <c r="R14" s="305"/>
      <c r="S14" s="307"/>
      <c r="T14" s="309"/>
    </row>
    <row r="15" spans="1:20">
      <c r="A15" s="273"/>
      <c r="B15" s="297">
        <f ca="1">пр.хода!BC15</f>
        <v>4</v>
      </c>
      <c r="C15" s="327" t="str">
        <f ca="1">IFERROR(VLOOKUP(B15,пр.взв!$B$7:$H$76,2,0),"")</f>
        <v>ГАСПАРЯН Наре Петросовна</v>
      </c>
      <c r="D15" s="329" t="str">
        <f ca="1">IFERROR(VLOOKUP(B15,пр.взв!$B$7:$H$76,3,0),"")</f>
        <v>26.02.97, КМС</v>
      </c>
      <c r="E15" s="329" t="str">
        <f ca="1">IFERROR(VLOOKUP(B15,пр.взв!$B$7:$H$76,4,0),"")</f>
        <v>УФО</v>
      </c>
      <c r="F15" s="329" t="str">
        <f ca="1">IFERROR(VLOOKUP(B15,пр.взв!$B$7:$H$76,5,0),"")</f>
        <v>Челябинская, Челябинск</v>
      </c>
      <c r="G15" s="305"/>
      <c r="H15" s="305"/>
      <c r="I15" s="307"/>
      <c r="J15" s="309"/>
      <c r="L15" s="311" t="b">
        <f ca="1">пр.хода!BE15</f>
        <v>0</v>
      </c>
      <c r="M15" s="327" t="str">
        <f ca="1">IFERROR(VLOOKUP(L15,пр.взв!$B$7:$H$76,2,0),"")</f>
        <v/>
      </c>
      <c r="N15" s="329" t="str">
        <f ca="1">IFERROR(VLOOKUP(L15,пр.взв!$B$7:$H$76,3,0),"")</f>
        <v/>
      </c>
      <c r="O15" s="329" t="str">
        <f ca="1">IFERROR(VLOOKUP(L15,пр.взв!$B$7:$H$76,4,0),"")</f>
        <v/>
      </c>
      <c r="P15" s="329" t="str">
        <f ca="1">IFERROR(VLOOKUP(L15,пр.взв!$B$7:$H$76,5,0),"")</f>
        <v/>
      </c>
      <c r="Q15" s="305"/>
      <c r="R15" s="305"/>
      <c r="S15" s="307"/>
      <c r="T15" s="309"/>
    </row>
    <row r="16" spans="1:20" ht="13" thickBot="1">
      <c r="A16" s="273"/>
      <c r="B16" s="340"/>
      <c r="C16" s="328"/>
      <c r="D16" s="330"/>
      <c r="E16" s="330"/>
      <c r="F16" s="330"/>
      <c r="G16" s="317"/>
      <c r="H16" s="317"/>
      <c r="I16" s="318"/>
      <c r="J16" s="319"/>
      <c r="L16" s="320"/>
      <c r="M16" s="328"/>
      <c r="N16" s="330"/>
      <c r="O16" s="330"/>
      <c r="P16" s="330"/>
      <c r="Q16" s="317"/>
      <c r="R16" s="317"/>
      <c r="S16" s="318"/>
      <c r="T16" s="319"/>
    </row>
    <row r="17" spans="1:20">
      <c r="A17" s="273"/>
      <c r="B17" s="296" t="str">
        <f ca="1">пр.хода!BB16</f>
        <v xml:space="preserve"> </v>
      </c>
      <c r="C17" s="331" t="str">
        <f ca="1">IFERROR(VLOOKUP(B17,пр.взв!$B$7:$H$76,2,0),"")</f>
        <v/>
      </c>
      <c r="D17" s="333" t="str">
        <f ca="1">IFERROR(VLOOKUP(B17,пр.взв!$B$7:$H$76,3,0),"")</f>
        <v/>
      </c>
      <c r="E17" s="333" t="str">
        <f ca="1">IFERROR(VLOOKUP(B17,пр.взв!$B$7:$H$76,4,0),"")</f>
        <v/>
      </c>
      <c r="F17" s="333" t="str">
        <f ca="1">IFERROR(VLOOKUP(B17,пр.взв!$B$7:$H$76,5,0),"")</f>
        <v/>
      </c>
      <c r="G17" s="304"/>
      <c r="H17" s="304"/>
      <c r="I17" s="306"/>
      <c r="J17" s="308"/>
      <c r="L17" s="310" t="b">
        <f ca="1">пр.хода!BD16</f>
        <v>0</v>
      </c>
      <c r="M17" s="331" t="str">
        <f ca="1">IFERROR(VLOOKUP(L17,пр.взв!$B$7:$H$76,2,0),"")</f>
        <v/>
      </c>
      <c r="N17" s="333" t="str">
        <f ca="1">IFERROR(VLOOKUP(L17,пр.взв!$B$7:$H$76,3,0),"")</f>
        <v/>
      </c>
      <c r="O17" s="333" t="str">
        <f ca="1">IFERROR(VLOOKUP(L17,пр.взв!$B$7:$H$76,4,0),"")</f>
        <v/>
      </c>
      <c r="P17" s="333" t="str">
        <f ca="1">IFERROR(VLOOKUP(L17,пр.взв!$B$7:$H$76,5,0),"")</f>
        <v/>
      </c>
      <c r="Q17" s="304"/>
      <c r="R17" s="304"/>
      <c r="S17" s="306"/>
      <c r="T17" s="308"/>
    </row>
    <row r="18" spans="1:20">
      <c r="A18" s="273"/>
      <c r="B18" s="297"/>
      <c r="C18" s="332"/>
      <c r="D18" s="334"/>
      <c r="E18" s="334"/>
      <c r="F18" s="334"/>
      <c r="G18" s="305"/>
      <c r="H18" s="305"/>
      <c r="I18" s="307"/>
      <c r="J18" s="309"/>
      <c r="L18" s="311"/>
      <c r="M18" s="332"/>
      <c r="N18" s="334"/>
      <c r="O18" s="334"/>
      <c r="P18" s="334"/>
      <c r="Q18" s="305"/>
      <c r="R18" s="305"/>
      <c r="S18" s="307"/>
      <c r="T18" s="309"/>
    </row>
    <row r="19" spans="1:20">
      <c r="A19" s="273"/>
      <c r="B19" s="297" t="str">
        <f ca="1">пр.хода!BC16</f>
        <v xml:space="preserve"> </v>
      </c>
      <c r="C19" s="327" t="str">
        <f ca="1">IFERROR(VLOOKUP(B19,пр.взв!$B$7:$H$76,2,0),"")</f>
        <v/>
      </c>
      <c r="D19" s="329" t="str">
        <f ca="1">IFERROR(VLOOKUP(B19,пр.взв!$B$7:$H$76,3,0),"")</f>
        <v/>
      </c>
      <c r="E19" s="329" t="str">
        <f ca="1">IFERROR(VLOOKUP(B19,пр.взв!$B$7:$H$76,4,0),"")</f>
        <v/>
      </c>
      <c r="F19" s="329" t="str">
        <f ca="1">IFERROR(VLOOKUP(B19,пр.взв!$B$7:$H$76,5,0),"")</f>
        <v/>
      </c>
      <c r="G19" s="305"/>
      <c r="H19" s="305"/>
      <c r="I19" s="307"/>
      <c r="J19" s="309"/>
      <c r="L19" s="311" t="b">
        <f ca="1">пр.хода!BE16</f>
        <v>0</v>
      </c>
      <c r="M19" s="327" t="str">
        <f ca="1">IFERROR(VLOOKUP(L19,пр.взв!$B$7:$H$76,2,0),"")</f>
        <v/>
      </c>
      <c r="N19" s="329" t="str">
        <f ca="1">IFERROR(VLOOKUP(L19,пр.взв!$B$7:$H$76,3,0),"")</f>
        <v/>
      </c>
      <c r="O19" s="329" t="str">
        <f ca="1">IFERROR(VLOOKUP(L19,пр.взв!$B$7:$H$76,4,0),"")</f>
        <v/>
      </c>
      <c r="P19" s="329" t="str">
        <f ca="1">IFERROR(VLOOKUP(L19,пр.взв!$B$7:$H$76,5,0),"")</f>
        <v/>
      </c>
      <c r="Q19" s="305"/>
      <c r="R19" s="305"/>
      <c r="S19" s="307"/>
      <c r="T19" s="309"/>
    </row>
    <row r="20" spans="1:20" ht="13" thickBot="1">
      <c r="A20" s="273"/>
      <c r="B20" s="340"/>
      <c r="C20" s="328"/>
      <c r="D20" s="330"/>
      <c r="E20" s="330"/>
      <c r="F20" s="330"/>
      <c r="G20" s="317"/>
      <c r="H20" s="317"/>
      <c r="I20" s="318"/>
      <c r="J20" s="319"/>
      <c r="L20" s="320"/>
      <c r="M20" s="328"/>
      <c r="N20" s="330"/>
      <c r="O20" s="330"/>
      <c r="P20" s="330"/>
      <c r="Q20" s="317"/>
      <c r="R20" s="317"/>
      <c r="S20" s="318"/>
      <c r="T20" s="319"/>
    </row>
    <row r="21" spans="1:20">
      <c r="A21" s="273"/>
      <c r="B21" s="296" t="str">
        <f ca="1">пр.хода!BB17</f>
        <v xml:space="preserve"> </v>
      </c>
      <c r="C21" s="331" t="str">
        <f ca="1">IFERROR(VLOOKUP(B21,пр.взв!$B$7:$H$76,2,0),"")</f>
        <v/>
      </c>
      <c r="D21" s="333" t="str">
        <f ca="1">IFERROR(VLOOKUP(B21,пр.взв!$B$7:$H$76,3,0),"")</f>
        <v/>
      </c>
      <c r="E21" s="333" t="str">
        <f ca="1">IFERROR(VLOOKUP(B21,пр.взв!$B$7:$H$76,4,0),"")</f>
        <v/>
      </c>
      <c r="F21" s="333" t="str">
        <f ca="1">IFERROR(VLOOKUP(B21,пр.взв!$B$7:$H$76,5,0),"")</f>
        <v/>
      </c>
      <c r="G21" s="335"/>
      <c r="H21" s="304"/>
      <c r="I21" s="306"/>
      <c r="J21" s="308"/>
      <c r="L21" s="310" t="b">
        <f ca="1">пр.хода!BD17</f>
        <v>0</v>
      </c>
      <c r="M21" s="331" t="str">
        <f ca="1">IFERROR(VLOOKUP(L21,пр.взв!$B$7:$H$76,2,0),"")</f>
        <v/>
      </c>
      <c r="N21" s="333" t="str">
        <f ca="1">IFERROR(VLOOKUP(L21,пр.взв!$B$7:$H$76,3,0),"")</f>
        <v/>
      </c>
      <c r="O21" s="333" t="str">
        <f ca="1">IFERROR(VLOOKUP(L21,пр.взв!$B$7:$H$76,4,0),"")</f>
        <v/>
      </c>
      <c r="P21" s="333" t="str">
        <f ca="1">IFERROR(VLOOKUP(L21,пр.взв!$B$7:$H$76,5,0),"")</f>
        <v/>
      </c>
      <c r="Q21" s="304"/>
      <c r="R21" s="304"/>
      <c r="S21" s="306"/>
      <c r="T21" s="308"/>
    </row>
    <row r="22" spans="1:20">
      <c r="A22" s="273"/>
      <c r="B22" s="297"/>
      <c r="C22" s="332"/>
      <c r="D22" s="334"/>
      <c r="E22" s="334"/>
      <c r="F22" s="334"/>
      <c r="G22" s="336"/>
      <c r="H22" s="305"/>
      <c r="I22" s="307"/>
      <c r="J22" s="309"/>
      <c r="L22" s="311"/>
      <c r="M22" s="332"/>
      <c r="N22" s="334"/>
      <c r="O22" s="334"/>
      <c r="P22" s="334"/>
      <c r="Q22" s="305"/>
      <c r="R22" s="305"/>
      <c r="S22" s="307"/>
      <c r="T22" s="309"/>
    </row>
    <row r="23" spans="1:20">
      <c r="A23" s="273"/>
      <c r="B23" s="297" t="str">
        <f ca="1">пр.хода!BC17</f>
        <v xml:space="preserve"> </v>
      </c>
      <c r="C23" s="327" t="str">
        <f ca="1">IFERROR(VLOOKUP(B23,пр.взв!$B$7:$H$76,2,0),"")</f>
        <v/>
      </c>
      <c r="D23" s="329" t="str">
        <f ca="1">IFERROR(VLOOKUP(B23,пр.взв!$B$7:$H$76,3,0),"")</f>
        <v/>
      </c>
      <c r="E23" s="329" t="str">
        <f ca="1">IFERROR(VLOOKUP(B23,пр.взв!$B$7:$H$76,4,0),"")</f>
        <v/>
      </c>
      <c r="F23" s="329" t="str">
        <f ca="1">IFERROR(VLOOKUP(B23,пр.взв!$B$7:$H$76,5,0),"")</f>
        <v/>
      </c>
      <c r="G23" s="305"/>
      <c r="H23" s="305"/>
      <c r="I23" s="307"/>
      <c r="J23" s="309"/>
      <c r="L23" s="311" t="b">
        <f ca="1">пр.хода!BE17</f>
        <v>0</v>
      </c>
      <c r="M23" s="327" t="str">
        <f ca="1">IFERROR(VLOOKUP(L23,пр.взв!$B$7:$H$76,2,0),"")</f>
        <v/>
      </c>
      <c r="N23" s="329" t="str">
        <f ca="1">IFERROR(VLOOKUP(L23,пр.взв!$B$7:$H$76,3,0),"")</f>
        <v/>
      </c>
      <c r="O23" s="329" t="str">
        <f ca="1">IFERROR(VLOOKUP(L23,пр.взв!$B$7:$H$76,4,0),"")</f>
        <v/>
      </c>
      <c r="P23" s="329" t="str">
        <f ca="1">IFERROR(VLOOKUP(L23,пр.взв!$B$7:$H$76,5,0),"")</f>
        <v/>
      </c>
      <c r="Q23" s="305"/>
      <c r="R23" s="305"/>
      <c r="S23" s="307"/>
      <c r="T23" s="309"/>
    </row>
    <row r="24" spans="1:20" ht="13" thickBot="1">
      <c r="A24" s="273"/>
      <c r="B24" s="340"/>
      <c r="C24" s="328"/>
      <c r="D24" s="330"/>
      <c r="E24" s="330"/>
      <c r="F24" s="330"/>
      <c r="G24" s="317"/>
      <c r="H24" s="317"/>
      <c r="I24" s="318"/>
      <c r="J24" s="319"/>
      <c r="L24" s="320"/>
      <c r="M24" s="328"/>
      <c r="N24" s="330"/>
      <c r="O24" s="330"/>
      <c r="P24" s="330"/>
      <c r="Q24" s="317"/>
      <c r="R24" s="317"/>
      <c r="S24" s="318"/>
      <c r="T24" s="319"/>
    </row>
    <row r="25" spans="1:20" ht="12.75" customHeight="1">
      <c r="A25" s="273"/>
      <c r="B25" s="296" t="str">
        <f ca="1">пр.хода!BB18</f>
        <v xml:space="preserve"> </v>
      </c>
      <c r="C25" s="321" t="str">
        <f ca="1">IFERROR(VLOOKUP(B25,пр.взв!$B$7:$H$76,2,0),"")</f>
        <v/>
      </c>
      <c r="D25" s="302" t="str">
        <f ca="1">IFERROR(VLOOKUP(B25,пр.взв!$B$7:$H$76,3,0),"")</f>
        <v/>
      </c>
      <c r="E25" s="302" t="str">
        <f ca="1">IFERROR(VLOOKUP(B25,пр.взв!$B$7:$H$76,4,0),"")</f>
        <v/>
      </c>
      <c r="F25" s="302" t="str">
        <f ca="1">IFERROR(VLOOKUP(B25,пр.взв!$B$7:$H$76,5,0),"")</f>
        <v/>
      </c>
      <c r="G25" s="304"/>
      <c r="H25" s="304"/>
      <c r="I25" s="306"/>
      <c r="J25" s="308"/>
      <c r="L25" s="310" t="b">
        <f ca="1">пр.хода!BD18</f>
        <v>0</v>
      </c>
      <c r="M25" s="321" t="str">
        <f ca="1">IFERROR(VLOOKUP(L25,пр.взв!$B$7:$H$76,2,0),"")</f>
        <v/>
      </c>
      <c r="N25" s="302" t="str">
        <f ca="1">IFERROR(VLOOKUP(L25,пр.взв!$B$7:$H$76,3,0),"")</f>
        <v/>
      </c>
      <c r="O25" s="302" t="str">
        <f ca="1">IFERROR(VLOOKUP(L25,пр.взв!$B$7:$H$76,4,0),"")</f>
        <v/>
      </c>
      <c r="P25" s="302" t="str">
        <f ca="1">IFERROR(VLOOKUP(L25,пр.взв!$B$7:$H$76,5,0),"")</f>
        <v/>
      </c>
      <c r="Q25" s="304"/>
      <c r="R25" s="304"/>
      <c r="S25" s="306"/>
      <c r="T25" s="308"/>
    </row>
    <row r="26" spans="1:20">
      <c r="A26" s="273"/>
      <c r="B26" s="297"/>
      <c r="C26" s="322"/>
      <c r="D26" s="303"/>
      <c r="E26" s="303"/>
      <c r="F26" s="303"/>
      <c r="G26" s="305"/>
      <c r="H26" s="305"/>
      <c r="I26" s="307"/>
      <c r="J26" s="309"/>
      <c r="L26" s="311"/>
      <c r="M26" s="322"/>
      <c r="N26" s="303"/>
      <c r="O26" s="303"/>
      <c r="P26" s="303"/>
      <c r="Q26" s="305"/>
      <c r="R26" s="305"/>
      <c r="S26" s="307"/>
      <c r="T26" s="309"/>
    </row>
    <row r="27" spans="1:20">
      <c r="A27" s="273"/>
      <c r="B27" s="297" t="str">
        <f ca="1">пр.хода!BC18</f>
        <v xml:space="preserve"> </v>
      </c>
      <c r="C27" s="313" t="str">
        <f ca="1">IFERROR(VLOOKUP(B27,пр.взв!$B$7:$H$76,2,0),"")</f>
        <v/>
      </c>
      <c r="D27" s="315" t="str">
        <f ca="1">IFERROR(VLOOKUP(B27,пр.взв!$B$7:$H$76,3,0),"")</f>
        <v/>
      </c>
      <c r="E27" s="315" t="str">
        <f ca="1">IFERROR(VLOOKUP(B27,пр.взв!$B$7:$H$76,4,0),"")</f>
        <v/>
      </c>
      <c r="F27" s="315" t="str">
        <f ca="1">IFERROR(VLOOKUP(B27,пр.взв!$B$7:$H$76,5,0),"")</f>
        <v/>
      </c>
      <c r="G27" s="305"/>
      <c r="H27" s="305"/>
      <c r="I27" s="307"/>
      <c r="J27" s="309"/>
      <c r="L27" s="311" t="b">
        <f ca="1">пр.хода!BE18</f>
        <v>0</v>
      </c>
      <c r="M27" s="313" t="str">
        <f ca="1">IFERROR(VLOOKUP(L27,пр.взв!$B$7:$H$76,2,0),"")</f>
        <v/>
      </c>
      <c r="N27" s="315" t="str">
        <f ca="1">IFERROR(VLOOKUP(L27,пр.взв!$B$7:$H$76,3,0),"")</f>
        <v/>
      </c>
      <c r="O27" s="315" t="str">
        <f ca="1">IFERROR(VLOOKUP(L27,пр.взв!$B$7:$H$76,4,0),"")</f>
        <v/>
      </c>
      <c r="P27" s="315" t="str">
        <f ca="1">IFERROR(VLOOKUP(L27,пр.взв!$B$7:$H$76,5,0),"")</f>
        <v/>
      </c>
      <c r="Q27" s="305"/>
      <c r="R27" s="305"/>
      <c r="S27" s="307"/>
      <c r="T27" s="309"/>
    </row>
    <row r="28" spans="1:20" ht="13" thickBot="1">
      <c r="A28" s="273"/>
      <c r="B28" s="340"/>
      <c r="C28" s="314"/>
      <c r="D28" s="316"/>
      <c r="E28" s="316"/>
      <c r="F28" s="316"/>
      <c r="G28" s="317"/>
      <c r="H28" s="317"/>
      <c r="I28" s="318"/>
      <c r="J28" s="319"/>
      <c r="L28" s="320"/>
      <c r="M28" s="314"/>
      <c r="N28" s="316"/>
      <c r="O28" s="316"/>
      <c r="P28" s="316"/>
      <c r="Q28" s="317"/>
      <c r="R28" s="317"/>
      <c r="S28" s="318"/>
      <c r="T28" s="319"/>
    </row>
    <row r="29" spans="1:20">
      <c r="A29" s="273"/>
      <c r="B29" s="296" t="str">
        <f ca="1">пр.хода!BB19</f>
        <v xml:space="preserve"> </v>
      </c>
      <c r="C29" s="321" t="str">
        <f ca="1">IFERROR(VLOOKUP(B29,пр.взв!$B$7:$H$76,2,0),"")</f>
        <v/>
      </c>
      <c r="D29" s="302" t="str">
        <f ca="1">IFERROR(VLOOKUP(B29,пр.взв!$B$7:$H$76,3,0),"")</f>
        <v/>
      </c>
      <c r="E29" s="302" t="str">
        <f ca="1">IFERROR(VLOOKUP(B29,пр.взв!$B$7:$H$76,4,0),"")</f>
        <v/>
      </c>
      <c r="F29" s="302" t="str">
        <f ca="1">IFERROR(VLOOKUP(B29,пр.взв!$B$7:$H$76,5,0),"")</f>
        <v/>
      </c>
      <c r="G29" s="304"/>
      <c r="H29" s="304"/>
      <c r="I29" s="306"/>
      <c r="J29" s="308"/>
      <c r="L29" s="310" t="b">
        <f ca="1">пр.хода!BD19</f>
        <v>0</v>
      </c>
      <c r="M29" s="321" t="str">
        <f ca="1">IFERROR(VLOOKUP(L29,пр.взв!$B$7:$H$76,2,0),"")</f>
        <v/>
      </c>
      <c r="N29" s="302" t="str">
        <f ca="1">IFERROR(VLOOKUP(L29,пр.взв!$B$7:$H$76,3,0),"")</f>
        <v/>
      </c>
      <c r="O29" s="302" t="str">
        <f ca="1">IFERROR(VLOOKUP(L29,пр.взв!$B$7:$H$76,4,0),"")</f>
        <v/>
      </c>
      <c r="P29" s="302" t="str">
        <f ca="1">IFERROR(VLOOKUP(L29,пр.взв!$B$7:$H$76,5,0),"")</f>
        <v/>
      </c>
      <c r="Q29" s="304"/>
      <c r="R29" s="304"/>
      <c r="S29" s="306"/>
      <c r="T29" s="308"/>
    </row>
    <row r="30" spans="1:20">
      <c r="A30" s="273"/>
      <c r="B30" s="297"/>
      <c r="C30" s="322"/>
      <c r="D30" s="303"/>
      <c r="E30" s="303"/>
      <c r="F30" s="303"/>
      <c r="G30" s="305"/>
      <c r="H30" s="305"/>
      <c r="I30" s="307"/>
      <c r="J30" s="309"/>
      <c r="L30" s="311"/>
      <c r="M30" s="322"/>
      <c r="N30" s="303"/>
      <c r="O30" s="303"/>
      <c r="P30" s="303"/>
      <c r="Q30" s="305"/>
      <c r="R30" s="305"/>
      <c r="S30" s="307"/>
      <c r="T30" s="309"/>
    </row>
    <row r="31" spans="1:20">
      <c r="A31" s="273"/>
      <c r="B31" s="297" t="str">
        <f ca="1">пр.хода!BC19</f>
        <v xml:space="preserve"> </v>
      </c>
      <c r="C31" s="313" t="str">
        <f ca="1">IFERROR(VLOOKUP(B31,пр.взв!$B$7:$H$76,2,0),"")</f>
        <v/>
      </c>
      <c r="D31" s="315" t="str">
        <f ca="1">IFERROR(VLOOKUP(B31,пр.взв!$B$7:$H$76,3,0),"")</f>
        <v/>
      </c>
      <c r="E31" s="315" t="str">
        <f ca="1">IFERROR(VLOOKUP(B31,пр.взв!$B$7:$H$76,4,0),"")</f>
        <v/>
      </c>
      <c r="F31" s="315" t="str">
        <f ca="1">IFERROR(VLOOKUP(B31,пр.взв!$B$7:$H$76,5,0),"")</f>
        <v/>
      </c>
      <c r="G31" s="305"/>
      <c r="H31" s="305"/>
      <c r="I31" s="307"/>
      <c r="J31" s="309"/>
      <c r="L31" s="311" t="b">
        <f ca="1">пр.хода!BE19</f>
        <v>0</v>
      </c>
      <c r="M31" s="313" t="str">
        <f ca="1">IFERROR(VLOOKUP(L31,пр.взв!$B$7:$H$76,2,0),"")</f>
        <v/>
      </c>
      <c r="N31" s="315" t="str">
        <f ca="1">IFERROR(VLOOKUP(L31,пр.взв!$B$7:$H$76,3,0),"")</f>
        <v/>
      </c>
      <c r="O31" s="315" t="str">
        <f ca="1">IFERROR(VLOOKUP(L31,пр.взв!$B$7:$H$76,4,0),"")</f>
        <v/>
      </c>
      <c r="P31" s="315" t="str">
        <f ca="1">IFERROR(VLOOKUP(L31,пр.взв!$B$7:$H$76,5,0),"")</f>
        <v/>
      </c>
      <c r="Q31" s="305"/>
      <c r="R31" s="305"/>
      <c r="S31" s="307"/>
      <c r="T31" s="309"/>
    </row>
    <row r="32" spans="1:20" ht="13" thickBot="1">
      <c r="A32" s="273"/>
      <c r="B32" s="340"/>
      <c r="C32" s="314"/>
      <c r="D32" s="316"/>
      <c r="E32" s="316"/>
      <c r="F32" s="316"/>
      <c r="G32" s="317"/>
      <c r="H32" s="317"/>
      <c r="I32" s="318"/>
      <c r="J32" s="319"/>
      <c r="L32" s="320"/>
      <c r="M32" s="314"/>
      <c r="N32" s="316"/>
      <c r="O32" s="316"/>
      <c r="P32" s="316"/>
      <c r="Q32" s="317"/>
      <c r="R32" s="317"/>
      <c r="S32" s="318"/>
      <c r="T32" s="319"/>
    </row>
    <row r="33" spans="1:20">
      <c r="A33" s="273"/>
      <c r="B33" s="296" t="str">
        <f ca="1">пр.хода!BB20</f>
        <v xml:space="preserve"> </v>
      </c>
      <c r="C33" s="321" t="str">
        <f ca="1">IFERROR(VLOOKUP(B33,пр.взв!$B$7:$H$76,2,0),"")</f>
        <v/>
      </c>
      <c r="D33" s="302" t="str">
        <f ca="1">IFERROR(VLOOKUP(B33,пр.взв!$B$7:$H$76,3,0),"")</f>
        <v/>
      </c>
      <c r="E33" s="302" t="str">
        <f ca="1">IFERROR(VLOOKUP(B33,пр.взв!$B$7:$H$76,4,0),"")</f>
        <v/>
      </c>
      <c r="F33" s="302" t="str">
        <f ca="1">IFERROR(VLOOKUP(B33,пр.взв!$B$7:$H$76,5,0),"")</f>
        <v/>
      </c>
      <c r="G33" s="304"/>
      <c r="H33" s="304"/>
      <c r="I33" s="306"/>
      <c r="J33" s="308"/>
      <c r="L33" s="310">
        <f>пр.хода!BD20</f>
        <v>0</v>
      </c>
      <c r="M33" s="321" t="str">
        <f>IFERROR(VLOOKUP(L33,пр.взв!$B$7:$H$76,2,0),"")</f>
        <v/>
      </c>
      <c r="N33" s="302" t="str">
        <f>IFERROR(VLOOKUP(L33,пр.взв!$B$7:$H$76,3,0),"")</f>
        <v/>
      </c>
      <c r="O33" s="302" t="str">
        <f>IFERROR(VLOOKUP(L33,пр.взв!$B$7:$H$76,4,0),"")</f>
        <v/>
      </c>
      <c r="P33" s="302" t="str">
        <f>IFERROR(VLOOKUP(L33,пр.взв!$B$7:$H$76,5,0),"")</f>
        <v/>
      </c>
      <c r="Q33" s="304"/>
      <c r="R33" s="304"/>
      <c r="S33" s="306"/>
      <c r="T33" s="308"/>
    </row>
    <row r="34" spans="1:20">
      <c r="A34" s="273"/>
      <c r="B34" s="297"/>
      <c r="C34" s="322"/>
      <c r="D34" s="303"/>
      <c r="E34" s="303"/>
      <c r="F34" s="303"/>
      <c r="G34" s="305"/>
      <c r="H34" s="305"/>
      <c r="I34" s="307"/>
      <c r="J34" s="309"/>
      <c r="L34" s="311"/>
      <c r="M34" s="322"/>
      <c r="N34" s="303"/>
      <c r="O34" s="303"/>
      <c r="P34" s="303"/>
      <c r="Q34" s="305"/>
      <c r="R34" s="305"/>
      <c r="S34" s="307"/>
      <c r="T34" s="309"/>
    </row>
    <row r="35" spans="1:20">
      <c r="A35" s="273"/>
      <c r="B35" s="297" t="str">
        <f ca="1">пр.хода!BC20</f>
        <v xml:space="preserve"> </v>
      </c>
      <c r="C35" s="313" t="str">
        <f ca="1">IFERROR(VLOOKUP(B35,пр.взв!$B$7:$H$76,2,0),"")</f>
        <v/>
      </c>
      <c r="D35" s="315" t="str">
        <f ca="1">IFERROR(VLOOKUP(B35,пр.взв!$B$7:$H$76,3,0),"")</f>
        <v/>
      </c>
      <c r="E35" s="315" t="str">
        <f ca="1">IFERROR(VLOOKUP(B35,пр.взв!$B$7:$H$76,4,0),"")</f>
        <v/>
      </c>
      <c r="F35" s="315" t="str">
        <f ca="1">IFERROR(VLOOKUP(B35,пр.взв!$B$7:$H$76,5,0),"")</f>
        <v/>
      </c>
      <c r="G35" s="305"/>
      <c r="H35" s="305"/>
      <c r="I35" s="307"/>
      <c r="J35" s="309"/>
      <c r="L35" s="311">
        <f>пр.хода!BE20</f>
        <v>0</v>
      </c>
      <c r="M35" s="313" t="str">
        <f>IFERROR(VLOOKUP(L35,пр.взв!$B$7:$H$76,2,0),"")</f>
        <v/>
      </c>
      <c r="N35" s="315" t="str">
        <f>IFERROR(VLOOKUP(L35,пр.взв!$B$7:$H$76,3,0),"")</f>
        <v/>
      </c>
      <c r="O35" s="315" t="str">
        <f>IFERROR(VLOOKUP(L35,пр.взв!$B$7:$H$76,4,0),"")</f>
        <v/>
      </c>
      <c r="P35" s="315" t="str">
        <f>IFERROR(VLOOKUP(L35,пр.взв!$B$7:$H$76,5,0),"")</f>
        <v/>
      </c>
      <c r="Q35" s="305"/>
      <c r="R35" s="305"/>
      <c r="S35" s="307"/>
      <c r="T35" s="309"/>
    </row>
    <row r="36" spans="1:20" ht="13" thickBot="1">
      <c r="A36" s="273"/>
      <c r="B36" s="340"/>
      <c r="C36" s="314"/>
      <c r="D36" s="316"/>
      <c r="E36" s="316"/>
      <c r="F36" s="316"/>
      <c r="G36" s="317"/>
      <c r="H36" s="317"/>
      <c r="I36" s="318"/>
      <c r="J36" s="319"/>
      <c r="L36" s="320"/>
      <c r="M36" s="314"/>
      <c r="N36" s="316"/>
      <c r="O36" s="316"/>
      <c r="P36" s="316"/>
      <c r="Q36" s="317"/>
      <c r="R36" s="317"/>
      <c r="S36" s="318"/>
      <c r="T36" s="319"/>
    </row>
    <row r="37" spans="1:20">
      <c r="A37" s="273"/>
      <c r="B37" s="296"/>
      <c r="C37" s="321" t="str">
        <f>IFERROR(VLOOKUP(B37,пр.взв!$B$7:$H$76,2,0),"")</f>
        <v/>
      </c>
      <c r="D37" s="302" t="str">
        <f>IFERROR(VLOOKUP(B37,пр.взв!$B$7:$H$76,3,0),"")</f>
        <v/>
      </c>
      <c r="E37" s="302" t="str">
        <f>IFERROR(VLOOKUP(B37,пр.взв!$B$7:$H$76,4,0),"")</f>
        <v/>
      </c>
      <c r="F37" s="302" t="str">
        <f>IFERROR(VLOOKUP(B37,пр.взв!$B$7:$H$76,5,0),"")</f>
        <v/>
      </c>
      <c r="G37" s="304"/>
      <c r="H37" s="304"/>
      <c r="I37" s="306"/>
      <c r="J37" s="308"/>
      <c r="L37" s="310"/>
      <c r="M37" s="321" t="str">
        <f>IFERROR(VLOOKUP(L37,пр.взв!$B$7:$H$76,2,0),"")</f>
        <v/>
      </c>
      <c r="N37" s="302" t="str">
        <f>IFERROR(VLOOKUP(L37,пр.взв!$B$7:$H$76,3,0),"")</f>
        <v/>
      </c>
      <c r="O37" s="302" t="str">
        <f>IFERROR(VLOOKUP(L37,пр.взв!$B$7:$H$76,4,0),"")</f>
        <v/>
      </c>
      <c r="P37" s="302" t="str">
        <f>IFERROR(VLOOKUP(L37,пр.взв!$B$7:$H$76,5,0),"")</f>
        <v/>
      </c>
      <c r="Q37" s="304"/>
      <c r="R37" s="304"/>
      <c r="S37" s="306"/>
      <c r="T37" s="308"/>
    </row>
    <row r="38" spans="1:20">
      <c r="A38" s="273"/>
      <c r="B38" s="297"/>
      <c r="C38" s="322"/>
      <c r="D38" s="303"/>
      <c r="E38" s="303"/>
      <c r="F38" s="303"/>
      <c r="G38" s="305"/>
      <c r="H38" s="305"/>
      <c r="I38" s="307"/>
      <c r="J38" s="309"/>
      <c r="L38" s="311"/>
      <c r="M38" s="322"/>
      <c r="N38" s="303"/>
      <c r="O38" s="303"/>
      <c r="P38" s="303"/>
      <c r="Q38" s="305"/>
      <c r="R38" s="305"/>
      <c r="S38" s="307"/>
      <c r="T38" s="309"/>
    </row>
    <row r="39" spans="1:20">
      <c r="A39" s="273"/>
      <c r="B39" s="297"/>
      <c r="C39" s="313" t="str">
        <f>IFERROR(VLOOKUP(B39,пр.взв!$B$7:$H$76,2,0),"")</f>
        <v/>
      </c>
      <c r="D39" s="315" t="str">
        <f>IFERROR(VLOOKUP(B39,пр.взв!$B$7:$H$76,3,0),"")</f>
        <v/>
      </c>
      <c r="E39" s="315" t="str">
        <f>IFERROR(VLOOKUP(B39,пр.взв!$B$7:$H$76,4,0),"")</f>
        <v/>
      </c>
      <c r="F39" s="315" t="str">
        <f>IFERROR(VLOOKUP(B39,пр.взв!$B$7:$H$76,5,0),"")</f>
        <v/>
      </c>
      <c r="G39" s="305"/>
      <c r="H39" s="305"/>
      <c r="I39" s="307"/>
      <c r="J39" s="309"/>
      <c r="L39" s="311"/>
      <c r="M39" s="313" t="str">
        <f>IFERROR(VLOOKUP(L39,пр.взв!$B$7:$H$76,2,0),"")</f>
        <v/>
      </c>
      <c r="N39" s="315" t="str">
        <f>IFERROR(VLOOKUP(L39,пр.взв!$B$7:$H$76,3,0),"")</f>
        <v/>
      </c>
      <c r="O39" s="315" t="str">
        <f>IFERROR(VLOOKUP(L39,пр.взв!$B$7:$H$76,4,0),"")</f>
        <v/>
      </c>
      <c r="P39" s="315" t="str">
        <f>IFERROR(VLOOKUP(L39,пр.взв!$B$7:$H$76,5,0),"")</f>
        <v/>
      </c>
      <c r="Q39" s="305"/>
      <c r="R39" s="305"/>
      <c r="S39" s="307"/>
      <c r="T39" s="309"/>
    </row>
    <row r="40" spans="1:20" ht="13" thickBot="1">
      <c r="A40" s="273"/>
      <c r="B40" s="340"/>
      <c r="C40" s="314"/>
      <c r="D40" s="316"/>
      <c r="E40" s="316"/>
      <c r="F40" s="316"/>
      <c r="G40" s="317"/>
      <c r="H40" s="317"/>
      <c r="I40" s="318"/>
      <c r="J40" s="319"/>
      <c r="L40" s="320"/>
      <c r="M40" s="314"/>
      <c r="N40" s="316"/>
      <c r="O40" s="316"/>
      <c r="P40" s="316"/>
      <c r="Q40" s="317"/>
      <c r="R40" s="317"/>
      <c r="S40" s="318"/>
      <c r="T40" s="319"/>
    </row>
    <row r="41" spans="1:20">
      <c r="A41" s="273"/>
      <c r="B41" s="296"/>
      <c r="C41" s="321" t="str">
        <f>IFERROR(VLOOKUP(B41,пр.взв!$B$7:$H$76,2,0),"")</f>
        <v/>
      </c>
      <c r="D41" s="302" t="str">
        <f>IFERROR(VLOOKUP(B41,пр.взв!$B$7:$H$76,3,0),"")</f>
        <v/>
      </c>
      <c r="E41" s="302" t="str">
        <f>IFERROR(VLOOKUP(B41,пр.взв!$B$7:$H$76,4,0),"")</f>
        <v/>
      </c>
      <c r="F41" s="302" t="str">
        <f>IFERROR(VLOOKUP(B41,пр.взв!$B$7:$H$76,5,0),"")</f>
        <v/>
      </c>
      <c r="G41" s="304"/>
      <c r="H41" s="304"/>
      <c r="I41" s="306"/>
      <c r="J41" s="308"/>
      <c r="L41" s="310"/>
      <c r="M41" s="321" t="str">
        <f>IFERROR(VLOOKUP(L41,пр.взв!$B$7:$H$76,2,0),"")</f>
        <v/>
      </c>
      <c r="N41" s="302" t="str">
        <f>IFERROR(VLOOKUP(L41,пр.взв!$B$7:$H$76,3,0),"")</f>
        <v/>
      </c>
      <c r="O41" s="302" t="str">
        <f>IFERROR(VLOOKUP(L41,пр.взв!$B$7:$H$76,4,0),"")</f>
        <v/>
      </c>
      <c r="P41" s="302" t="str">
        <f>IFERROR(VLOOKUP(L41,пр.взв!$B$7:$H$76,5,0),"")</f>
        <v/>
      </c>
      <c r="Q41" s="304"/>
      <c r="R41" s="304"/>
      <c r="S41" s="306"/>
      <c r="T41" s="308"/>
    </row>
    <row r="42" spans="1:20">
      <c r="A42" s="273"/>
      <c r="B42" s="297"/>
      <c r="C42" s="322"/>
      <c r="D42" s="303"/>
      <c r="E42" s="303"/>
      <c r="F42" s="303"/>
      <c r="G42" s="305"/>
      <c r="H42" s="305"/>
      <c r="I42" s="307"/>
      <c r="J42" s="309"/>
      <c r="L42" s="311"/>
      <c r="M42" s="322"/>
      <c r="N42" s="303"/>
      <c r="O42" s="303"/>
      <c r="P42" s="303"/>
      <c r="Q42" s="305"/>
      <c r="R42" s="305"/>
      <c r="S42" s="307"/>
      <c r="T42" s="309"/>
    </row>
    <row r="43" spans="1:20">
      <c r="A43" s="273"/>
      <c r="B43" s="297"/>
      <c r="C43" s="313" t="str">
        <f>IFERROR(VLOOKUP(B43,пр.взв!$B$7:$H$76,2,0),"")</f>
        <v/>
      </c>
      <c r="D43" s="315" t="str">
        <f>IFERROR(VLOOKUP(B43,пр.взв!$B$7:$H$76,3,0),"")</f>
        <v/>
      </c>
      <c r="E43" s="315" t="str">
        <f>IFERROR(VLOOKUP(B43,пр.взв!$B$7:$H$76,4,0),"")</f>
        <v/>
      </c>
      <c r="F43" s="315" t="str">
        <f>IFERROR(VLOOKUP(B43,пр.взв!$B$7:$H$76,5,0),"")</f>
        <v/>
      </c>
      <c r="G43" s="305"/>
      <c r="H43" s="305"/>
      <c r="I43" s="307"/>
      <c r="J43" s="309"/>
      <c r="L43" s="311"/>
      <c r="M43" s="313" t="str">
        <f>IFERROR(VLOOKUP(L43,пр.взв!$B$7:$H$76,2,0),"")</f>
        <v/>
      </c>
      <c r="N43" s="315" t="str">
        <f>IFERROR(VLOOKUP(L43,пр.взв!$B$7:$H$76,3,0),"")</f>
        <v/>
      </c>
      <c r="O43" s="315" t="str">
        <f>IFERROR(VLOOKUP(L43,пр.взв!$B$7:$H$76,4,0),"")</f>
        <v/>
      </c>
      <c r="P43" s="315" t="str">
        <f>IFERROR(VLOOKUP(L43,пр.взв!$B$7:$H$76,5,0),"")</f>
        <v/>
      </c>
      <c r="Q43" s="305"/>
      <c r="R43" s="305"/>
      <c r="S43" s="307"/>
      <c r="T43" s="309"/>
    </row>
    <row r="44" spans="1:20" ht="13" thickBot="1">
      <c r="A44" s="273"/>
      <c r="B44" s="340"/>
      <c r="C44" s="314"/>
      <c r="D44" s="316"/>
      <c r="E44" s="316"/>
      <c r="F44" s="316"/>
      <c r="G44" s="317"/>
      <c r="H44" s="317"/>
      <c r="I44" s="318"/>
      <c r="J44" s="319"/>
      <c r="L44" s="320"/>
      <c r="M44" s="314"/>
      <c r="N44" s="316"/>
      <c r="O44" s="316"/>
      <c r="P44" s="316"/>
      <c r="Q44" s="317"/>
      <c r="R44" s="317"/>
      <c r="S44" s="318"/>
      <c r="T44" s="319"/>
    </row>
    <row r="45" spans="1:20">
      <c r="A45" s="273"/>
      <c r="B45" s="296"/>
      <c r="C45" s="321" t="str">
        <f>IFERROR(VLOOKUP(B45,пр.взв!$B$7:$H$76,2,0),"")</f>
        <v/>
      </c>
      <c r="D45" s="302" t="str">
        <f>IFERROR(VLOOKUP(B45,пр.взв!$B$7:$H$76,3,0),"")</f>
        <v/>
      </c>
      <c r="E45" s="302" t="str">
        <f>IFERROR(VLOOKUP(B45,пр.взв!$B$7:$H$76,4,0),"")</f>
        <v/>
      </c>
      <c r="F45" s="302" t="str">
        <f>IFERROR(VLOOKUP(B45,пр.взв!$B$7:$H$76,5,0),"")</f>
        <v/>
      </c>
      <c r="G45" s="304"/>
      <c r="H45" s="304"/>
      <c r="I45" s="306"/>
      <c r="J45" s="308"/>
      <c r="L45" s="310"/>
      <c r="M45" s="321" t="str">
        <f>IFERROR(VLOOKUP(L45,пр.взв!$B$7:$H$76,2,0),"")</f>
        <v/>
      </c>
      <c r="N45" s="302" t="str">
        <f>IFERROR(VLOOKUP(L45,пр.взв!$B$7:$H$76,3,0),"")</f>
        <v/>
      </c>
      <c r="O45" s="302" t="str">
        <f>IFERROR(VLOOKUP(L45,пр.взв!$B$7:$H$76,4,0),"")</f>
        <v/>
      </c>
      <c r="P45" s="302" t="str">
        <f>IFERROR(VLOOKUP(L45,пр.взв!$B$7:$H$76,5,0),"")</f>
        <v/>
      </c>
      <c r="Q45" s="304"/>
      <c r="R45" s="304"/>
      <c r="S45" s="306"/>
      <c r="T45" s="308"/>
    </row>
    <row r="46" spans="1:20">
      <c r="A46" s="273"/>
      <c r="B46" s="297"/>
      <c r="C46" s="322"/>
      <c r="D46" s="303"/>
      <c r="E46" s="303"/>
      <c r="F46" s="303"/>
      <c r="G46" s="305"/>
      <c r="H46" s="305"/>
      <c r="I46" s="307"/>
      <c r="J46" s="309"/>
      <c r="L46" s="311"/>
      <c r="M46" s="322"/>
      <c r="N46" s="303"/>
      <c r="O46" s="303"/>
      <c r="P46" s="303"/>
      <c r="Q46" s="305"/>
      <c r="R46" s="305"/>
      <c r="S46" s="307"/>
      <c r="T46" s="309"/>
    </row>
    <row r="47" spans="1:20">
      <c r="A47" s="273"/>
      <c r="B47" s="297"/>
      <c r="C47" s="313" t="str">
        <f>IFERROR(VLOOKUP(B47,пр.взв!$B$7:$H$76,2,0),"")</f>
        <v/>
      </c>
      <c r="D47" s="315" t="str">
        <f>IFERROR(VLOOKUP(B47,пр.взв!$B$7:$H$76,3,0),"")</f>
        <v/>
      </c>
      <c r="E47" s="315" t="str">
        <f>IFERROR(VLOOKUP(B47,пр.взв!$B$7:$H$76,4,0),"")</f>
        <v/>
      </c>
      <c r="F47" s="315" t="str">
        <f>IFERROR(VLOOKUP(B47,пр.взв!$B$7:$H$76,5,0),"")</f>
        <v/>
      </c>
      <c r="G47" s="305"/>
      <c r="H47" s="305"/>
      <c r="I47" s="307"/>
      <c r="J47" s="309"/>
      <c r="L47" s="311"/>
      <c r="M47" s="313" t="str">
        <f>IFERROR(VLOOKUP(L47,пр.взв!$B$7:$H$76,2,0),"")</f>
        <v/>
      </c>
      <c r="N47" s="315" t="str">
        <f>IFERROR(VLOOKUP(L47,пр.взв!$B$7:$H$76,3,0),"")</f>
        <v/>
      </c>
      <c r="O47" s="315" t="str">
        <f>IFERROR(VLOOKUP(L47,пр.взв!$B$7:$H$76,4,0),"")</f>
        <v/>
      </c>
      <c r="P47" s="315" t="str">
        <f>IFERROR(VLOOKUP(L47,пр.взв!$B$7:$H$76,5,0),"")</f>
        <v/>
      </c>
      <c r="Q47" s="305"/>
      <c r="R47" s="305"/>
      <c r="S47" s="307"/>
      <c r="T47" s="309"/>
    </row>
    <row r="48" spans="1:20" ht="13" thickBot="1">
      <c r="A48" s="273"/>
      <c r="B48" s="340"/>
      <c r="C48" s="314"/>
      <c r="D48" s="316"/>
      <c r="E48" s="316"/>
      <c r="F48" s="316"/>
      <c r="G48" s="317"/>
      <c r="H48" s="317"/>
      <c r="I48" s="318"/>
      <c r="J48" s="319"/>
      <c r="L48" s="320"/>
      <c r="M48" s="314"/>
      <c r="N48" s="316"/>
      <c r="O48" s="316"/>
      <c r="P48" s="316"/>
      <c r="Q48" s="317"/>
      <c r="R48" s="317"/>
      <c r="S48" s="318"/>
      <c r="T48" s="319"/>
    </row>
    <row r="49" spans="1:20">
      <c r="A49" s="273"/>
      <c r="B49" s="296"/>
      <c r="C49" s="321" t="str">
        <f>IFERROR(VLOOKUP(B49,пр.взв!$B$7:$H$76,2,0),"")</f>
        <v/>
      </c>
      <c r="D49" s="302" t="str">
        <f>IFERROR(VLOOKUP(B49,пр.взв!$B$7:$H$76,3,0),"")</f>
        <v/>
      </c>
      <c r="E49" s="302" t="str">
        <f>IFERROR(VLOOKUP(B49,пр.взв!$B$7:$H$76,4,0),"")</f>
        <v/>
      </c>
      <c r="F49" s="302" t="str">
        <f>IFERROR(VLOOKUP(B49,пр.взв!$B$7:$H$76,5,0),"")</f>
        <v/>
      </c>
      <c r="G49" s="304"/>
      <c r="H49" s="304"/>
      <c r="I49" s="306"/>
      <c r="J49" s="308"/>
      <c r="L49" s="310"/>
      <c r="M49" s="321" t="str">
        <f>IFERROR(VLOOKUP(L49,пр.взв!$B$7:$H$76,2,0),"")</f>
        <v/>
      </c>
      <c r="N49" s="302" t="str">
        <f>IFERROR(VLOOKUP(L49,пр.взв!$B$7:$H$76,3,0),"")</f>
        <v/>
      </c>
      <c r="O49" s="302" t="str">
        <f>IFERROR(VLOOKUP(L49,пр.взв!$B$7:$H$76,4,0),"")</f>
        <v/>
      </c>
      <c r="P49" s="302" t="str">
        <f>IFERROR(VLOOKUP(L49,пр.взв!$B$7:$H$76,5,0),"")</f>
        <v/>
      </c>
      <c r="Q49" s="304"/>
      <c r="R49" s="304"/>
      <c r="S49" s="306"/>
      <c r="T49" s="308"/>
    </row>
    <row r="50" spans="1:20">
      <c r="A50" s="273"/>
      <c r="B50" s="297"/>
      <c r="C50" s="322"/>
      <c r="D50" s="303"/>
      <c r="E50" s="303"/>
      <c r="F50" s="303"/>
      <c r="G50" s="305"/>
      <c r="H50" s="305"/>
      <c r="I50" s="307"/>
      <c r="J50" s="309"/>
      <c r="L50" s="311"/>
      <c r="M50" s="322"/>
      <c r="N50" s="303"/>
      <c r="O50" s="303"/>
      <c r="P50" s="303"/>
      <c r="Q50" s="305"/>
      <c r="R50" s="305"/>
      <c r="S50" s="307"/>
      <c r="T50" s="309"/>
    </row>
    <row r="51" spans="1:20">
      <c r="A51" s="273"/>
      <c r="B51" s="297"/>
      <c r="C51" s="313" t="str">
        <f>IFERROR(VLOOKUP(B51,пр.взв!$B$7:$H$76,2,0),"")</f>
        <v/>
      </c>
      <c r="D51" s="315" t="str">
        <f>IFERROR(VLOOKUP(B51,пр.взв!$B$7:$H$76,3,0),"")</f>
        <v/>
      </c>
      <c r="E51" s="315" t="str">
        <f>IFERROR(VLOOKUP(B51,пр.взв!$B$7:$H$76,4,0),"")</f>
        <v/>
      </c>
      <c r="F51" s="315" t="str">
        <f>IFERROR(VLOOKUP(B51,пр.взв!$B$7:$H$76,5,0),"")</f>
        <v/>
      </c>
      <c r="G51" s="305"/>
      <c r="H51" s="305"/>
      <c r="I51" s="307"/>
      <c r="J51" s="309"/>
      <c r="L51" s="311"/>
      <c r="M51" s="313" t="str">
        <f>IFERROR(VLOOKUP(L51,пр.взв!$B$7:$H$76,2,0),"")</f>
        <v/>
      </c>
      <c r="N51" s="315" t="str">
        <f>IFERROR(VLOOKUP(L51,пр.взв!$B$7:$H$76,3,0),"")</f>
        <v/>
      </c>
      <c r="O51" s="315" t="str">
        <f>IFERROR(VLOOKUP(L51,пр.взв!$B$7:$H$76,4,0),"")</f>
        <v/>
      </c>
      <c r="P51" s="315" t="str">
        <f>IFERROR(VLOOKUP(L51,пр.взв!$B$7:$H$76,5,0),"")</f>
        <v/>
      </c>
      <c r="Q51" s="305"/>
      <c r="R51" s="305"/>
      <c r="S51" s="307"/>
      <c r="T51" s="309"/>
    </row>
    <row r="52" spans="1:20" ht="13" thickBot="1">
      <c r="A52" s="273"/>
      <c r="B52" s="340"/>
      <c r="C52" s="314"/>
      <c r="D52" s="316"/>
      <c r="E52" s="316"/>
      <c r="F52" s="316"/>
      <c r="G52" s="317"/>
      <c r="H52" s="317"/>
      <c r="I52" s="318"/>
      <c r="J52" s="319"/>
      <c r="L52" s="320"/>
      <c r="M52" s="314"/>
      <c r="N52" s="316"/>
      <c r="O52" s="316"/>
      <c r="P52" s="316"/>
      <c r="Q52" s="317"/>
      <c r="R52" s="317"/>
      <c r="S52" s="318"/>
      <c r="T52" s="319"/>
    </row>
    <row r="53" spans="1:20">
      <c r="A53" s="273"/>
      <c r="B53" s="296"/>
      <c r="C53" s="321" t="str">
        <f>IFERROR(VLOOKUP(B53,пр.взв!$B$7:$H$76,2,0),"")</f>
        <v/>
      </c>
      <c r="D53" s="302" t="str">
        <f>IFERROR(VLOOKUP(B53,пр.взв!$B$7:$H$76,3,0),"")</f>
        <v/>
      </c>
      <c r="E53" s="302" t="str">
        <f>IFERROR(VLOOKUP(B53,пр.взв!$B$7:$H$76,4,0),"")</f>
        <v/>
      </c>
      <c r="F53" s="302" t="str">
        <f>IFERROR(VLOOKUP(B53,пр.взв!$B$7:$H$76,5,0),"")</f>
        <v/>
      </c>
      <c r="G53" s="304"/>
      <c r="H53" s="304"/>
      <c r="I53" s="306"/>
      <c r="J53" s="308"/>
      <c r="L53" s="310"/>
      <c r="M53" s="321" t="str">
        <f>IFERROR(VLOOKUP(L53,пр.взв!$B$7:$H$76,2,0),"")</f>
        <v/>
      </c>
      <c r="N53" s="302" t="str">
        <f>IFERROR(VLOOKUP(L53,пр.взв!$B$7:$H$76,3,0),"")</f>
        <v/>
      </c>
      <c r="O53" s="302" t="str">
        <f>IFERROR(VLOOKUP(L53,пр.взв!$B$7:$H$76,4,0),"")</f>
        <v/>
      </c>
      <c r="P53" s="302" t="str">
        <f>IFERROR(VLOOKUP(L53,пр.взв!$B$7:$H$76,5,0),"")</f>
        <v/>
      </c>
      <c r="Q53" s="304"/>
      <c r="R53" s="304"/>
      <c r="S53" s="306"/>
      <c r="T53" s="308"/>
    </row>
    <row r="54" spans="1:20">
      <c r="A54" s="273"/>
      <c r="B54" s="297"/>
      <c r="C54" s="322"/>
      <c r="D54" s="303"/>
      <c r="E54" s="303"/>
      <c r="F54" s="303"/>
      <c r="G54" s="305"/>
      <c r="H54" s="305"/>
      <c r="I54" s="307"/>
      <c r="J54" s="309"/>
      <c r="L54" s="311"/>
      <c r="M54" s="322"/>
      <c r="N54" s="303"/>
      <c r="O54" s="303"/>
      <c r="P54" s="303"/>
      <c r="Q54" s="305"/>
      <c r="R54" s="305"/>
      <c r="S54" s="307"/>
      <c r="T54" s="309"/>
    </row>
    <row r="55" spans="1:20">
      <c r="A55" s="273"/>
      <c r="B55" s="297"/>
      <c r="C55" s="313" t="str">
        <f>IFERROR(VLOOKUP(B55,пр.взв!$B$7:$H$76,2,0),"")</f>
        <v/>
      </c>
      <c r="D55" s="315" t="str">
        <f>IFERROR(VLOOKUP(B55,пр.взв!$B$7:$H$76,3,0),"")</f>
        <v/>
      </c>
      <c r="E55" s="315" t="str">
        <f>IFERROR(VLOOKUP(B55,пр.взв!$B$7:$H$76,4,0),"")</f>
        <v/>
      </c>
      <c r="F55" s="315" t="str">
        <f>IFERROR(VLOOKUP(B55,пр.взв!$B$7:$H$76,5,0),"")</f>
        <v/>
      </c>
      <c r="G55" s="305"/>
      <c r="H55" s="305"/>
      <c r="I55" s="307"/>
      <c r="J55" s="309"/>
      <c r="L55" s="311"/>
      <c r="M55" s="313" t="str">
        <f>IFERROR(VLOOKUP(L55,пр.взв!$B$7:$H$76,2,0),"")</f>
        <v/>
      </c>
      <c r="N55" s="315" t="str">
        <f>IFERROR(VLOOKUP(L55,пр.взв!$B$7:$H$76,3,0),"")</f>
        <v/>
      </c>
      <c r="O55" s="315" t="str">
        <f>IFERROR(VLOOKUP(L55,пр.взв!$B$7:$H$76,4,0),"")</f>
        <v/>
      </c>
      <c r="P55" s="315" t="str">
        <f>IFERROR(VLOOKUP(L55,пр.взв!$B$7:$H$76,5,0),"")</f>
        <v/>
      </c>
      <c r="Q55" s="305"/>
      <c r="R55" s="305"/>
      <c r="S55" s="307"/>
      <c r="T55" s="309"/>
    </row>
    <row r="56" spans="1:20" ht="13" thickBot="1">
      <c r="A56" s="273"/>
      <c r="B56" s="340"/>
      <c r="C56" s="314"/>
      <c r="D56" s="316"/>
      <c r="E56" s="316"/>
      <c r="F56" s="316"/>
      <c r="G56" s="317"/>
      <c r="H56" s="317"/>
      <c r="I56" s="318"/>
      <c r="J56" s="319"/>
      <c r="L56" s="320"/>
      <c r="M56" s="314"/>
      <c r="N56" s="316"/>
      <c r="O56" s="316"/>
      <c r="P56" s="316"/>
      <c r="Q56" s="317"/>
      <c r="R56" s="317"/>
      <c r="S56" s="318"/>
      <c r="T56" s="319"/>
    </row>
    <row r="57" spans="1:20">
      <c r="A57" s="273"/>
      <c r="B57" s="296"/>
      <c r="C57" s="321" t="str">
        <f>IFERROR(VLOOKUP(B57,пр.взв!$B$7:$H$76,2,0),"")</f>
        <v/>
      </c>
      <c r="D57" s="302" t="str">
        <f>IFERROR(VLOOKUP(B57,пр.взв!$B$7:$H$76,3,0),"")</f>
        <v/>
      </c>
      <c r="E57" s="302" t="str">
        <f>IFERROR(VLOOKUP(B57,пр.взв!$B$7:$H$76,4,0),"")</f>
        <v/>
      </c>
      <c r="F57" s="302" t="str">
        <f>IFERROR(VLOOKUP(B57,пр.взв!$B$7:$H$76,5,0),"")</f>
        <v/>
      </c>
      <c r="G57" s="337"/>
      <c r="H57" s="304"/>
      <c r="I57" s="306"/>
      <c r="J57" s="308"/>
      <c r="L57" s="310"/>
      <c r="M57" s="321" t="str">
        <f>IFERROR(VLOOKUP(L57,пр.взв!$B$7:$H$76,2,0),"")</f>
        <v/>
      </c>
      <c r="N57" s="302" t="str">
        <f>IFERROR(VLOOKUP(L57,пр.взв!$B$7:$H$76,3,0),"")</f>
        <v/>
      </c>
      <c r="O57" s="302" t="str">
        <f>IFERROR(VLOOKUP(L57,пр.взв!$B$7:$H$76,4,0),"")</f>
        <v/>
      </c>
      <c r="P57" s="302" t="str">
        <f>IFERROR(VLOOKUP(L57,пр.взв!$B$7:$H$76,5,0),"")</f>
        <v/>
      </c>
      <c r="Q57" s="337"/>
      <c r="R57" s="304"/>
      <c r="S57" s="306"/>
      <c r="T57" s="308"/>
    </row>
    <row r="58" spans="1:20">
      <c r="A58" s="273"/>
      <c r="B58" s="297"/>
      <c r="C58" s="322"/>
      <c r="D58" s="303"/>
      <c r="E58" s="303"/>
      <c r="F58" s="303"/>
      <c r="G58" s="338"/>
      <c r="H58" s="305"/>
      <c r="I58" s="307"/>
      <c r="J58" s="309"/>
      <c r="L58" s="311"/>
      <c r="M58" s="322"/>
      <c r="N58" s="303"/>
      <c r="O58" s="303"/>
      <c r="P58" s="303"/>
      <c r="Q58" s="338"/>
      <c r="R58" s="305"/>
      <c r="S58" s="307"/>
      <c r="T58" s="309"/>
    </row>
    <row r="59" spans="1:20">
      <c r="A59" s="273"/>
      <c r="B59" s="297"/>
      <c r="C59" s="313" t="str">
        <f>IFERROR(VLOOKUP(B59,пр.взв!$B$7:$H$76,2,0),"")</f>
        <v/>
      </c>
      <c r="D59" s="315" t="str">
        <f>IFERROR(VLOOKUP(B59,пр.взв!$B$7:$H$76,3,0),"")</f>
        <v/>
      </c>
      <c r="E59" s="315" t="str">
        <f>IFERROR(VLOOKUP(B59,пр.взв!$B$7:$H$76,4,0),"")</f>
        <v/>
      </c>
      <c r="F59" s="315" t="str">
        <f>IFERROR(VLOOKUP(B59,пр.взв!$B$7:$H$76,5,0),"")</f>
        <v/>
      </c>
      <c r="G59" s="338"/>
      <c r="H59" s="305"/>
      <c r="I59" s="307"/>
      <c r="J59" s="309"/>
      <c r="L59" s="311"/>
      <c r="M59" s="313" t="str">
        <f>IFERROR(VLOOKUP(L59,пр.взв!$B$7:$H$76,2,0),"")</f>
        <v/>
      </c>
      <c r="N59" s="315" t="str">
        <f>IFERROR(VLOOKUP(L59,пр.взв!$B$7:$H$76,3,0),"")</f>
        <v/>
      </c>
      <c r="O59" s="315" t="str">
        <f>IFERROR(VLOOKUP(L59,пр.взв!$B$7:$H$76,4,0),"")</f>
        <v/>
      </c>
      <c r="P59" s="315" t="str">
        <f>IFERROR(VLOOKUP(L59,пр.взв!$B$7:$H$76,5,0),"")</f>
        <v/>
      </c>
      <c r="Q59" s="338"/>
      <c r="R59" s="305"/>
      <c r="S59" s="307"/>
      <c r="T59" s="309"/>
    </row>
    <row r="60" spans="1:20" ht="13" thickBot="1">
      <c r="A60" s="273"/>
      <c r="B60" s="340"/>
      <c r="C60" s="314"/>
      <c r="D60" s="316"/>
      <c r="E60" s="316"/>
      <c r="F60" s="316"/>
      <c r="G60" s="339"/>
      <c r="H60" s="317"/>
      <c r="I60" s="318"/>
      <c r="J60" s="319"/>
      <c r="L60" s="320"/>
      <c r="M60" s="314"/>
      <c r="N60" s="316"/>
      <c r="O60" s="316"/>
      <c r="P60" s="316"/>
      <c r="Q60" s="339"/>
      <c r="R60" s="317"/>
      <c r="S60" s="318"/>
      <c r="T60" s="319"/>
    </row>
    <row r="61" spans="1:20" ht="12" customHeight="1">
      <c r="A61" s="10"/>
      <c r="B61" s="296"/>
      <c r="C61" s="321" t="str">
        <f>IFERROR(VLOOKUP(B61,пр.взв!$B$7:$H$76,2,0),"")</f>
        <v/>
      </c>
      <c r="D61" s="302" t="str">
        <f>IFERROR(VLOOKUP(B61,пр.взв!$B$7:$H$76,3,0),"")</f>
        <v/>
      </c>
      <c r="E61" s="302" t="str">
        <f>IFERROR(VLOOKUP(B61,пр.взв!$B$7:$H$76,4,0),"")</f>
        <v/>
      </c>
      <c r="F61" s="302" t="str">
        <f>IFERROR(VLOOKUP(B61,пр.взв!$B$7:$H$76,5,0),"")</f>
        <v/>
      </c>
      <c r="G61" s="304"/>
      <c r="H61" s="304"/>
      <c r="I61" s="306"/>
      <c r="J61" s="308"/>
      <c r="L61" s="296"/>
      <c r="M61" s="321" t="str">
        <f>IFERROR(VLOOKUP(L61,пр.взв!$B$7:$H$76,2,0),"")</f>
        <v/>
      </c>
      <c r="N61" s="302" t="str">
        <f>IFERROR(VLOOKUP(L61,пр.взв!$B$7:$H$76,3,0),"")</f>
        <v/>
      </c>
      <c r="O61" s="302" t="str">
        <f>IFERROR(VLOOKUP(L61,пр.взв!$B$7:$H$76,4,0),"")</f>
        <v/>
      </c>
      <c r="P61" s="302" t="str">
        <f>IFERROR(VLOOKUP(L61,пр.взв!$B$7:$H$76,5,0),"")</f>
        <v/>
      </c>
      <c r="Q61" s="304"/>
      <c r="R61" s="304"/>
      <c r="S61" s="306"/>
      <c r="T61" s="308"/>
    </row>
    <row r="62" spans="1:20">
      <c r="B62" s="297"/>
      <c r="C62" s="322"/>
      <c r="D62" s="303"/>
      <c r="E62" s="303"/>
      <c r="F62" s="303"/>
      <c r="G62" s="305"/>
      <c r="H62" s="305"/>
      <c r="I62" s="307"/>
      <c r="J62" s="309"/>
      <c r="L62" s="297"/>
      <c r="M62" s="322"/>
      <c r="N62" s="303"/>
      <c r="O62" s="303"/>
      <c r="P62" s="303"/>
      <c r="Q62" s="305"/>
      <c r="R62" s="305"/>
      <c r="S62" s="307"/>
      <c r="T62" s="309"/>
    </row>
    <row r="63" spans="1:20">
      <c r="B63" s="297"/>
      <c r="C63" s="313" t="str">
        <f>IFERROR(VLOOKUP(B63,пр.взв!$B$7:$H$76,2,0),"")</f>
        <v/>
      </c>
      <c r="D63" s="315" t="str">
        <f>IFERROR(VLOOKUP(B63,пр.взв!$B$7:$H$76,3,0),"")</f>
        <v/>
      </c>
      <c r="E63" s="315" t="str">
        <f>IFERROR(VLOOKUP(B63,пр.взв!$B$7:$H$76,4,0),"")</f>
        <v/>
      </c>
      <c r="F63" s="315" t="str">
        <f>IFERROR(VLOOKUP(B63,пр.взв!$B$7:$H$76,5,0),"")</f>
        <v/>
      </c>
      <c r="G63" s="305"/>
      <c r="H63" s="305"/>
      <c r="I63" s="307"/>
      <c r="J63" s="309"/>
      <c r="L63" s="297"/>
      <c r="M63" s="313" t="str">
        <f>IFERROR(VLOOKUP(L63,пр.взв!$B$7:$H$76,2,0),"")</f>
        <v/>
      </c>
      <c r="N63" s="315" t="str">
        <f>IFERROR(VLOOKUP(L63,пр.взв!$B$7:$H$76,3,0),"")</f>
        <v/>
      </c>
      <c r="O63" s="315" t="str">
        <f>IFERROR(VLOOKUP(L63,пр.взв!$B$7:$H$76,4,0),"")</f>
        <v/>
      </c>
      <c r="P63" s="315" t="str">
        <f>IFERROR(VLOOKUP(L63,пр.взв!$B$7:$H$76,5,0),"")</f>
        <v/>
      </c>
      <c r="Q63" s="305"/>
      <c r="R63" s="305"/>
      <c r="S63" s="307"/>
      <c r="T63" s="309"/>
    </row>
    <row r="64" spans="1:20" ht="13" thickBot="1">
      <c r="B64" s="340"/>
      <c r="C64" s="314"/>
      <c r="D64" s="316"/>
      <c r="E64" s="316"/>
      <c r="F64" s="316"/>
      <c r="G64" s="317"/>
      <c r="H64" s="317"/>
      <c r="I64" s="318"/>
      <c r="J64" s="319"/>
      <c r="L64" s="340"/>
      <c r="M64" s="314"/>
      <c r="N64" s="316"/>
      <c r="O64" s="316"/>
      <c r="P64" s="316"/>
      <c r="Q64" s="317"/>
      <c r="R64" s="317"/>
      <c r="S64" s="318"/>
      <c r="T64" s="319"/>
    </row>
    <row r="65" spans="2:20">
      <c r="B65" s="296"/>
      <c r="C65" s="321" t="str">
        <f>IFERROR(VLOOKUP(B65,пр.взв!$B$7:$H$76,2,0),"")</f>
        <v/>
      </c>
      <c r="D65" s="302" t="str">
        <f>IFERROR(VLOOKUP(B65,пр.взв!$B$7:$H$76,3,0),"")</f>
        <v/>
      </c>
      <c r="E65" s="302" t="str">
        <f>IFERROR(VLOOKUP(B65,пр.взв!$B$7:$H$76,4,0),"")</f>
        <v/>
      </c>
      <c r="F65" s="302" t="str">
        <f>IFERROR(VLOOKUP(B65,пр.взв!$B$7:$H$76,5,0),"")</f>
        <v/>
      </c>
      <c r="G65" s="337"/>
      <c r="H65" s="304"/>
      <c r="I65" s="306"/>
      <c r="J65" s="308"/>
      <c r="L65" s="296"/>
      <c r="M65" s="321" t="str">
        <f>IFERROR(VLOOKUP(L65,пр.взв!$B$7:$H$76,2,0),"")</f>
        <v/>
      </c>
      <c r="N65" s="302" t="str">
        <f>IFERROR(VLOOKUP(L65,пр.взв!$B$7:$H$76,3,0),"")</f>
        <v/>
      </c>
      <c r="O65" s="302" t="str">
        <f>IFERROR(VLOOKUP(L65,пр.взв!$B$7:$H$76,4,0),"")</f>
        <v/>
      </c>
      <c r="P65" s="302" t="str">
        <f>IFERROR(VLOOKUP(L65,пр.взв!$B$7:$H$76,5,0),"")</f>
        <v/>
      </c>
      <c r="Q65" s="337"/>
      <c r="R65" s="304"/>
      <c r="S65" s="306"/>
      <c r="T65" s="308"/>
    </row>
    <row r="66" spans="2:20">
      <c r="B66" s="297"/>
      <c r="C66" s="322"/>
      <c r="D66" s="303"/>
      <c r="E66" s="303"/>
      <c r="F66" s="303"/>
      <c r="G66" s="338"/>
      <c r="H66" s="305"/>
      <c r="I66" s="307"/>
      <c r="J66" s="309"/>
      <c r="L66" s="297"/>
      <c r="M66" s="322"/>
      <c r="N66" s="303"/>
      <c r="O66" s="303"/>
      <c r="P66" s="303"/>
      <c r="Q66" s="338"/>
      <c r="R66" s="305"/>
      <c r="S66" s="307"/>
      <c r="T66" s="309"/>
    </row>
    <row r="67" spans="2:20">
      <c r="B67" s="297"/>
      <c r="C67" s="313" t="str">
        <f>IFERROR(VLOOKUP(B67,пр.взв!$B$7:$H$76,2,0),"")</f>
        <v/>
      </c>
      <c r="D67" s="315" t="str">
        <f>IFERROR(VLOOKUP(B67,пр.взв!$B$7:$H$76,3,0),"")</f>
        <v/>
      </c>
      <c r="E67" s="315" t="str">
        <f>IFERROR(VLOOKUP(B67,пр.взв!$B$7:$H$76,4,0),"")</f>
        <v/>
      </c>
      <c r="F67" s="315" t="str">
        <f>IFERROR(VLOOKUP(B67,пр.взв!$B$7:$H$76,5,0),"")</f>
        <v/>
      </c>
      <c r="G67" s="338"/>
      <c r="H67" s="305"/>
      <c r="I67" s="307"/>
      <c r="J67" s="309"/>
      <c r="L67" s="297"/>
      <c r="M67" s="313" t="str">
        <f>IFERROR(VLOOKUP(L67,пр.взв!$B$7:$H$76,2,0),"")</f>
        <v/>
      </c>
      <c r="N67" s="315" t="str">
        <f>IFERROR(VLOOKUP(L67,пр.взв!$B$7:$H$76,3,0),"")</f>
        <v/>
      </c>
      <c r="O67" s="315" t="str">
        <f>IFERROR(VLOOKUP(L67,пр.взв!$B$7:$H$76,4,0),"")</f>
        <v/>
      </c>
      <c r="P67" s="315" t="str">
        <f>IFERROR(VLOOKUP(L67,пр.взв!$B$7:$H$76,5,0),"")</f>
        <v/>
      </c>
      <c r="Q67" s="338"/>
      <c r="R67" s="305"/>
      <c r="S67" s="307"/>
      <c r="T67" s="309"/>
    </row>
    <row r="68" spans="2:20" ht="13" thickBot="1">
      <c r="B68" s="340"/>
      <c r="C68" s="314"/>
      <c r="D68" s="316"/>
      <c r="E68" s="316"/>
      <c r="F68" s="316"/>
      <c r="G68" s="339"/>
      <c r="H68" s="317"/>
      <c r="I68" s="318"/>
      <c r="J68" s="319"/>
      <c r="L68" s="340"/>
      <c r="M68" s="314"/>
      <c r="N68" s="316"/>
      <c r="O68" s="316"/>
      <c r="P68" s="316"/>
      <c r="Q68" s="339"/>
      <c r="R68" s="317"/>
      <c r="S68" s="318"/>
      <c r="T68" s="319"/>
    </row>
  </sheetData>
  <mergeCells count="625">
    <mergeCell ref="O55:O56"/>
    <mergeCell ref="O57:O58"/>
    <mergeCell ref="O59:O60"/>
    <mergeCell ref="E13:E14"/>
    <mergeCell ref="E15:E16"/>
    <mergeCell ref="E17:E18"/>
    <mergeCell ref="E19:E20"/>
    <mergeCell ref="E21:E22"/>
    <mergeCell ref="E23:E24"/>
    <mergeCell ref="E25:E26"/>
    <mergeCell ref="E29:E30"/>
    <mergeCell ref="E31:E32"/>
    <mergeCell ref="E33:E34"/>
    <mergeCell ref="E35:E36"/>
    <mergeCell ref="E37:E38"/>
    <mergeCell ref="E39:E40"/>
    <mergeCell ref="E53:E54"/>
    <mergeCell ref="E55:E56"/>
    <mergeCell ref="E57:E58"/>
    <mergeCell ref="E59:E60"/>
    <mergeCell ref="E41:E42"/>
    <mergeCell ref="E43:E44"/>
    <mergeCell ref="E45:E46"/>
    <mergeCell ref="E47:E48"/>
    <mergeCell ref="O37:O38"/>
    <mergeCell ref="O39:O40"/>
    <mergeCell ref="O41:O42"/>
    <mergeCell ref="O43:O44"/>
    <mergeCell ref="O45:O46"/>
    <mergeCell ref="O47:O48"/>
    <mergeCell ref="O49:O50"/>
    <mergeCell ref="O51:O52"/>
    <mergeCell ref="O53:O54"/>
    <mergeCell ref="O19:O20"/>
    <mergeCell ref="O21:O22"/>
    <mergeCell ref="O23:O24"/>
    <mergeCell ref="O25:O26"/>
    <mergeCell ref="O27:O28"/>
    <mergeCell ref="O29:O30"/>
    <mergeCell ref="O31:O32"/>
    <mergeCell ref="O33:O34"/>
    <mergeCell ref="O35:O36"/>
    <mergeCell ref="T57:T58"/>
    <mergeCell ref="N59:N60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S59:S60"/>
    <mergeCell ref="T59:T60"/>
    <mergeCell ref="H59:H60"/>
    <mergeCell ref="I59:I60"/>
    <mergeCell ref="J59:J60"/>
    <mergeCell ref="L59:L60"/>
    <mergeCell ref="M59:M60"/>
    <mergeCell ref="L55:L56"/>
    <mergeCell ref="M55:M56"/>
    <mergeCell ref="N55:N56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T53:T54"/>
    <mergeCell ref="E51:E52"/>
    <mergeCell ref="L49:L50"/>
    <mergeCell ref="M49:M50"/>
    <mergeCell ref="N49:N50"/>
    <mergeCell ref="P49:P50"/>
    <mergeCell ref="Q49:Q50"/>
    <mergeCell ref="R49:R50"/>
    <mergeCell ref="S49:S50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E49:E50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T47:T48"/>
    <mergeCell ref="L43:L44"/>
    <mergeCell ref="M43:M44"/>
    <mergeCell ref="N43:N44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T41:T42"/>
    <mergeCell ref="L37:L38"/>
    <mergeCell ref="M37:M38"/>
    <mergeCell ref="N37:N38"/>
    <mergeCell ref="P37:P38"/>
    <mergeCell ref="Q37:Q38"/>
    <mergeCell ref="R37:R38"/>
    <mergeCell ref="S37:S38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T35:T36"/>
    <mergeCell ref="L31:L32"/>
    <mergeCell ref="M31:M32"/>
    <mergeCell ref="N31:N32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T29:T30"/>
    <mergeCell ref="L25:L26"/>
    <mergeCell ref="M25:M26"/>
    <mergeCell ref="N25:N26"/>
    <mergeCell ref="P25:P26"/>
    <mergeCell ref="Q25:Q26"/>
    <mergeCell ref="R25:R26"/>
    <mergeCell ref="S25:S26"/>
    <mergeCell ref="T25:T26"/>
    <mergeCell ref="A27:A28"/>
    <mergeCell ref="B27:B28"/>
    <mergeCell ref="C27:C28"/>
    <mergeCell ref="D27:D28"/>
    <mergeCell ref="F27:F28"/>
    <mergeCell ref="G27:G28"/>
    <mergeCell ref="E27:E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T21:T22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L17:L18"/>
    <mergeCell ref="M17:M18"/>
    <mergeCell ref="N17:N18"/>
    <mergeCell ref="P17:P18"/>
    <mergeCell ref="Q17:Q18"/>
    <mergeCell ref="R17:R18"/>
    <mergeCell ref="S17:S18"/>
    <mergeCell ref="T17:T18"/>
    <mergeCell ref="O17:O18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A15:A16"/>
    <mergeCell ref="B15:B16"/>
    <mergeCell ref="C15:C16"/>
    <mergeCell ref="D15:D16"/>
    <mergeCell ref="F15:F16"/>
    <mergeCell ref="G15:G16"/>
    <mergeCell ref="P15:P16"/>
    <mergeCell ref="Q15:Q16"/>
    <mergeCell ref="R15:R16"/>
    <mergeCell ref="O15:O16"/>
    <mergeCell ref="H15:H16"/>
    <mergeCell ref="I15:I16"/>
    <mergeCell ref="J15:J16"/>
    <mergeCell ref="L15:L16"/>
    <mergeCell ref="M15:M16"/>
    <mergeCell ref="L13:L14"/>
    <mergeCell ref="M13:M14"/>
    <mergeCell ref="N13:N14"/>
    <mergeCell ref="P13:P14"/>
    <mergeCell ref="Q13:Q14"/>
    <mergeCell ref="R13:R14"/>
    <mergeCell ref="S13:S14"/>
    <mergeCell ref="T13:T14"/>
    <mergeCell ref="N15:N16"/>
    <mergeCell ref="S15:S16"/>
    <mergeCell ref="T15:T16"/>
    <mergeCell ref="O13:O14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Q9:Q10"/>
    <mergeCell ref="R9:R10"/>
    <mergeCell ref="S9:S10"/>
    <mergeCell ref="T9:T10"/>
    <mergeCell ref="O9:O10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tabColor indexed="46"/>
  </sheetPr>
  <dimension ref="A1:T68"/>
  <sheetViews>
    <sheetView topLeftCell="E1" workbookViewId="0">
      <selection activeCell="T7" sqref="L1:T8"/>
    </sheetView>
  </sheetViews>
  <sheetFormatPr defaultRowHeight="12.5"/>
  <cols>
    <col min="1" max="1" width="1.1796875" customWidth="1"/>
    <col min="2" max="2" width="5" customWidth="1"/>
    <col min="3" max="3" width="22.1796875" customWidth="1"/>
    <col min="4" max="4" width="8.81640625" customWidth="1"/>
    <col min="5" max="5" width="5.81640625" customWidth="1"/>
    <col min="6" max="6" width="12.54296875" customWidth="1"/>
    <col min="7" max="7" width="31.54296875" customWidth="1"/>
    <col min="8" max="8" width="5.81640625" customWidth="1"/>
    <col min="9" max="9" width="4.453125" customWidth="1"/>
    <col min="10" max="10" width="5.1796875" customWidth="1"/>
    <col min="11" max="11" width="1.1796875" customWidth="1"/>
    <col min="12" max="12" width="5" customWidth="1"/>
    <col min="13" max="13" width="22.1796875" customWidth="1"/>
    <col min="14" max="14" width="8.453125" customWidth="1"/>
    <col min="15" max="15" width="5.1796875" customWidth="1"/>
    <col min="16" max="16" width="11.1796875" customWidth="1"/>
    <col min="17" max="17" width="30.1796875" customWidth="1"/>
    <col min="18" max="18" width="6.1796875" customWidth="1"/>
    <col min="19" max="19" width="5.1796875" customWidth="1"/>
    <col min="20" max="20" width="5.54296875" customWidth="1"/>
  </cols>
  <sheetData>
    <row r="1" spans="1:20" ht="23.25" customHeight="1">
      <c r="A1" s="10"/>
      <c r="B1" s="294" t="s">
        <v>141</v>
      </c>
      <c r="C1" s="294"/>
      <c r="D1" s="219">
        <f>кр4!D1</f>
        <v>1</v>
      </c>
      <c r="E1" s="218"/>
      <c r="F1" s="295" t="s">
        <v>142</v>
      </c>
      <c r="G1" s="295"/>
      <c r="H1" s="295"/>
      <c r="I1" s="295"/>
      <c r="J1" s="295"/>
      <c r="L1" s="294" t="s">
        <v>141</v>
      </c>
      <c r="M1" s="294"/>
      <c r="N1" s="219">
        <f>кр4!N1</f>
        <v>1</v>
      </c>
      <c r="O1" s="218"/>
      <c r="P1" s="295" t="s">
        <v>142</v>
      </c>
      <c r="Q1" s="295"/>
      <c r="R1" s="295"/>
      <c r="S1" s="295"/>
      <c r="T1" s="295"/>
    </row>
    <row r="2" spans="1:20" ht="15" customHeight="1" thickBot="1">
      <c r="A2" s="10"/>
      <c r="B2" s="11"/>
      <c r="C2" s="11" t="s">
        <v>146</v>
      </c>
      <c r="D2" s="39" t="s">
        <v>0</v>
      </c>
      <c r="E2" s="39"/>
      <c r="F2" s="11"/>
      <c r="G2" s="217" t="str">
        <f>пр.взв!D4</f>
        <v>В.к. 52 кг.</v>
      </c>
      <c r="H2" s="11"/>
      <c r="I2" s="11"/>
      <c r="J2" s="11"/>
      <c r="L2" s="1"/>
      <c r="M2" s="1" t="s">
        <v>146</v>
      </c>
      <c r="N2" s="40" t="s">
        <v>32</v>
      </c>
      <c r="O2" s="40"/>
      <c r="P2" s="1"/>
      <c r="Q2" s="217" t="str">
        <f>G2</f>
        <v>В.к. 52 кг.</v>
      </c>
      <c r="R2" s="1"/>
      <c r="S2" s="1"/>
      <c r="T2" s="1"/>
    </row>
    <row r="3" spans="1:20" ht="25.5" customHeight="1">
      <c r="A3" s="273"/>
      <c r="B3" s="274" t="s">
        <v>5</v>
      </c>
      <c r="C3" s="276" t="s">
        <v>2</v>
      </c>
      <c r="D3" s="278" t="s">
        <v>23</v>
      </c>
      <c r="E3" s="280" t="s">
        <v>24</v>
      </c>
      <c r="F3" s="281"/>
      <c r="G3" s="276" t="s">
        <v>25</v>
      </c>
      <c r="H3" s="278" t="s">
        <v>26</v>
      </c>
      <c r="I3" s="276" t="s">
        <v>27</v>
      </c>
      <c r="J3" s="284" t="s">
        <v>28</v>
      </c>
      <c r="L3" s="286" t="s">
        <v>5</v>
      </c>
      <c r="M3" s="288" t="s">
        <v>2</v>
      </c>
      <c r="N3" s="288" t="s">
        <v>23</v>
      </c>
      <c r="O3" s="537" t="s">
        <v>24</v>
      </c>
      <c r="P3" s="538"/>
      <c r="Q3" s="288" t="s">
        <v>25</v>
      </c>
      <c r="R3" s="290" t="s">
        <v>26</v>
      </c>
      <c r="S3" s="288" t="s">
        <v>27</v>
      </c>
      <c r="T3" s="292" t="s">
        <v>28</v>
      </c>
    </row>
    <row r="4" spans="1:20" ht="13" thickBot="1">
      <c r="A4" s="273"/>
      <c r="B4" s="275"/>
      <c r="C4" s="277"/>
      <c r="D4" s="279"/>
      <c r="E4" s="282"/>
      <c r="F4" s="283"/>
      <c r="G4" s="277"/>
      <c r="H4" s="279"/>
      <c r="I4" s="277"/>
      <c r="J4" s="285"/>
      <c r="L4" s="287"/>
      <c r="M4" s="289"/>
      <c r="N4" s="289"/>
      <c r="O4" s="539"/>
      <c r="P4" s="540"/>
      <c r="Q4" s="289"/>
      <c r="R4" s="291"/>
      <c r="S4" s="289"/>
      <c r="T4" s="293"/>
    </row>
    <row r="5" spans="1:20" ht="12.75" customHeight="1">
      <c r="A5" s="273"/>
      <c r="B5" s="296">
        <f ca="1">пр.хода!BG15</f>
        <v>1</v>
      </c>
      <c r="C5" s="298" t="str">
        <f ca="1">IFERROR(VLOOKUP(B5,пр.взв!$B$7:$H$76,2,0),"")</f>
        <v>ГАВРИЛОВА Полина Сергеевна</v>
      </c>
      <c r="D5" s="300" t="str">
        <f ca="1">IFERROR(VLOOKUP(B5,пр.взв!$B$7:$H$76,3,0),"")</f>
        <v>23.06.96, КМС</v>
      </c>
      <c r="E5" s="300" t="str">
        <f ca="1">IFERROR(VLOOKUP(B5,пр.взв!$B$7:$H$76,4,0),"")</f>
        <v>УФО</v>
      </c>
      <c r="F5" s="302" t="str">
        <f ca="1">IFERROR(VLOOKUP(B5,пр.взв!$B$7:$H$76,5,0),"")</f>
        <v>Свердловская, Серов</v>
      </c>
      <c r="G5" s="304"/>
      <c r="H5" s="304"/>
      <c r="I5" s="306"/>
      <c r="J5" s="308"/>
      <c r="L5" s="310">
        <f ca="1">пр.хода!BI15</f>
        <v>3</v>
      </c>
      <c r="M5" s="298" t="str">
        <f ca="1">IFERROR(VLOOKUP(L5,пр.взв!$B$7:$H$76,2,0),"")</f>
        <v>ВИНИЧЕНКО Екатерина Константиновна</v>
      </c>
      <c r="N5" s="300" t="str">
        <f ca="1">IFERROR(VLOOKUP(L5,пр.взв!$B$7:$H$76,3,0),"")</f>
        <v>16.02.97, КМС</v>
      </c>
      <c r="O5" s="300" t="str">
        <f ca="1">IFERROR(VLOOKUP(L5,пр.взв!$B$7:$H$76,4,0),"")</f>
        <v>УФО</v>
      </c>
      <c r="P5" s="302" t="str">
        <f ca="1">IFERROR(VLOOKUP(L5,пр.взв!$B$7:$H$76,5,0),"")</f>
        <v>Свердловская, Екатеринбург, СШОР ПО САМБО И ДЗЮДО</v>
      </c>
      <c r="Q5" s="304"/>
      <c r="R5" s="304"/>
      <c r="S5" s="306"/>
      <c r="T5" s="308"/>
    </row>
    <row r="6" spans="1:20">
      <c r="A6" s="273"/>
      <c r="B6" s="297"/>
      <c r="C6" s="299"/>
      <c r="D6" s="301"/>
      <c r="E6" s="301"/>
      <c r="F6" s="303"/>
      <c r="G6" s="305"/>
      <c r="H6" s="305"/>
      <c r="I6" s="307"/>
      <c r="J6" s="309"/>
      <c r="L6" s="311"/>
      <c r="M6" s="299"/>
      <c r="N6" s="301"/>
      <c r="O6" s="301"/>
      <c r="P6" s="303"/>
      <c r="Q6" s="305"/>
      <c r="R6" s="305"/>
      <c r="S6" s="307"/>
      <c r="T6" s="309"/>
    </row>
    <row r="7" spans="1:20">
      <c r="A7" s="273"/>
      <c r="B7" s="297">
        <f ca="1">пр.хода!BH15</f>
        <v>2</v>
      </c>
      <c r="C7" s="313" t="str">
        <f ca="1">IFERROR(VLOOKUP(B7,пр.взв!$B$7:$H$76,2,0),"")</f>
        <v>ШКЕТ Ольга Владимировна</v>
      </c>
      <c r="D7" s="315" t="str">
        <f ca="1">IFERROR(VLOOKUP(B7,пр.взв!$B$7:$H$76,3,0),"")</f>
        <v>11.05.96, МС</v>
      </c>
      <c r="E7" s="315" t="str">
        <f ca="1">IFERROR(VLOOKUP(B7,пр.взв!$B$7:$H$76,4,0),"")</f>
        <v>УФО</v>
      </c>
      <c r="F7" s="315" t="str">
        <f ca="1">IFERROR(VLOOKUP(B7,пр.взв!$B$7:$H$76,5,0),"")</f>
        <v>Курганская, Курган, СШОР№1</v>
      </c>
      <c r="G7" s="305"/>
      <c r="H7" s="305"/>
      <c r="I7" s="307"/>
      <c r="J7" s="309"/>
      <c r="L7" s="311">
        <f ca="1">пр.хода!BJ15</f>
        <v>4</v>
      </c>
      <c r="M7" s="313" t="str">
        <f ca="1">IFERROR(VLOOKUP(L7,пр.взв!$B$7:$H$76,2,0),"")</f>
        <v>ГАСПАРЯН Наре Петросовна</v>
      </c>
      <c r="N7" s="315" t="str">
        <f ca="1">IFERROR(VLOOKUP(L7,пр.взв!$B$7:$H$76,3,0),"")</f>
        <v>26.02.97, КМС</v>
      </c>
      <c r="O7" s="315" t="str">
        <f ca="1">IFERROR(VLOOKUP(L7,пр.взв!$B$7:$H$76,4,0),"")</f>
        <v>УФО</v>
      </c>
      <c r="P7" s="315" t="str">
        <f ca="1">IFERROR(VLOOKUP(L7,пр.взв!$B$7:$H$76,5,0),"")</f>
        <v>Челябинская, Челябинск</v>
      </c>
      <c r="Q7" s="305"/>
      <c r="R7" s="305"/>
      <c r="S7" s="307"/>
      <c r="T7" s="309"/>
    </row>
    <row r="8" spans="1:20" ht="13" thickBot="1">
      <c r="A8" s="273"/>
      <c r="B8" s="340"/>
      <c r="C8" s="314"/>
      <c r="D8" s="316"/>
      <c r="E8" s="316"/>
      <c r="F8" s="316"/>
      <c r="G8" s="317"/>
      <c r="H8" s="317"/>
      <c r="I8" s="318"/>
      <c r="J8" s="319"/>
      <c r="L8" s="320"/>
      <c r="M8" s="314"/>
      <c r="N8" s="316"/>
      <c r="O8" s="316"/>
      <c r="P8" s="316"/>
      <c r="Q8" s="317"/>
      <c r="R8" s="317"/>
      <c r="S8" s="318"/>
      <c r="T8" s="319"/>
    </row>
    <row r="9" spans="1:20">
      <c r="A9" s="273"/>
      <c r="B9" s="296">
        <f ca="1">пр.хода!BG16</f>
        <v>0</v>
      </c>
      <c r="C9" s="321" t="str">
        <f ca="1">IFERROR(VLOOKUP(B9,пр.взв!$B$7:$H$76,2,0),"")</f>
        <v/>
      </c>
      <c r="D9" s="302" t="str">
        <f ca="1">IFERROR(VLOOKUP(B9,пр.взв!$B$7:$H$76,3,0),"")</f>
        <v/>
      </c>
      <c r="E9" s="302" t="str">
        <f ca="1">IFERROR(VLOOKUP(B9,пр.взв!$B$7:$H$76,4,0),"")</f>
        <v/>
      </c>
      <c r="F9" s="302" t="str">
        <f ca="1">IFERROR(VLOOKUP(B9,пр.взв!$B$7:$H$76,5,0),"")</f>
        <v/>
      </c>
      <c r="G9" s="304"/>
      <c r="H9" s="304"/>
      <c r="I9" s="306"/>
      <c r="J9" s="308"/>
      <c r="L9" s="310" t="b">
        <f ca="1">пр.хода!BI16</f>
        <v>0</v>
      </c>
      <c r="M9" s="321" t="str">
        <f ca="1">IFERROR(VLOOKUP(L9,пр.взв!$B$7:$H$76,2,0),"")</f>
        <v/>
      </c>
      <c r="N9" s="302" t="str">
        <f ca="1">IFERROR(VLOOKUP(L9,пр.взв!$B$7:$H$76,3,0),"")</f>
        <v/>
      </c>
      <c r="O9" s="302" t="str">
        <f ca="1">IFERROR(VLOOKUP(L9,пр.взв!$B$7:$H$76,4,0),"")</f>
        <v/>
      </c>
      <c r="P9" s="302" t="str">
        <f ca="1">IFERROR(VLOOKUP(L9,пр.взв!$B$7:$H$76,5,0),"")</f>
        <v/>
      </c>
      <c r="Q9" s="304"/>
      <c r="R9" s="304"/>
      <c r="S9" s="306"/>
      <c r="T9" s="308"/>
    </row>
    <row r="10" spans="1:20">
      <c r="A10" s="273"/>
      <c r="B10" s="297"/>
      <c r="C10" s="322"/>
      <c r="D10" s="303"/>
      <c r="E10" s="303"/>
      <c r="F10" s="303"/>
      <c r="G10" s="305"/>
      <c r="H10" s="305"/>
      <c r="I10" s="307"/>
      <c r="J10" s="309"/>
      <c r="L10" s="311"/>
      <c r="M10" s="322"/>
      <c r="N10" s="303"/>
      <c r="O10" s="303"/>
      <c r="P10" s="303"/>
      <c r="Q10" s="305"/>
      <c r="R10" s="305"/>
      <c r="S10" s="307"/>
      <c r="T10" s="309"/>
    </row>
    <row r="11" spans="1:20">
      <c r="A11" s="273"/>
      <c r="B11" s="297">
        <f ca="1">пр.хода!BH16</f>
        <v>0</v>
      </c>
      <c r="C11" s="313" t="str">
        <f ca="1">IFERROR(VLOOKUP(B11,пр.взв!$B$7:$H$76,2,0),"")</f>
        <v/>
      </c>
      <c r="D11" s="315" t="str">
        <f ca="1">IFERROR(VLOOKUP(B11,пр.взв!$B$7:$H$76,3,0),"")</f>
        <v/>
      </c>
      <c r="E11" s="315" t="str">
        <f ca="1">IFERROR(VLOOKUP(B11,пр.взв!$B$7:$H$76,4,0),"")</f>
        <v/>
      </c>
      <c r="F11" s="315" t="str">
        <f ca="1">IFERROR(VLOOKUP(B11,пр.взв!$B$7:$H$76,5,0),"")</f>
        <v/>
      </c>
      <c r="G11" s="305"/>
      <c r="H11" s="305"/>
      <c r="I11" s="307"/>
      <c r="J11" s="309"/>
      <c r="L11" s="311" t="b">
        <f ca="1">пр.хода!BJ16</f>
        <v>0</v>
      </c>
      <c r="M11" s="313" t="str">
        <f ca="1">IFERROR(VLOOKUP(L11,пр.взв!$B$7:$H$76,2,0),"")</f>
        <v/>
      </c>
      <c r="N11" s="315" t="str">
        <f ca="1">IFERROR(VLOOKUP(L11,пр.взв!$B$7:$H$76,3,0),"")</f>
        <v/>
      </c>
      <c r="O11" s="315" t="str">
        <f ca="1">IFERROR(VLOOKUP(L11,пр.взв!$B$7:$H$76,4,0),"")</f>
        <v/>
      </c>
      <c r="P11" s="315" t="str">
        <f ca="1">IFERROR(VLOOKUP(L11,пр.взв!$B$7:$H$76,5,0),"")</f>
        <v/>
      </c>
      <c r="Q11" s="305"/>
      <c r="R11" s="305"/>
      <c r="S11" s="307"/>
      <c r="T11" s="309"/>
    </row>
    <row r="12" spans="1:20" ht="13" thickBot="1">
      <c r="A12" s="273"/>
      <c r="B12" s="340"/>
      <c r="C12" s="314"/>
      <c r="D12" s="316"/>
      <c r="E12" s="316"/>
      <c r="F12" s="316"/>
      <c r="G12" s="317"/>
      <c r="H12" s="317"/>
      <c r="I12" s="318"/>
      <c r="J12" s="319"/>
      <c r="L12" s="320"/>
      <c r="M12" s="314"/>
      <c r="N12" s="316"/>
      <c r="O12" s="316"/>
      <c r="P12" s="316"/>
      <c r="Q12" s="317"/>
      <c r="R12" s="317"/>
      <c r="S12" s="318"/>
      <c r="T12" s="319"/>
    </row>
    <row r="13" spans="1:20">
      <c r="A13" s="273"/>
      <c r="B13" s="296">
        <f ca="1">пр.хода!BG17</f>
        <v>3</v>
      </c>
      <c r="C13" s="321" t="str">
        <f ca="1">IFERROR(VLOOKUP(B13,пр.взв!$B$7:$H$76,2,0),"")</f>
        <v>ВИНИЧЕНКО Екатерина Константиновна</v>
      </c>
      <c r="D13" s="302" t="str">
        <f ca="1">IFERROR(VLOOKUP(B13,пр.взв!$B$7:$H$76,3,0),"")</f>
        <v>16.02.97, КМС</v>
      </c>
      <c r="E13" s="302" t="str">
        <f ca="1">IFERROR(VLOOKUP(B13,пр.взв!$B$7:$H$76,4,0),"")</f>
        <v>УФО</v>
      </c>
      <c r="F13" s="302" t="str">
        <f ca="1">IFERROR(VLOOKUP(B13,пр.взв!$B$7:$H$76,5,0),"")</f>
        <v>Свердловская, Екатеринбург, СШОР ПО САМБО И ДЗЮДО</v>
      </c>
      <c r="G13" s="304"/>
      <c r="H13" s="304"/>
      <c r="I13" s="306"/>
      <c r="J13" s="308"/>
      <c r="L13" s="310" t="b">
        <f ca="1">пр.хода!BI17</f>
        <v>0</v>
      </c>
      <c r="M13" s="321" t="str">
        <f ca="1">IFERROR(VLOOKUP(L13,пр.взв!$B$7:$H$76,2,0),"")</f>
        <v/>
      </c>
      <c r="N13" s="302" t="str">
        <f ca="1">IFERROR(VLOOKUP(L13,пр.взв!$B$7:$H$76,3,0),"")</f>
        <v/>
      </c>
      <c r="O13" s="302" t="str">
        <f ca="1">IFERROR(VLOOKUP(L13,пр.взв!$B$7:$H$76,4,0),"")</f>
        <v/>
      </c>
      <c r="P13" s="302" t="str">
        <f ca="1">IFERROR(VLOOKUP(L13,пр.взв!$B$7:$H$76,5,0),"")</f>
        <v/>
      </c>
      <c r="Q13" s="304"/>
      <c r="R13" s="304"/>
      <c r="S13" s="306"/>
      <c r="T13" s="308"/>
    </row>
    <row r="14" spans="1:20">
      <c r="A14" s="273"/>
      <c r="B14" s="297"/>
      <c r="C14" s="322"/>
      <c r="D14" s="303"/>
      <c r="E14" s="303"/>
      <c r="F14" s="303"/>
      <c r="G14" s="305"/>
      <c r="H14" s="305"/>
      <c r="I14" s="307"/>
      <c r="J14" s="309"/>
      <c r="L14" s="311"/>
      <c r="M14" s="322"/>
      <c r="N14" s="303"/>
      <c r="O14" s="303"/>
      <c r="P14" s="303"/>
      <c r="Q14" s="305"/>
      <c r="R14" s="305"/>
      <c r="S14" s="307"/>
      <c r="T14" s="309"/>
    </row>
    <row r="15" spans="1:20">
      <c r="A15" s="273"/>
      <c r="B15" s="297">
        <f ca="1">пр.хода!BH17</f>
        <v>4</v>
      </c>
      <c r="C15" s="327" t="str">
        <f ca="1">IFERROR(VLOOKUP(B15,пр.взв!$B$7:$H$76,2,0),"")</f>
        <v>ГАСПАРЯН Наре Петросовна</v>
      </c>
      <c r="D15" s="329" t="str">
        <f ca="1">IFERROR(VLOOKUP(B15,пр.взв!$B$7:$H$76,3,0),"")</f>
        <v>26.02.97, КМС</v>
      </c>
      <c r="E15" s="329" t="str">
        <f ca="1">IFERROR(VLOOKUP(B15,пр.взв!$B$7:$H$76,4,0),"")</f>
        <v>УФО</v>
      </c>
      <c r="F15" s="329" t="str">
        <f ca="1">IFERROR(VLOOKUP(B15,пр.взв!$B$7:$H$76,5,0),"")</f>
        <v>Челябинская, Челябинск</v>
      </c>
      <c r="G15" s="305"/>
      <c r="H15" s="305"/>
      <c r="I15" s="307"/>
      <c r="J15" s="309"/>
      <c r="L15" s="311" t="b">
        <f ca="1">пр.хода!BJ17</f>
        <v>0</v>
      </c>
      <c r="M15" s="327" t="str">
        <f ca="1">IFERROR(VLOOKUP(L15,пр.взв!$B$7:$H$76,2,0),"")</f>
        <v/>
      </c>
      <c r="N15" s="329" t="str">
        <f ca="1">IFERROR(VLOOKUP(L15,пр.взв!$B$7:$H$76,3,0),"")</f>
        <v/>
      </c>
      <c r="O15" s="329" t="str">
        <f ca="1">IFERROR(VLOOKUP(L15,пр.взв!$B$7:$H$76,4,0),"")</f>
        <v/>
      </c>
      <c r="P15" s="329" t="str">
        <f ca="1">IFERROR(VLOOKUP(L15,пр.взв!$B$7:$H$76,5,0),"")</f>
        <v/>
      </c>
      <c r="Q15" s="305"/>
      <c r="R15" s="305"/>
      <c r="S15" s="307"/>
      <c r="T15" s="309"/>
    </row>
    <row r="16" spans="1:20" ht="13" thickBot="1">
      <c r="A16" s="273"/>
      <c r="B16" s="340"/>
      <c r="C16" s="328"/>
      <c r="D16" s="330"/>
      <c r="E16" s="330"/>
      <c r="F16" s="330"/>
      <c r="G16" s="317"/>
      <c r="H16" s="317"/>
      <c r="I16" s="318"/>
      <c r="J16" s="319"/>
      <c r="L16" s="320"/>
      <c r="M16" s="328"/>
      <c r="N16" s="330"/>
      <c r="O16" s="330"/>
      <c r="P16" s="330"/>
      <c r="Q16" s="317"/>
      <c r="R16" s="317"/>
      <c r="S16" s="318"/>
      <c r="T16" s="319"/>
    </row>
    <row r="17" spans="1:20">
      <c r="A17" s="273"/>
      <c r="B17" s="296" t="str">
        <f ca="1">пр.хода!BG18</f>
        <v xml:space="preserve"> </v>
      </c>
      <c r="C17" s="331" t="str">
        <f ca="1">IFERROR(VLOOKUP(B17,пр.взв!$B$7:$H$76,2,0),"")</f>
        <v/>
      </c>
      <c r="D17" s="333" t="str">
        <f ca="1">IFERROR(VLOOKUP(B17,пр.взв!$B$7:$H$76,3,0),"")</f>
        <v/>
      </c>
      <c r="E17" s="333" t="str">
        <f ca="1">IFERROR(VLOOKUP(B17,пр.взв!$B$7:$H$76,4,0),"")</f>
        <v/>
      </c>
      <c r="F17" s="333" t="str">
        <f ca="1">IFERROR(VLOOKUP(B17,пр.взв!$B$7:$H$76,5,0),"")</f>
        <v/>
      </c>
      <c r="G17" s="304"/>
      <c r="H17" s="304"/>
      <c r="I17" s="306"/>
      <c r="J17" s="308"/>
      <c r="L17" s="310" t="b">
        <f ca="1">пр.хода!BI18</f>
        <v>0</v>
      </c>
      <c r="M17" s="331" t="str">
        <f ca="1">IFERROR(VLOOKUP(L17,пр.взв!$B$7:$H$76,2,0),"")</f>
        <v/>
      </c>
      <c r="N17" s="333" t="str">
        <f ca="1">IFERROR(VLOOKUP(L17,пр.взв!$B$7:$H$76,3,0),"")</f>
        <v/>
      </c>
      <c r="O17" s="333" t="str">
        <f ca="1">IFERROR(VLOOKUP(L17,пр.взв!$B$7:$H$76,4,0),"")</f>
        <v/>
      </c>
      <c r="P17" s="333" t="str">
        <f ca="1">IFERROR(VLOOKUP(L17,пр.взв!$B$7:$H$76,5,0),"")</f>
        <v/>
      </c>
      <c r="Q17" s="304"/>
      <c r="R17" s="304"/>
      <c r="S17" s="306"/>
      <c r="T17" s="308"/>
    </row>
    <row r="18" spans="1:20">
      <c r="A18" s="273"/>
      <c r="B18" s="297"/>
      <c r="C18" s="332"/>
      <c r="D18" s="334"/>
      <c r="E18" s="334"/>
      <c r="F18" s="334"/>
      <c r="G18" s="305"/>
      <c r="H18" s="305"/>
      <c r="I18" s="307"/>
      <c r="J18" s="309"/>
      <c r="L18" s="311"/>
      <c r="M18" s="332"/>
      <c r="N18" s="334"/>
      <c r="O18" s="334"/>
      <c r="P18" s="334"/>
      <c r="Q18" s="305"/>
      <c r="R18" s="305"/>
      <c r="S18" s="307"/>
      <c r="T18" s="309"/>
    </row>
    <row r="19" spans="1:20">
      <c r="A19" s="273"/>
      <c r="B19" s="297" t="str">
        <f ca="1">пр.хода!BH18</f>
        <v xml:space="preserve"> </v>
      </c>
      <c r="C19" s="327" t="str">
        <f ca="1">IFERROR(VLOOKUP(B19,пр.взв!$B$7:$H$76,2,0),"")</f>
        <v/>
      </c>
      <c r="D19" s="329" t="str">
        <f ca="1">IFERROR(VLOOKUP(B19,пр.взв!$B$7:$H$76,3,0),"")</f>
        <v/>
      </c>
      <c r="E19" s="329" t="str">
        <f ca="1">IFERROR(VLOOKUP(B19,пр.взв!$B$7:$H$76,4,0),"")</f>
        <v/>
      </c>
      <c r="F19" s="329" t="str">
        <f ca="1">IFERROR(VLOOKUP(B19,пр.взв!$B$7:$H$76,5,0),"")</f>
        <v/>
      </c>
      <c r="G19" s="305"/>
      <c r="H19" s="305"/>
      <c r="I19" s="307"/>
      <c r="J19" s="309"/>
      <c r="L19" s="311" t="b">
        <f ca="1">пр.хода!BJ18</f>
        <v>0</v>
      </c>
      <c r="M19" s="327" t="str">
        <f ca="1">IFERROR(VLOOKUP(L19,пр.взв!$B$7:$H$76,2,0),"")</f>
        <v/>
      </c>
      <c r="N19" s="329" t="str">
        <f ca="1">IFERROR(VLOOKUP(L19,пр.взв!$B$7:$H$76,3,0),"")</f>
        <v/>
      </c>
      <c r="O19" s="329" t="str">
        <f ca="1">IFERROR(VLOOKUP(L19,пр.взв!$B$7:$H$76,4,0),"")</f>
        <v/>
      </c>
      <c r="P19" s="329" t="str">
        <f ca="1">IFERROR(VLOOKUP(L19,пр.взв!$B$7:$H$76,5,0),"")</f>
        <v/>
      </c>
      <c r="Q19" s="305"/>
      <c r="R19" s="305"/>
      <c r="S19" s="307"/>
      <c r="T19" s="309"/>
    </row>
    <row r="20" spans="1:20" ht="13" thickBot="1">
      <c r="A20" s="273"/>
      <c r="B20" s="340"/>
      <c r="C20" s="328"/>
      <c r="D20" s="330"/>
      <c r="E20" s="330"/>
      <c r="F20" s="330"/>
      <c r="G20" s="317"/>
      <c r="H20" s="317"/>
      <c r="I20" s="318"/>
      <c r="J20" s="319"/>
      <c r="L20" s="320"/>
      <c r="M20" s="328"/>
      <c r="N20" s="330"/>
      <c r="O20" s="330"/>
      <c r="P20" s="330"/>
      <c r="Q20" s="317"/>
      <c r="R20" s="317"/>
      <c r="S20" s="318"/>
      <c r="T20" s="319"/>
    </row>
    <row r="21" spans="1:20">
      <c r="A21" s="273"/>
      <c r="B21" s="296" t="str">
        <f ca="1">пр.хода!BG19</f>
        <v xml:space="preserve"> </v>
      </c>
      <c r="C21" s="331" t="str">
        <f ca="1">IFERROR(VLOOKUP(B21,пр.взв!$B$7:$H$76,2,0),"")</f>
        <v/>
      </c>
      <c r="D21" s="333" t="str">
        <f ca="1">IFERROR(VLOOKUP(B21,пр.взв!$B$7:$H$76,3,0),"")</f>
        <v/>
      </c>
      <c r="E21" s="333" t="str">
        <f ca="1">IFERROR(VLOOKUP(B21,пр.взв!$B$7:$H$76,4,0),"")</f>
        <v/>
      </c>
      <c r="F21" s="333" t="str">
        <f ca="1">IFERROR(VLOOKUP(B21,пр.взв!$B$7:$H$76,5,0),"")</f>
        <v/>
      </c>
      <c r="G21" s="335"/>
      <c r="H21" s="304"/>
      <c r="I21" s="306"/>
      <c r="J21" s="308"/>
      <c r="L21" s="310" t="b">
        <f ca="1">пр.хода!BI19</f>
        <v>0</v>
      </c>
      <c r="M21" s="331" t="str">
        <f ca="1">IFERROR(VLOOKUP(L21,пр.взв!$B$7:$H$76,2,0),"")</f>
        <v/>
      </c>
      <c r="N21" s="333" t="str">
        <f ca="1">IFERROR(VLOOKUP(L21,пр.взв!$B$7:$H$76,3,0),"")</f>
        <v/>
      </c>
      <c r="O21" s="333" t="str">
        <f ca="1">IFERROR(VLOOKUP(L21,пр.взв!$B$7:$H$76,4,0),"")</f>
        <v/>
      </c>
      <c r="P21" s="333" t="str">
        <f ca="1">IFERROR(VLOOKUP(L21,пр.взв!$B$7:$H$76,5,0),"")</f>
        <v/>
      </c>
      <c r="Q21" s="304"/>
      <c r="R21" s="304"/>
      <c r="S21" s="306"/>
      <c r="T21" s="308"/>
    </row>
    <row r="22" spans="1:20">
      <c r="A22" s="273"/>
      <c r="B22" s="297"/>
      <c r="C22" s="332"/>
      <c r="D22" s="334"/>
      <c r="E22" s="334"/>
      <c r="F22" s="334"/>
      <c r="G22" s="336"/>
      <c r="H22" s="305"/>
      <c r="I22" s="307"/>
      <c r="J22" s="309"/>
      <c r="L22" s="311"/>
      <c r="M22" s="332"/>
      <c r="N22" s="334"/>
      <c r="O22" s="334"/>
      <c r="P22" s="334"/>
      <c r="Q22" s="305"/>
      <c r="R22" s="305"/>
      <c r="S22" s="307"/>
      <c r="T22" s="309"/>
    </row>
    <row r="23" spans="1:20">
      <c r="A23" s="273"/>
      <c r="B23" s="297" t="str">
        <f ca="1">пр.хода!BH19</f>
        <v xml:space="preserve"> </v>
      </c>
      <c r="C23" s="327" t="str">
        <f ca="1">IFERROR(VLOOKUP(B23,пр.взв!$B$7:$H$76,2,0),"")</f>
        <v/>
      </c>
      <c r="D23" s="329" t="str">
        <f ca="1">IFERROR(VLOOKUP(B23,пр.взв!$B$7:$H$76,3,0),"")</f>
        <v/>
      </c>
      <c r="E23" s="329" t="str">
        <f ca="1">IFERROR(VLOOKUP(B23,пр.взв!$B$7:$H$76,4,0),"")</f>
        <v/>
      </c>
      <c r="F23" s="329" t="str">
        <f ca="1">IFERROR(VLOOKUP(B23,пр.взв!$B$7:$H$76,5,0),"")</f>
        <v/>
      </c>
      <c r="G23" s="305"/>
      <c r="H23" s="305"/>
      <c r="I23" s="307"/>
      <c r="J23" s="309"/>
      <c r="L23" s="311" t="b">
        <f ca="1">пр.хода!BJ19</f>
        <v>0</v>
      </c>
      <c r="M23" s="327" t="str">
        <f ca="1">IFERROR(VLOOKUP(L23,пр.взв!$B$7:$H$76,2,0),"")</f>
        <v/>
      </c>
      <c r="N23" s="329" t="str">
        <f ca="1">IFERROR(VLOOKUP(L23,пр.взв!$B$7:$H$76,3,0),"")</f>
        <v/>
      </c>
      <c r="O23" s="329" t="str">
        <f ca="1">IFERROR(VLOOKUP(L23,пр.взв!$B$7:$H$76,4,0),"")</f>
        <v/>
      </c>
      <c r="P23" s="329" t="str">
        <f ca="1">IFERROR(VLOOKUP(L23,пр.взв!$B$7:$H$76,5,0),"")</f>
        <v/>
      </c>
      <c r="Q23" s="305"/>
      <c r="R23" s="305"/>
      <c r="S23" s="307"/>
      <c r="T23" s="309"/>
    </row>
    <row r="24" spans="1:20" ht="13" thickBot="1">
      <c r="A24" s="273"/>
      <c r="B24" s="340"/>
      <c r="C24" s="328"/>
      <c r="D24" s="330"/>
      <c r="E24" s="330"/>
      <c r="F24" s="330"/>
      <c r="G24" s="317"/>
      <c r="H24" s="317"/>
      <c r="I24" s="318"/>
      <c r="J24" s="319"/>
      <c r="L24" s="320"/>
      <c r="M24" s="328"/>
      <c r="N24" s="330"/>
      <c r="O24" s="330"/>
      <c r="P24" s="330"/>
      <c r="Q24" s="317"/>
      <c r="R24" s="317"/>
      <c r="S24" s="318"/>
      <c r="T24" s="319"/>
    </row>
    <row r="25" spans="1:20">
      <c r="A25" s="273"/>
      <c r="B25" s="296" t="str">
        <f ca="1">пр.хода!BG20</f>
        <v xml:space="preserve"> </v>
      </c>
      <c r="C25" s="321" t="str">
        <f ca="1">IFERROR(VLOOKUP(B25,пр.взв!$B$7:$H$76,2,0),"")</f>
        <v/>
      </c>
      <c r="D25" s="302" t="str">
        <f ca="1">IFERROR(VLOOKUP(B25,пр.взв!$B$7:$H$76,3,0),"")</f>
        <v/>
      </c>
      <c r="E25" s="302" t="str">
        <f ca="1">IFERROR(VLOOKUP(B25,пр.взв!$B$7:$H$76,4,0),"")</f>
        <v/>
      </c>
      <c r="F25" s="302" t="str">
        <f ca="1">IFERROR(VLOOKUP(B25,пр.взв!$B$7:$H$76,5,0),"")</f>
        <v/>
      </c>
      <c r="G25" s="304"/>
      <c r="H25" s="304"/>
      <c r="I25" s="306"/>
      <c r="J25" s="308"/>
      <c r="L25" s="310" t="b">
        <f ca="1">пр.хода!BI20</f>
        <v>0</v>
      </c>
      <c r="M25" s="321" t="str">
        <f ca="1">IFERROR(VLOOKUP(L25,пр.взв!$B$7:$H$76,2,0),"")</f>
        <v/>
      </c>
      <c r="N25" s="302" t="str">
        <f ca="1">IFERROR(VLOOKUP(L25,пр.взв!$B$7:$H$76,3,0),"")</f>
        <v/>
      </c>
      <c r="O25" s="302" t="str">
        <f ca="1">IFERROR(VLOOKUP(L25,пр.взв!$B$7:$H$76,4,0),"")</f>
        <v/>
      </c>
      <c r="P25" s="302" t="str">
        <f ca="1">IFERROR(VLOOKUP(L25,пр.взв!$B$7:$H$76,5,0),"")</f>
        <v/>
      </c>
      <c r="Q25" s="304"/>
      <c r="R25" s="304"/>
      <c r="S25" s="306"/>
      <c r="T25" s="308"/>
    </row>
    <row r="26" spans="1:20">
      <c r="A26" s="273"/>
      <c r="B26" s="297"/>
      <c r="C26" s="322"/>
      <c r="D26" s="303"/>
      <c r="E26" s="303"/>
      <c r="F26" s="303"/>
      <c r="G26" s="305"/>
      <c r="H26" s="305"/>
      <c r="I26" s="307"/>
      <c r="J26" s="309"/>
      <c r="L26" s="311"/>
      <c r="M26" s="322"/>
      <c r="N26" s="303"/>
      <c r="O26" s="303"/>
      <c r="P26" s="303"/>
      <c r="Q26" s="305"/>
      <c r="R26" s="305"/>
      <c r="S26" s="307"/>
      <c r="T26" s="309"/>
    </row>
    <row r="27" spans="1:20">
      <c r="A27" s="273"/>
      <c r="B27" s="297" t="str">
        <f ca="1">пр.хода!BH20</f>
        <v xml:space="preserve"> </v>
      </c>
      <c r="C27" s="313" t="str">
        <f ca="1">IFERROR(VLOOKUP(B27,пр.взв!$B$7:$H$76,2,0),"")</f>
        <v/>
      </c>
      <c r="D27" s="315" t="str">
        <f ca="1">IFERROR(VLOOKUP(B27,пр.взв!$B$7:$H$76,3,0),"")</f>
        <v/>
      </c>
      <c r="E27" s="315" t="str">
        <f ca="1">IFERROR(VLOOKUP(B27,пр.взв!$B$7:$H$76,4,0),"")</f>
        <v/>
      </c>
      <c r="F27" s="315" t="str">
        <f ca="1">IFERROR(VLOOKUP(B27,пр.взв!$B$7:$H$76,5,0),"")</f>
        <v/>
      </c>
      <c r="G27" s="305"/>
      <c r="H27" s="305"/>
      <c r="I27" s="307"/>
      <c r="J27" s="309"/>
      <c r="L27" s="311" t="b">
        <f ca="1">пр.хода!BJ20</f>
        <v>0</v>
      </c>
      <c r="M27" s="313" t="str">
        <f ca="1">IFERROR(VLOOKUP(L27,пр.взв!$B$7:$H$76,2,0),"")</f>
        <v/>
      </c>
      <c r="N27" s="315" t="str">
        <f ca="1">IFERROR(VLOOKUP(L27,пр.взв!$B$7:$H$76,3,0),"")</f>
        <v/>
      </c>
      <c r="O27" s="315" t="str">
        <f ca="1">IFERROR(VLOOKUP(L27,пр.взв!$B$7:$H$76,4,0),"")</f>
        <v/>
      </c>
      <c r="P27" s="315" t="str">
        <f ca="1">IFERROR(VLOOKUP(L27,пр.взв!$B$7:$H$76,5,0),"")</f>
        <v/>
      </c>
      <c r="Q27" s="305"/>
      <c r="R27" s="305"/>
      <c r="S27" s="307"/>
      <c r="T27" s="309"/>
    </row>
    <row r="28" spans="1:20" ht="13" thickBot="1">
      <c r="A28" s="273"/>
      <c r="B28" s="340"/>
      <c r="C28" s="314"/>
      <c r="D28" s="316"/>
      <c r="E28" s="316"/>
      <c r="F28" s="316"/>
      <c r="G28" s="317"/>
      <c r="H28" s="317"/>
      <c r="I28" s="318"/>
      <c r="J28" s="319"/>
      <c r="L28" s="320"/>
      <c r="M28" s="314"/>
      <c r="N28" s="316"/>
      <c r="O28" s="316"/>
      <c r="P28" s="316"/>
      <c r="Q28" s="317"/>
      <c r="R28" s="317"/>
      <c r="S28" s="318"/>
      <c r="T28" s="319"/>
    </row>
    <row r="29" spans="1:20">
      <c r="A29" s="273"/>
      <c r="B29" s="296"/>
      <c r="C29" s="321" t="str">
        <f>IFERROR(VLOOKUP(B29,пр.взв!$B$7:$H$76,2,0),"")</f>
        <v/>
      </c>
      <c r="D29" s="302" t="str">
        <f>IFERROR(VLOOKUP(B29,пр.взв!$B$7:$H$76,3,0),"")</f>
        <v/>
      </c>
      <c r="E29" s="302" t="str">
        <f>IFERROR(VLOOKUP(B29,пр.взв!$B$7:$H$76,4,0),"")</f>
        <v/>
      </c>
      <c r="F29" s="302" t="str">
        <f>IFERROR(VLOOKUP(B29,пр.взв!$B$7:$H$76,5,0),"")</f>
        <v/>
      </c>
      <c r="G29" s="304"/>
      <c r="H29" s="304"/>
      <c r="I29" s="306"/>
      <c r="J29" s="308"/>
      <c r="L29" s="310"/>
      <c r="M29" s="321" t="str">
        <f>IFERROR(VLOOKUP(L29,пр.взв!$B$7:$H$76,2,0),"")</f>
        <v/>
      </c>
      <c r="N29" s="302" t="str">
        <f>IFERROR(VLOOKUP(L29,пр.взв!$B$7:$H$76,3,0),"")</f>
        <v/>
      </c>
      <c r="O29" s="302" t="str">
        <f>IFERROR(VLOOKUP(L29,пр.взв!$B$7:$H$76,4,0),"")</f>
        <v/>
      </c>
      <c r="P29" s="302" t="str">
        <f>IFERROR(VLOOKUP(L29,пр.взв!$B$7:$H$76,5,0),"")</f>
        <v/>
      </c>
      <c r="Q29" s="304"/>
      <c r="R29" s="304"/>
      <c r="S29" s="306"/>
      <c r="T29" s="308"/>
    </row>
    <row r="30" spans="1:20">
      <c r="A30" s="273"/>
      <c r="B30" s="297"/>
      <c r="C30" s="322"/>
      <c r="D30" s="303"/>
      <c r="E30" s="303"/>
      <c r="F30" s="303"/>
      <c r="G30" s="305"/>
      <c r="H30" s="305"/>
      <c r="I30" s="307"/>
      <c r="J30" s="309"/>
      <c r="L30" s="311"/>
      <c r="M30" s="322"/>
      <c r="N30" s="303"/>
      <c r="O30" s="303"/>
      <c r="P30" s="303"/>
      <c r="Q30" s="305"/>
      <c r="R30" s="305"/>
      <c r="S30" s="307"/>
      <c r="T30" s="309"/>
    </row>
    <row r="31" spans="1:20">
      <c r="A31" s="273"/>
      <c r="B31" s="297"/>
      <c r="C31" s="313" t="str">
        <f>IFERROR(VLOOKUP(B31,пр.взв!$B$7:$H$76,2,0),"")</f>
        <v/>
      </c>
      <c r="D31" s="315" t="str">
        <f>IFERROR(VLOOKUP(B31,пр.взв!$B$7:$H$76,3,0),"")</f>
        <v/>
      </c>
      <c r="E31" s="315" t="str">
        <f>IFERROR(VLOOKUP(B31,пр.взв!$B$7:$H$76,4,0),"")</f>
        <v/>
      </c>
      <c r="F31" s="315" t="str">
        <f>IFERROR(VLOOKUP(B31,пр.взв!$B$7:$H$76,5,0),"")</f>
        <v/>
      </c>
      <c r="G31" s="305"/>
      <c r="H31" s="305"/>
      <c r="I31" s="307"/>
      <c r="J31" s="309"/>
      <c r="L31" s="311"/>
      <c r="M31" s="313" t="str">
        <f>IFERROR(VLOOKUP(L31,пр.взв!$B$7:$H$76,2,0),"")</f>
        <v/>
      </c>
      <c r="N31" s="315" t="str">
        <f>IFERROR(VLOOKUP(L31,пр.взв!$B$7:$H$76,3,0),"")</f>
        <v/>
      </c>
      <c r="O31" s="315" t="str">
        <f>IFERROR(VLOOKUP(L31,пр.взв!$B$7:$H$76,4,0),"")</f>
        <v/>
      </c>
      <c r="P31" s="315" t="str">
        <f>IFERROR(VLOOKUP(L31,пр.взв!$B$7:$H$76,5,0),"")</f>
        <v/>
      </c>
      <c r="Q31" s="305"/>
      <c r="R31" s="305"/>
      <c r="S31" s="307"/>
      <c r="T31" s="309"/>
    </row>
    <row r="32" spans="1:20" ht="13" thickBot="1">
      <c r="A32" s="273"/>
      <c r="B32" s="340"/>
      <c r="C32" s="314"/>
      <c r="D32" s="316"/>
      <c r="E32" s="316"/>
      <c r="F32" s="316"/>
      <c r="G32" s="317"/>
      <c r="H32" s="317"/>
      <c r="I32" s="318"/>
      <c r="J32" s="319"/>
      <c r="L32" s="320"/>
      <c r="M32" s="314"/>
      <c r="N32" s="316"/>
      <c r="O32" s="316"/>
      <c r="P32" s="316"/>
      <c r="Q32" s="317"/>
      <c r="R32" s="317"/>
      <c r="S32" s="318"/>
      <c r="T32" s="319"/>
    </row>
    <row r="33" spans="1:20">
      <c r="A33" s="273"/>
      <c r="B33" s="296"/>
      <c r="C33" s="321" t="str">
        <f>IFERROR(VLOOKUP(B33,пр.взв!$B$7:$H$76,2,0),"")</f>
        <v/>
      </c>
      <c r="D33" s="302" t="str">
        <f>IFERROR(VLOOKUP(B33,пр.взв!$B$7:$H$76,3,0),"")</f>
        <v/>
      </c>
      <c r="E33" s="302" t="str">
        <f>IFERROR(VLOOKUP(B33,пр.взв!$B$7:$H$76,4,0),"")</f>
        <v/>
      </c>
      <c r="F33" s="302" t="str">
        <f>IFERROR(VLOOKUP(B33,пр.взв!$B$7:$H$76,5,0),"")</f>
        <v/>
      </c>
      <c r="G33" s="304"/>
      <c r="H33" s="304"/>
      <c r="I33" s="306"/>
      <c r="J33" s="308"/>
      <c r="L33" s="310"/>
      <c r="M33" s="321" t="str">
        <f>IFERROR(VLOOKUP(L33,пр.взв!$B$7:$H$76,2,0),"")</f>
        <v/>
      </c>
      <c r="N33" s="302" t="str">
        <f>IFERROR(VLOOKUP(L33,пр.взв!$B$7:$H$76,3,0),"")</f>
        <v/>
      </c>
      <c r="O33" s="302" t="str">
        <f>IFERROR(VLOOKUP(L33,пр.взв!$B$7:$H$76,4,0),"")</f>
        <v/>
      </c>
      <c r="P33" s="302" t="str">
        <f>IFERROR(VLOOKUP(L33,пр.взв!$B$7:$H$76,5,0),"")</f>
        <v/>
      </c>
      <c r="Q33" s="304"/>
      <c r="R33" s="304"/>
      <c r="S33" s="306"/>
      <c r="T33" s="308"/>
    </row>
    <row r="34" spans="1:20">
      <c r="A34" s="273"/>
      <c r="B34" s="297"/>
      <c r="C34" s="322"/>
      <c r="D34" s="303"/>
      <c r="E34" s="303"/>
      <c r="F34" s="303"/>
      <c r="G34" s="305"/>
      <c r="H34" s="305"/>
      <c r="I34" s="307"/>
      <c r="J34" s="309"/>
      <c r="L34" s="311"/>
      <c r="M34" s="322"/>
      <c r="N34" s="303"/>
      <c r="O34" s="303"/>
      <c r="P34" s="303"/>
      <c r="Q34" s="305"/>
      <c r="R34" s="305"/>
      <c r="S34" s="307"/>
      <c r="T34" s="309"/>
    </row>
    <row r="35" spans="1:20">
      <c r="A35" s="273"/>
      <c r="B35" s="297"/>
      <c r="C35" s="313" t="str">
        <f>IFERROR(VLOOKUP(B35,пр.взв!$B$7:$H$76,2,0),"")</f>
        <v/>
      </c>
      <c r="D35" s="315" t="str">
        <f>IFERROR(VLOOKUP(B35,пр.взв!$B$7:$H$76,3,0),"")</f>
        <v/>
      </c>
      <c r="E35" s="315" t="str">
        <f>IFERROR(VLOOKUP(B35,пр.взв!$B$7:$H$76,4,0),"")</f>
        <v/>
      </c>
      <c r="F35" s="315" t="str">
        <f>IFERROR(VLOOKUP(B35,пр.взв!$B$7:$H$76,5,0),"")</f>
        <v/>
      </c>
      <c r="G35" s="305"/>
      <c r="H35" s="305"/>
      <c r="I35" s="307"/>
      <c r="J35" s="309"/>
      <c r="L35" s="311"/>
      <c r="M35" s="313" t="str">
        <f>IFERROR(VLOOKUP(L35,пр.взв!$B$7:$H$76,2,0),"")</f>
        <v/>
      </c>
      <c r="N35" s="315" t="str">
        <f>IFERROR(VLOOKUP(L35,пр.взв!$B$7:$H$76,3,0),"")</f>
        <v/>
      </c>
      <c r="O35" s="315" t="str">
        <f>IFERROR(VLOOKUP(L35,пр.взв!$B$7:$H$76,4,0),"")</f>
        <v/>
      </c>
      <c r="P35" s="315" t="str">
        <f>IFERROR(VLOOKUP(L35,пр.взв!$B$7:$H$76,5,0),"")</f>
        <v/>
      </c>
      <c r="Q35" s="305"/>
      <c r="R35" s="305"/>
      <c r="S35" s="307"/>
      <c r="T35" s="309"/>
    </row>
    <row r="36" spans="1:20" ht="13" thickBot="1">
      <c r="A36" s="273"/>
      <c r="B36" s="340"/>
      <c r="C36" s="314"/>
      <c r="D36" s="316"/>
      <c r="E36" s="316"/>
      <c r="F36" s="316"/>
      <c r="G36" s="317"/>
      <c r="H36" s="317"/>
      <c r="I36" s="318"/>
      <c r="J36" s="319"/>
      <c r="L36" s="320"/>
      <c r="M36" s="314"/>
      <c r="N36" s="316"/>
      <c r="O36" s="316"/>
      <c r="P36" s="316"/>
      <c r="Q36" s="317"/>
      <c r="R36" s="317"/>
      <c r="S36" s="318"/>
      <c r="T36" s="319"/>
    </row>
    <row r="37" spans="1:20">
      <c r="A37" s="273"/>
      <c r="B37" s="296"/>
      <c r="C37" s="321" t="str">
        <f>IFERROR(VLOOKUP(B37,пр.взв!$B$7:$H$76,2,0),"")</f>
        <v/>
      </c>
      <c r="D37" s="302" t="str">
        <f>IFERROR(VLOOKUP(B37,пр.взв!$B$7:$H$76,3,0),"")</f>
        <v/>
      </c>
      <c r="E37" s="302" t="str">
        <f>IFERROR(VLOOKUP(B37,пр.взв!$B$7:$H$76,4,0),"")</f>
        <v/>
      </c>
      <c r="F37" s="302" t="str">
        <f>IFERROR(VLOOKUP(B37,пр.взв!$B$7:$H$76,5,0),"")</f>
        <v/>
      </c>
      <c r="G37" s="304"/>
      <c r="H37" s="304"/>
      <c r="I37" s="306"/>
      <c r="J37" s="308"/>
      <c r="L37" s="310"/>
      <c r="M37" s="321" t="str">
        <f>IFERROR(VLOOKUP(L37,пр.взв!$B$7:$H$76,2,0),"")</f>
        <v/>
      </c>
      <c r="N37" s="302" t="str">
        <f>IFERROR(VLOOKUP(L37,пр.взв!$B$7:$H$76,3,0),"")</f>
        <v/>
      </c>
      <c r="O37" s="302" t="str">
        <f>IFERROR(VLOOKUP(L37,пр.взв!$B$7:$H$76,4,0),"")</f>
        <v/>
      </c>
      <c r="P37" s="302" t="str">
        <f>IFERROR(VLOOKUP(L37,пр.взв!$B$7:$H$76,5,0),"")</f>
        <v/>
      </c>
      <c r="Q37" s="304"/>
      <c r="R37" s="304"/>
      <c r="S37" s="306"/>
      <c r="T37" s="308"/>
    </row>
    <row r="38" spans="1:20">
      <c r="A38" s="273"/>
      <c r="B38" s="297"/>
      <c r="C38" s="322"/>
      <c r="D38" s="303"/>
      <c r="E38" s="303"/>
      <c r="F38" s="303"/>
      <c r="G38" s="305"/>
      <c r="H38" s="305"/>
      <c r="I38" s="307"/>
      <c r="J38" s="309"/>
      <c r="L38" s="311"/>
      <c r="M38" s="322"/>
      <c r="N38" s="303"/>
      <c r="O38" s="303"/>
      <c r="P38" s="303"/>
      <c r="Q38" s="305"/>
      <c r="R38" s="305"/>
      <c r="S38" s="307"/>
      <c r="T38" s="309"/>
    </row>
    <row r="39" spans="1:20">
      <c r="A39" s="273"/>
      <c r="B39" s="297"/>
      <c r="C39" s="313" t="str">
        <f>IFERROR(VLOOKUP(B39,пр.взв!$B$7:$H$76,2,0),"")</f>
        <v/>
      </c>
      <c r="D39" s="315" t="str">
        <f>IFERROR(VLOOKUP(B39,пр.взв!$B$7:$H$76,3,0),"")</f>
        <v/>
      </c>
      <c r="E39" s="315" t="str">
        <f>IFERROR(VLOOKUP(B39,пр.взв!$B$7:$H$76,4,0),"")</f>
        <v/>
      </c>
      <c r="F39" s="315" t="str">
        <f>IFERROR(VLOOKUP(B39,пр.взв!$B$7:$H$76,5,0),"")</f>
        <v/>
      </c>
      <c r="G39" s="305"/>
      <c r="H39" s="305"/>
      <c r="I39" s="307"/>
      <c r="J39" s="309"/>
      <c r="L39" s="311"/>
      <c r="M39" s="313" t="str">
        <f>IFERROR(VLOOKUP(L39,пр.взв!$B$7:$H$76,2,0),"")</f>
        <v/>
      </c>
      <c r="N39" s="315" t="str">
        <f>IFERROR(VLOOKUP(L39,пр.взв!$B$7:$H$76,3,0),"")</f>
        <v/>
      </c>
      <c r="O39" s="315" t="str">
        <f>IFERROR(VLOOKUP(L39,пр.взв!$B$7:$H$76,4,0),"")</f>
        <v/>
      </c>
      <c r="P39" s="315" t="str">
        <f>IFERROR(VLOOKUP(L39,пр.взв!$B$7:$H$76,5,0),"")</f>
        <v/>
      </c>
      <c r="Q39" s="305"/>
      <c r="R39" s="305"/>
      <c r="S39" s="307"/>
      <c r="T39" s="309"/>
    </row>
    <row r="40" spans="1:20" ht="13" thickBot="1">
      <c r="A40" s="273"/>
      <c r="B40" s="340"/>
      <c r="C40" s="314"/>
      <c r="D40" s="316"/>
      <c r="E40" s="316"/>
      <c r="F40" s="316"/>
      <c r="G40" s="317"/>
      <c r="H40" s="317"/>
      <c r="I40" s="318"/>
      <c r="J40" s="319"/>
      <c r="L40" s="320"/>
      <c r="M40" s="314"/>
      <c r="N40" s="316"/>
      <c r="O40" s="316"/>
      <c r="P40" s="316"/>
      <c r="Q40" s="317"/>
      <c r="R40" s="317"/>
      <c r="S40" s="318"/>
      <c r="T40" s="319"/>
    </row>
    <row r="41" spans="1:20">
      <c r="A41" s="273"/>
      <c r="B41" s="296"/>
      <c r="C41" s="321" t="str">
        <f>IFERROR(VLOOKUP(B41,пр.взв!$B$7:$H$76,2,0),"")</f>
        <v/>
      </c>
      <c r="D41" s="302" t="str">
        <f>IFERROR(VLOOKUP(B41,пр.взв!$B$7:$H$76,3,0),"")</f>
        <v/>
      </c>
      <c r="E41" s="302" t="str">
        <f>IFERROR(VLOOKUP(B41,пр.взв!$B$7:$H$76,4,0),"")</f>
        <v/>
      </c>
      <c r="F41" s="302" t="str">
        <f>IFERROR(VLOOKUP(B41,пр.взв!$B$7:$H$76,5,0),"")</f>
        <v/>
      </c>
      <c r="G41" s="304"/>
      <c r="H41" s="304"/>
      <c r="I41" s="306"/>
      <c r="J41" s="308"/>
      <c r="L41" s="310"/>
      <c r="M41" s="321" t="str">
        <f>IFERROR(VLOOKUP(L41,пр.взв!$B$7:$H$76,2,0),"")</f>
        <v/>
      </c>
      <c r="N41" s="302" t="str">
        <f>IFERROR(VLOOKUP(L41,пр.взв!$B$7:$H$76,3,0),"")</f>
        <v/>
      </c>
      <c r="O41" s="302" t="str">
        <f>IFERROR(VLOOKUP(L41,пр.взв!$B$7:$H$76,4,0),"")</f>
        <v/>
      </c>
      <c r="P41" s="302" t="str">
        <f>IFERROR(VLOOKUP(L41,пр.взв!$B$7:$H$76,5,0),"")</f>
        <v/>
      </c>
      <c r="Q41" s="304"/>
      <c r="R41" s="304"/>
      <c r="S41" s="306"/>
      <c r="T41" s="308"/>
    </row>
    <row r="42" spans="1:20">
      <c r="A42" s="273"/>
      <c r="B42" s="297"/>
      <c r="C42" s="322"/>
      <c r="D42" s="303"/>
      <c r="E42" s="303"/>
      <c r="F42" s="303"/>
      <c r="G42" s="305"/>
      <c r="H42" s="305"/>
      <c r="I42" s="307"/>
      <c r="J42" s="309"/>
      <c r="L42" s="311"/>
      <c r="M42" s="322"/>
      <c r="N42" s="303"/>
      <c r="O42" s="303"/>
      <c r="P42" s="303"/>
      <c r="Q42" s="305"/>
      <c r="R42" s="305"/>
      <c r="S42" s="307"/>
      <c r="T42" s="309"/>
    </row>
    <row r="43" spans="1:20">
      <c r="A43" s="273"/>
      <c r="B43" s="297"/>
      <c r="C43" s="313" t="str">
        <f>IFERROR(VLOOKUP(B43,пр.взв!$B$7:$H$76,2,0),"")</f>
        <v/>
      </c>
      <c r="D43" s="315" t="str">
        <f>IFERROR(VLOOKUP(B43,пр.взв!$B$7:$H$76,3,0),"")</f>
        <v/>
      </c>
      <c r="E43" s="315" t="str">
        <f>IFERROR(VLOOKUP(B43,пр.взв!$B$7:$H$76,4,0),"")</f>
        <v/>
      </c>
      <c r="F43" s="315" t="str">
        <f>IFERROR(VLOOKUP(B43,пр.взв!$B$7:$H$76,5,0),"")</f>
        <v/>
      </c>
      <c r="G43" s="305"/>
      <c r="H43" s="305"/>
      <c r="I43" s="307"/>
      <c r="J43" s="309"/>
      <c r="L43" s="311"/>
      <c r="M43" s="313" t="str">
        <f>IFERROR(VLOOKUP(L43,пр.взв!$B$7:$H$76,2,0),"")</f>
        <v/>
      </c>
      <c r="N43" s="315" t="str">
        <f>IFERROR(VLOOKUP(L43,пр.взв!$B$7:$H$76,3,0),"")</f>
        <v/>
      </c>
      <c r="O43" s="315" t="str">
        <f>IFERROR(VLOOKUP(L43,пр.взв!$B$7:$H$76,4,0),"")</f>
        <v/>
      </c>
      <c r="P43" s="315" t="str">
        <f>IFERROR(VLOOKUP(L43,пр.взв!$B$7:$H$76,5,0),"")</f>
        <v/>
      </c>
      <c r="Q43" s="305"/>
      <c r="R43" s="305"/>
      <c r="S43" s="307"/>
      <c r="T43" s="309"/>
    </row>
    <row r="44" spans="1:20" ht="13" thickBot="1">
      <c r="A44" s="273"/>
      <c r="B44" s="340"/>
      <c r="C44" s="314"/>
      <c r="D44" s="316"/>
      <c r="E44" s="316"/>
      <c r="F44" s="316"/>
      <c r="G44" s="317"/>
      <c r="H44" s="317"/>
      <c r="I44" s="318"/>
      <c r="J44" s="319"/>
      <c r="L44" s="320"/>
      <c r="M44" s="314"/>
      <c r="N44" s="316"/>
      <c r="O44" s="316"/>
      <c r="P44" s="316"/>
      <c r="Q44" s="317"/>
      <c r="R44" s="317"/>
      <c r="S44" s="318"/>
      <c r="T44" s="319"/>
    </row>
    <row r="45" spans="1:20">
      <c r="A45" s="273"/>
      <c r="B45" s="296"/>
      <c r="C45" s="321" t="str">
        <f>IFERROR(VLOOKUP(B45,пр.взв!$B$7:$H$76,2,0),"")</f>
        <v/>
      </c>
      <c r="D45" s="302" t="str">
        <f>IFERROR(VLOOKUP(B45,пр.взв!$B$7:$H$76,3,0),"")</f>
        <v/>
      </c>
      <c r="E45" s="302" t="str">
        <f>IFERROR(VLOOKUP(B45,пр.взв!$B$7:$H$76,4,0),"")</f>
        <v/>
      </c>
      <c r="F45" s="302" t="str">
        <f>IFERROR(VLOOKUP(B45,пр.взв!$B$7:$H$76,5,0),"")</f>
        <v/>
      </c>
      <c r="G45" s="304"/>
      <c r="H45" s="304"/>
      <c r="I45" s="306"/>
      <c r="J45" s="308"/>
      <c r="L45" s="310"/>
      <c r="M45" s="321" t="str">
        <f>IFERROR(VLOOKUP(L45,пр.взв!$B$7:$H$76,2,0),"")</f>
        <v/>
      </c>
      <c r="N45" s="302" t="str">
        <f>IFERROR(VLOOKUP(L45,пр.взв!$B$7:$H$76,3,0),"")</f>
        <v/>
      </c>
      <c r="O45" s="302" t="str">
        <f>IFERROR(VLOOKUP(L45,пр.взв!$B$7:$H$76,4,0),"")</f>
        <v/>
      </c>
      <c r="P45" s="302" t="str">
        <f>IFERROR(VLOOKUP(L45,пр.взв!$B$7:$H$76,5,0),"")</f>
        <v/>
      </c>
      <c r="Q45" s="304"/>
      <c r="R45" s="304"/>
      <c r="S45" s="306"/>
      <c r="T45" s="308"/>
    </row>
    <row r="46" spans="1:20">
      <c r="A46" s="273"/>
      <c r="B46" s="297"/>
      <c r="C46" s="322"/>
      <c r="D46" s="303"/>
      <c r="E46" s="303"/>
      <c r="F46" s="303"/>
      <c r="G46" s="305"/>
      <c r="H46" s="305"/>
      <c r="I46" s="307"/>
      <c r="J46" s="309"/>
      <c r="L46" s="311"/>
      <c r="M46" s="322"/>
      <c r="N46" s="303"/>
      <c r="O46" s="303"/>
      <c r="P46" s="303"/>
      <c r="Q46" s="305"/>
      <c r="R46" s="305"/>
      <c r="S46" s="307"/>
      <c r="T46" s="309"/>
    </row>
    <row r="47" spans="1:20">
      <c r="A47" s="273"/>
      <c r="B47" s="297"/>
      <c r="C47" s="313" t="str">
        <f>IFERROR(VLOOKUP(B47,пр.взв!$B$7:$H$76,2,0),"")</f>
        <v/>
      </c>
      <c r="D47" s="315" t="str">
        <f>IFERROR(VLOOKUP(B47,пр.взв!$B$7:$H$76,3,0),"")</f>
        <v/>
      </c>
      <c r="E47" s="315" t="str">
        <f>IFERROR(VLOOKUP(B47,пр.взв!$B$7:$H$76,4,0),"")</f>
        <v/>
      </c>
      <c r="F47" s="315" t="str">
        <f>IFERROR(VLOOKUP(B47,пр.взв!$B$7:$H$76,5,0),"")</f>
        <v/>
      </c>
      <c r="G47" s="305"/>
      <c r="H47" s="305"/>
      <c r="I47" s="307"/>
      <c r="J47" s="309"/>
      <c r="L47" s="311"/>
      <c r="M47" s="313" t="str">
        <f>IFERROR(VLOOKUP(L47,пр.взв!$B$7:$H$76,2,0),"")</f>
        <v/>
      </c>
      <c r="N47" s="315" t="str">
        <f>IFERROR(VLOOKUP(L47,пр.взв!$B$7:$H$76,3,0),"")</f>
        <v/>
      </c>
      <c r="O47" s="315" t="str">
        <f>IFERROR(VLOOKUP(L47,пр.взв!$B$7:$H$76,4,0),"")</f>
        <v/>
      </c>
      <c r="P47" s="315" t="str">
        <f>IFERROR(VLOOKUP(L47,пр.взв!$B$7:$H$76,5,0),"")</f>
        <v/>
      </c>
      <c r="Q47" s="305"/>
      <c r="R47" s="305"/>
      <c r="S47" s="307"/>
      <c r="T47" s="309"/>
    </row>
    <row r="48" spans="1:20" ht="13" thickBot="1">
      <c r="A48" s="273"/>
      <c r="B48" s="340"/>
      <c r="C48" s="314"/>
      <c r="D48" s="316"/>
      <c r="E48" s="316"/>
      <c r="F48" s="316"/>
      <c r="G48" s="317"/>
      <c r="H48" s="317"/>
      <c r="I48" s="318"/>
      <c r="J48" s="319"/>
      <c r="L48" s="320"/>
      <c r="M48" s="314"/>
      <c r="N48" s="316"/>
      <c r="O48" s="316"/>
      <c r="P48" s="316"/>
      <c r="Q48" s="317"/>
      <c r="R48" s="317"/>
      <c r="S48" s="318"/>
      <c r="T48" s="319"/>
    </row>
    <row r="49" spans="1:20">
      <c r="A49" s="273"/>
      <c r="B49" s="296"/>
      <c r="C49" s="321" t="str">
        <f>IFERROR(VLOOKUP(B49,пр.взв!$B$7:$H$76,2,0),"")</f>
        <v/>
      </c>
      <c r="D49" s="302" t="str">
        <f>IFERROR(VLOOKUP(B49,пр.взв!$B$7:$H$76,3,0),"")</f>
        <v/>
      </c>
      <c r="E49" s="302" t="str">
        <f>IFERROR(VLOOKUP(B49,пр.взв!$B$7:$H$76,4,0),"")</f>
        <v/>
      </c>
      <c r="F49" s="302" t="str">
        <f>IFERROR(VLOOKUP(B49,пр.взв!$B$7:$H$76,5,0),"")</f>
        <v/>
      </c>
      <c r="G49" s="304"/>
      <c r="H49" s="304"/>
      <c r="I49" s="306"/>
      <c r="J49" s="308"/>
      <c r="L49" s="310"/>
      <c r="M49" s="321" t="str">
        <f>IFERROR(VLOOKUP(L49,пр.взв!$B$7:$H$76,2,0),"")</f>
        <v/>
      </c>
      <c r="N49" s="302" t="str">
        <f>IFERROR(VLOOKUP(L49,пр.взв!$B$7:$H$76,3,0),"")</f>
        <v/>
      </c>
      <c r="O49" s="302" t="str">
        <f>IFERROR(VLOOKUP(L49,пр.взв!$B$7:$H$76,4,0),"")</f>
        <v/>
      </c>
      <c r="P49" s="302" t="str">
        <f>IFERROR(VLOOKUP(L49,пр.взв!$B$7:$H$76,5,0),"")</f>
        <v/>
      </c>
      <c r="Q49" s="304"/>
      <c r="R49" s="304"/>
      <c r="S49" s="306"/>
      <c r="T49" s="308"/>
    </row>
    <row r="50" spans="1:20">
      <c r="A50" s="273"/>
      <c r="B50" s="297"/>
      <c r="C50" s="322"/>
      <c r="D50" s="303"/>
      <c r="E50" s="303"/>
      <c r="F50" s="303"/>
      <c r="G50" s="305"/>
      <c r="H50" s="305"/>
      <c r="I50" s="307"/>
      <c r="J50" s="309"/>
      <c r="L50" s="311"/>
      <c r="M50" s="322"/>
      <c r="N50" s="303"/>
      <c r="O50" s="303"/>
      <c r="P50" s="303"/>
      <c r="Q50" s="305"/>
      <c r="R50" s="305"/>
      <c r="S50" s="307"/>
      <c r="T50" s="309"/>
    </row>
    <row r="51" spans="1:20">
      <c r="A51" s="273"/>
      <c r="B51" s="297"/>
      <c r="C51" s="313" t="str">
        <f>IFERROR(VLOOKUP(B51,пр.взв!$B$7:$H$76,2,0),"")</f>
        <v/>
      </c>
      <c r="D51" s="315" t="str">
        <f>IFERROR(VLOOKUP(B51,пр.взв!$B$7:$H$76,3,0),"")</f>
        <v/>
      </c>
      <c r="E51" s="315" t="str">
        <f>IFERROR(VLOOKUP(B51,пр.взв!$B$7:$H$76,4,0),"")</f>
        <v/>
      </c>
      <c r="F51" s="315" t="str">
        <f>IFERROR(VLOOKUP(B51,пр.взв!$B$7:$H$76,5,0),"")</f>
        <v/>
      </c>
      <c r="G51" s="305"/>
      <c r="H51" s="305"/>
      <c r="I51" s="307"/>
      <c r="J51" s="309"/>
      <c r="L51" s="311"/>
      <c r="M51" s="313" t="str">
        <f>IFERROR(VLOOKUP(L51,пр.взв!$B$7:$H$76,2,0),"")</f>
        <v/>
      </c>
      <c r="N51" s="315" t="str">
        <f>IFERROR(VLOOKUP(L51,пр.взв!$B$7:$H$76,3,0),"")</f>
        <v/>
      </c>
      <c r="O51" s="315" t="str">
        <f>IFERROR(VLOOKUP(L51,пр.взв!$B$7:$H$76,4,0),"")</f>
        <v/>
      </c>
      <c r="P51" s="315" t="str">
        <f>IFERROR(VLOOKUP(L51,пр.взв!$B$7:$H$76,5,0),"")</f>
        <v/>
      </c>
      <c r="Q51" s="305"/>
      <c r="R51" s="305"/>
      <c r="S51" s="307"/>
      <c r="T51" s="309"/>
    </row>
    <row r="52" spans="1:20" ht="13" thickBot="1">
      <c r="A52" s="273"/>
      <c r="B52" s="340"/>
      <c r="C52" s="314"/>
      <c r="D52" s="316"/>
      <c r="E52" s="316"/>
      <c r="F52" s="316"/>
      <c r="G52" s="317"/>
      <c r="H52" s="317"/>
      <c r="I52" s="318"/>
      <c r="J52" s="319"/>
      <c r="L52" s="320"/>
      <c r="M52" s="314"/>
      <c r="N52" s="316"/>
      <c r="O52" s="316"/>
      <c r="P52" s="316"/>
      <c r="Q52" s="317"/>
      <c r="R52" s="317"/>
      <c r="S52" s="318"/>
      <c r="T52" s="319"/>
    </row>
    <row r="53" spans="1:20">
      <c r="A53" s="273"/>
      <c r="B53" s="296"/>
      <c r="C53" s="321" t="str">
        <f>IFERROR(VLOOKUP(B53,пр.взв!$B$7:$H$76,2,0),"")</f>
        <v/>
      </c>
      <c r="D53" s="302" t="str">
        <f>IFERROR(VLOOKUP(B53,пр.взв!$B$7:$H$76,3,0),"")</f>
        <v/>
      </c>
      <c r="E53" s="302" t="str">
        <f>IFERROR(VLOOKUP(B53,пр.взв!$B$7:$H$76,4,0),"")</f>
        <v/>
      </c>
      <c r="F53" s="302" t="str">
        <f>IFERROR(VLOOKUP(B53,пр.взв!$B$7:$H$76,5,0),"")</f>
        <v/>
      </c>
      <c r="G53" s="304"/>
      <c r="H53" s="304"/>
      <c r="I53" s="306"/>
      <c r="J53" s="308"/>
      <c r="L53" s="310"/>
      <c r="M53" s="321" t="str">
        <f>IFERROR(VLOOKUP(L53,пр.взв!$B$7:$H$76,2,0),"")</f>
        <v/>
      </c>
      <c r="N53" s="302" t="str">
        <f>IFERROR(VLOOKUP(L53,пр.взв!$B$7:$H$76,3,0),"")</f>
        <v/>
      </c>
      <c r="O53" s="302" t="str">
        <f>IFERROR(VLOOKUP(L53,пр.взв!$B$7:$H$76,4,0),"")</f>
        <v/>
      </c>
      <c r="P53" s="302" t="str">
        <f>IFERROR(VLOOKUP(L53,пр.взв!$B$7:$H$76,5,0),"")</f>
        <v/>
      </c>
      <c r="Q53" s="304"/>
      <c r="R53" s="304"/>
      <c r="S53" s="306"/>
      <c r="T53" s="308"/>
    </row>
    <row r="54" spans="1:20">
      <c r="A54" s="273"/>
      <c r="B54" s="297"/>
      <c r="C54" s="322"/>
      <c r="D54" s="303"/>
      <c r="E54" s="303"/>
      <c r="F54" s="303"/>
      <c r="G54" s="305"/>
      <c r="H54" s="305"/>
      <c r="I54" s="307"/>
      <c r="J54" s="309"/>
      <c r="L54" s="311"/>
      <c r="M54" s="322"/>
      <c r="N54" s="303"/>
      <c r="O54" s="303"/>
      <c r="P54" s="303"/>
      <c r="Q54" s="305"/>
      <c r="R54" s="305"/>
      <c r="S54" s="307"/>
      <c r="T54" s="309"/>
    </row>
    <row r="55" spans="1:20">
      <c r="A55" s="273"/>
      <c r="B55" s="297"/>
      <c r="C55" s="313" t="str">
        <f>IFERROR(VLOOKUP(B55,пр.взв!$B$7:$H$76,2,0),"")</f>
        <v/>
      </c>
      <c r="D55" s="315" t="str">
        <f>IFERROR(VLOOKUP(B55,пр.взв!$B$7:$H$76,3,0),"")</f>
        <v/>
      </c>
      <c r="E55" s="315" t="str">
        <f>IFERROR(VLOOKUP(B55,пр.взв!$B$7:$H$76,4,0),"")</f>
        <v/>
      </c>
      <c r="F55" s="315" t="str">
        <f>IFERROR(VLOOKUP(B55,пр.взв!$B$7:$H$76,5,0),"")</f>
        <v/>
      </c>
      <c r="G55" s="305"/>
      <c r="H55" s="305"/>
      <c r="I55" s="307"/>
      <c r="J55" s="309"/>
      <c r="L55" s="311"/>
      <c r="M55" s="313" t="str">
        <f>IFERROR(VLOOKUP(L55,пр.взв!$B$7:$H$76,2,0),"")</f>
        <v/>
      </c>
      <c r="N55" s="315" t="str">
        <f>IFERROR(VLOOKUP(L55,пр.взв!$B$7:$H$76,3,0),"")</f>
        <v/>
      </c>
      <c r="O55" s="315" t="str">
        <f>IFERROR(VLOOKUP(L55,пр.взв!$B$7:$H$76,4,0),"")</f>
        <v/>
      </c>
      <c r="P55" s="315" t="str">
        <f>IFERROR(VLOOKUP(L55,пр.взв!$B$7:$H$76,5,0),"")</f>
        <v/>
      </c>
      <c r="Q55" s="305"/>
      <c r="R55" s="305"/>
      <c r="S55" s="307"/>
      <c r="T55" s="309"/>
    </row>
    <row r="56" spans="1:20" ht="13" thickBot="1">
      <c r="A56" s="273"/>
      <c r="B56" s="340"/>
      <c r="C56" s="314"/>
      <c r="D56" s="316"/>
      <c r="E56" s="316"/>
      <c r="F56" s="316"/>
      <c r="G56" s="317"/>
      <c r="H56" s="317"/>
      <c r="I56" s="318"/>
      <c r="J56" s="319"/>
      <c r="L56" s="320"/>
      <c r="M56" s="314"/>
      <c r="N56" s="316"/>
      <c r="O56" s="316"/>
      <c r="P56" s="316"/>
      <c r="Q56" s="317"/>
      <c r="R56" s="317"/>
      <c r="S56" s="318"/>
      <c r="T56" s="319"/>
    </row>
    <row r="57" spans="1:20">
      <c r="A57" s="273"/>
      <c r="B57" s="296"/>
      <c r="C57" s="321" t="str">
        <f>IFERROR(VLOOKUP(B57,пр.взв!$B$7:$H$76,2,0),"")</f>
        <v/>
      </c>
      <c r="D57" s="302" t="str">
        <f>IFERROR(VLOOKUP(B57,пр.взв!$B$7:$H$76,3,0),"")</f>
        <v/>
      </c>
      <c r="E57" s="302" t="str">
        <f>IFERROR(VLOOKUP(B57,пр.взв!$B$7:$H$76,4,0),"")</f>
        <v/>
      </c>
      <c r="F57" s="302" t="str">
        <f>IFERROR(VLOOKUP(B57,пр.взв!$B$7:$H$76,5,0),"")</f>
        <v/>
      </c>
      <c r="G57" s="337"/>
      <c r="H57" s="304"/>
      <c r="I57" s="306"/>
      <c r="J57" s="308"/>
      <c r="L57" s="310"/>
      <c r="M57" s="321" t="str">
        <f>IFERROR(VLOOKUP(L57,пр.взв!$B$7:$H$76,2,0),"")</f>
        <v/>
      </c>
      <c r="N57" s="302" t="str">
        <f>IFERROR(VLOOKUP(L57,пр.взв!$B$7:$H$76,3,0),"")</f>
        <v/>
      </c>
      <c r="O57" s="302" t="str">
        <f>IFERROR(VLOOKUP(L57,пр.взв!$B$7:$H$76,4,0),"")</f>
        <v/>
      </c>
      <c r="P57" s="302" t="str">
        <f>IFERROR(VLOOKUP(L57,пр.взв!$B$7:$H$76,5,0),"")</f>
        <v/>
      </c>
      <c r="Q57" s="337"/>
      <c r="R57" s="304"/>
      <c r="S57" s="306"/>
      <c r="T57" s="308"/>
    </row>
    <row r="58" spans="1:20">
      <c r="A58" s="273"/>
      <c r="B58" s="297"/>
      <c r="C58" s="322"/>
      <c r="D58" s="303"/>
      <c r="E58" s="303"/>
      <c r="F58" s="303"/>
      <c r="G58" s="338"/>
      <c r="H58" s="305"/>
      <c r="I58" s="307"/>
      <c r="J58" s="309"/>
      <c r="L58" s="311"/>
      <c r="M58" s="322"/>
      <c r="N58" s="303"/>
      <c r="O58" s="303"/>
      <c r="P58" s="303"/>
      <c r="Q58" s="338"/>
      <c r="R58" s="305"/>
      <c r="S58" s="307"/>
      <c r="T58" s="309"/>
    </row>
    <row r="59" spans="1:20">
      <c r="A59" s="273"/>
      <c r="B59" s="297"/>
      <c r="C59" s="313" t="str">
        <f>IFERROR(VLOOKUP(B59,пр.взв!$B$7:$H$76,2,0),"")</f>
        <v/>
      </c>
      <c r="D59" s="315" t="str">
        <f>IFERROR(VLOOKUP(B59,пр.взв!$B$7:$H$76,3,0),"")</f>
        <v/>
      </c>
      <c r="E59" s="315" t="str">
        <f>IFERROR(VLOOKUP(B59,пр.взв!$B$7:$H$76,4,0),"")</f>
        <v/>
      </c>
      <c r="F59" s="315" t="str">
        <f>IFERROR(VLOOKUP(B59,пр.взв!$B$7:$H$76,5,0),"")</f>
        <v/>
      </c>
      <c r="G59" s="338"/>
      <c r="H59" s="305"/>
      <c r="I59" s="307"/>
      <c r="J59" s="309"/>
      <c r="L59" s="311"/>
      <c r="M59" s="313" t="str">
        <f>IFERROR(VLOOKUP(L59,пр.взв!$B$7:$H$76,2,0),"")</f>
        <v/>
      </c>
      <c r="N59" s="315" t="str">
        <f>IFERROR(VLOOKUP(L59,пр.взв!$B$7:$H$76,3,0),"")</f>
        <v/>
      </c>
      <c r="O59" s="315" t="str">
        <f>IFERROR(VLOOKUP(L59,пр.взв!$B$7:$H$76,4,0),"")</f>
        <v/>
      </c>
      <c r="P59" s="315" t="str">
        <f>IFERROR(VLOOKUP(L59,пр.взв!$B$7:$H$76,5,0),"")</f>
        <v/>
      </c>
      <c r="Q59" s="338"/>
      <c r="R59" s="305"/>
      <c r="S59" s="307"/>
      <c r="T59" s="309"/>
    </row>
    <row r="60" spans="1:20" ht="13" thickBot="1">
      <c r="A60" s="273"/>
      <c r="B60" s="340"/>
      <c r="C60" s="314"/>
      <c r="D60" s="316"/>
      <c r="E60" s="316"/>
      <c r="F60" s="316"/>
      <c r="G60" s="339"/>
      <c r="H60" s="317"/>
      <c r="I60" s="318"/>
      <c r="J60" s="319"/>
      <c r="L60" s="320"/>
      <c r="M60" s="314"/>
      <c r="N60" s="316"/>
      <c r="O60" s="316"/>
      <c r="P60" s="316"/>
      <c r="Q60" s="339"/>
      <c r="R60" s="317"/>
      <c r="S60" s="318"/>
      <c r="T60" s="319"/>
    </row>
    <row r="61" spans="1:20" ht="13.5" customHeight="1">
      <c r="A61" s="10"/>
      <c r="B61" s="296"/>
      <c r="C61" s="321" t="str">
        <f>IFERROR(VLOOKUP(B61,пр.взв!$B$7:$H$76,2,0),"")</f>
        <v/>
      </c>
      <c r="D61" s="302" t="str">
        <f>IFERROR(VLOOKUP(B61,пр.взв!$B$7:$H$76,3,0),"")</f>
        <v/>
      </c>
      <c r="E61" s="302" t="str">
        <f>IFERROR(VLOOKUP(B61,пр.взв!$B$7:$H$76,4,0),"")</f>
        <v/>
      </c>
      <c r="F61" s="302" t="str">
        <f>IFERROR(VLOOKUP(B61,пр.взв!$B$7:$H$76,5,0),"")</f>
        <v/>
      </c>
      <c r="G61" s="304"/>
      <c r="H61" s="304"/>
      <c r="I61" s="306"/>
      <c r="J61" s="308"/>
      <c r="L61" s="296"/>
      <c r="M61" s="321" t="str">
        <f>IFERROR(VLOOKUP(L61,пр.взв!$B$7:$H$76,2,0),"")</f>
        <v/>
      </c>
      <c r="N61" s="302" t="str">
        <f>IFERROR(VLOOKUP(L61,пр.взв!$B$7:$H$76,3,0),"")</f>
        <v/>
      </c>
      <c r="O61" s="302" t="str">
        <f>IFERROR(VLOOKUP(L61,пр.взв!$B$7:$H$76,4,0),"")</f>
        <v/>
      </c>
      <c r="P61" s="302" t="str">
        <f>IFERROR(VLOOKUP(L61,пр.взв!$B$7:$H$76,5,0),"")</f>
        <v/>
      </c>
      <c r="Q61" s="304"/>
      <c r="R61" s="304"/>
      <c r="S61" s="306"/>
      <c r="T61" s="308"/>
    </row>
    <row r="62" spans="1:20">
      <c r="B62" s="297"/>
      <c r="C62" s="322"/>
      <c r="D62" s="303"/>
      <c r="E62" s="303"/>
      <c r="F62" s="303"/>
      <c r="G62" s="305"/>
      <c r="H62" s="305"/>
      <c r="I62" s="307"/>
      <c r="J62" s="309"/>
      <c r="L62" s="297"/>
      <c r="M62" s="322"/>
      <c r="N62" s="303"/>
      <c r="O62" s="303"/>
      <c r="P62" s="303"/>
      <c r="Q62" s="305"/>
      <c r="R62" s="305"/>
      <c r="S62" s="307"/>
      <c r="T62" s="309"/>
    </row>
    <row r="63" spans="1:20">
      <c r="B63" s="297"/>
      <c r="C63" s="313" t="str">
        <f>IFERROR(VLOOKUP(B63,пр.взв!$B$7:$H$76,2,0),"")</f>
        <v/>
      </c>
      <c r="D63" s="315" t="str">
        <f>IFERROR(VLOOKUP(B63,пр.взв!$B$7:$H$76,3,0),"")</f>
        <v/>
      </c>
      <c r="E63" s="315" t="str">
        <f>IFERROR(VLOOKUP(B63,пр.взв!$B$7:$H$76,4,0),"")</f>
        <v/>
      </c>
      <c r="F63" s="315" t="str">
        <f>IFERROR(VLOOKUP(B63,пр.взв!$B$7:$H$76,5,0),"")</f>
        <v/>
      </c>
      <c r="G63" s="305"/>
      <c r="H63" s="305"/>
      <c r="I63" s="307"/>
      <c r="J63" s="309"/>
      <c r="L63" s="297"/>
      <c r="M63" s="313" t="str">
        <f>IFERROR(VLOOKUP(L63,пр.взв!$B$7:$H$76,2,0),"")</f>
        <v/>
      </c>
      <c r="N63" s="315" t="str">
        <f>IFERROR(VLOOKUP(L63,пр.взв!$B$7:$H$76,3,0),"")</f>
        <v/>
      </c>
      <c r="O63" s="315" t="str">
        <f>IFERROR(VLOOKUP(L63,пр.взв!$B$7:$H$76,4,0),"")</f>
        <v/>
      </c>
      <c r="P63" s="315" t="str">
        <f>IFERROR(VLOOKUP(L63,пр.взв!$B$7:$H$76,5,0),"")</f>
        <v/>
      </c>
      <c r="Q63" s="305"/>
      <c r="R63" s="305"/>
      <c r="S63" s="307"/>
      <c r="T63" s="309"/>
    </row>
    <row r="64" spans="1:20" ht="13" thickBot="1">
      <c r="B64" s="340"/>
      <c r="C64" s="314"/>
      <c r="D64" s="316"/>
      <c r="E64" s="316"/>
      <c r="F64" s="316"/>
      <c r="G64" s="317"/>
      <c r="H64" s="317"/>
      <c r="I64" s="318"/>
      <c r="J64" s="319"/>
      <c r="L64" s="340"/>
      <c r="M64" s="314"/>
      <c r="N64" s="316"/>
      <c r="O64" s="316"/>
      <c r="P64" s="316"/>
      <c r="Q64" s="317"/>
      <c r="R64" s="317"/>
      <c r="S64" s="318"/>
      <c r="T64" s="319"/>
    </row>
    <row r="65" spans="2:20">
      <c r="B65" s="296"/>
      <c r="C65" s="321" t="str">
        <f>IFERROR(VLOOKUP(B65,пр.взв!$B$7:$H$76,2,0),"")</f>
        <v/>
      </c>
      <c r="D65" s="302" t="str">
        <f>IFERROR(VLOOKUP(B65,пр.взв!$B$7:$H$76,3,0),"")</f>
        <v/>
      </c>
      <c r="E65" s="302" t="str">
        <f>IFERROR(VLOOKUP(B65,пр.взв!$B$7:$H$76,4,0),"")</f>
        <v/>
      </c>
      <c r="F65" s="302" t="str">
        <f>IFERROR(VLOOKUP(B65,пр.взв!$B$7:$H$76,5,0),"")</f>
        <v/>
      </c>
      <c r="G65" s="337"/>
      <c r="H65" s="304"/>
      <c r="I65" s="306"/>
      <c r="J65" s="308"/>
      <c r="L65" s="296"/>
      <c r="M65" s="321" t="str">
        <f>IFERROR(VLOOKUP(L65,пр.взв!$B$7:$H$76,2,0),"")</f>
        <v/>
      </c>
      <c r="N65" s="302" t="str">
        <f>IFERROR(VLOOKUP(L65,пр.взв!$B$7:$H$76,3,0),"")</f>
        <v/>
      </c>
      <c r="O65" s="302" t="str">
        <f>IFERROR(VLOOKUP(L65,пр.взв!$B$7:$H$76,4,0),"")</f>
        <v/>
      </c>
      <c r="P65" s="302" t="str">
        <f>IFERROR(VLOOKUP(L65,пр.взв!$B$7:$H$76,5,0),"")</f>
        <v/>
      </c>
      <c r="Q65" s="337"/>
      <c r="R65" s="304"/>
      <c r="S65" s="306"/>
      <c r="T65" s="308"/>
    </row>
    <row r="66" spans="2:20">
      <c r="B66" s="297"/>
      <c r="C66" s="322"/>
      <c r="D66" s="303"/>
      <c r="E66" s="303"/>
      <c r="F66" s="303"/>
      <c r="G66" s="338"/>
      <c r="H66" s="305"/>
      <c r="I66" s="307"/>
      <c r="J66" s="309"/>
      <c r="L66" s="297"/>
      <c r="M66" s="322"/>
      <c r="N66" s="303"/>
      <c r="O66" s="303"/>
      <c r="P66" s="303"/>
      <c r="Q66" s="338"/>
      <c r="R66" s="305"/>
      <c r="S66" s="307"/>
      <c r="T66" s="309"/>
    </row>
    <row r="67" spans="2:20">
      <c r="B67" s="297"/>
      <c r="C67" s="313" t="str">
        <f>IFERROR(VLOOKUP(B67,пр.взв!$B$7:$H$76,2,0),"")</f>
        <v/>
      </c>
      <c r="D67" s="315" t="str">
        <f>IFERROR(VLOOKUP(B67,пр.взв!$B$7:$H$76,3,0),"")</f>
        <v/>
      </c>
      <c r="E67" s="315" t="str">
        <f>IFERROR(VLOOKUP(B67,пр.взв!$B$7:$H$76,4,0),"")</f>
        <v/>
      </c>
      <c r="F67" s="315" t="str">
        <f>IFERROR(VLOOKUP(B67,пр.взв!$B$7:$H$76,5,0),"")</f>
        <v/>
      </c>
      <c r="G67" s="338"/>
      <c r="H67" s="305"/>
      <c r="I67" s="307"/>
      <c r="J67" s="309"/>
      <c r="L67" s="297"/>
      <c r="M67" s="313" t="str">
        <f>IFERROR(VLOOKUP(L67,пр.взв!$B$7:$H$76,2,0),"")</f>
        <v/>
      </c>
      <c r="N67" s="315" t="str">
        <f>IFERROR(VLOOKUP(L67,пр.взв!$B$7:$H$76,3,0),"")</f>
        <v/>
      </c>
      <c r="O67" s="315" t="str">
        <f>IFERROR(VLOOKUP(L67,пр.взв!$B$7:$H$76,4,0),"")</f>
        <v/>
      </c>
      <c r="P67" s="315" t="str">
        <f>IFERROR(VLOOKUP(L67,пр.взв!$B$7:$H$76,5,0),"")</f>
        <v/>
      </c>
      <c r="Q67" s="338"/>
      <c r="R67" s="305"/>
      <c r="S67" s="307"/>
      <c r="T67" s="309"/>
    </row>
    <row r="68" spans="2:20" ht="13" thickBot="1">
      <c r="B68" s="340"/>
      <c r="C68" s="314"/>
      <c r="D68" s="316"/>
      <c r="E68" s="316"/>
      <c r="F68" s="316"/>
      <c r="G68" s="339"/>
      <c r="H68" s="317"/>
      <c r="I68" s="318"/>
      <c r="J68" s="319"/>
      <c r="L68" s="340"/>
      <c r="M68" s="314"/>
      <c r="N68" s="316"/>
      <c r="O68" s="316"/>
      <c r="P68" s="316"/>
      <c r="Q68" s="339"/>
      <c r="R68" s="317"/>
      <c r="S68" s="318"/>
      <c r="T68" s="319"/>
    </row>
  </sheetData>
  <mergeCells count="625"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tabColor indexed="46"/>
  </sheetPr>
  <dimension ref="A1:T68"/>
  <sheetViews>
    <sheetView topLeftCell="E1" workbookViewId="0">
      <selection activeCell="T5" sqref="L1:T6"/>
    </sheetView>
  </sheetViews>
  <sheetFormatPr defaultRowHeight="12.5"/>
  <cols>
    <col min="1" max="1" width="0.81640625" customWidth="1"/>
    <col min="2" max="2" width="6" customWidth="1"/>
    <col min="3" max="3" width="22.1796875" customWidth="1"/>
    <col min="4" max="4" width="8.54296875" customWidth="1"/>
    <col min="5" max="5" width="6.1796875" customWidth="1"/>
    <col min="6" max="6" width="12.54296875" customWidth="1"/>
    <col min="7" max="7" width="30.54296875" customWidth="1"/>
    <col min="8" max="8" width="6" customWidth="1"/>
    <col min="9" max="9" width="4.81640625" customWidth="1"/>
    <col min="10" max="10" width="5.1796875" customWidth="1"/>
    <col min="11" max="11" width="1.1796875" customWidth="1"/>
    <col min="12" max="12" width="5.1796875" customWidth="1"/>
    <col min="13" max="13" width="22.1796875" customWidth="1"/>
    <col min="14" max="14" width="8.453125" style="61" customWidth="1"/>
    <col min="15" max="15" width="5.54296875" customWidth="1"/>
    <col min="16" max="16" width="11.1796875" customWidth="1"/>
    <col min="17" max="17" width="31.54296875" customWidth="1"/>
    <col min="18" max="18" width="6" customWidth="1"/>
    <col min="19" max="19" width="4.81640625" customWidth="1"/>
    <col min="20" max="20" width="5.54296875" customWidth="1"/>
  </cols>
  <sheetData>
    <row r="1" spans="1:20" ht="23.25" customHeight="1">
      <c r="A1" s="10"/>
      <c r="B1" s="294" t="s">
        <v>141</v>
      </c>
      <c r="C1" s="294"/>
      <c r="D1" s="219">
        <f>кр5!D1</f>
        <v>1</v>
      </c>
      <c r="E1" s="218"/>
      <c r="F1" s="295" t="s">
        <v>142</v>
      </c>
      <c r="G1" s="295"/>
      <c r="H1" s="295"/>
      <c r="I1" s="295"/>
      <c r="J1" s="295"/>
      <c r="L1" s="294" t="s">
        <v>141</v>
      </c>
      <c r="M1" s="294"/>
      <c r="N1" s="219">
        <f>кр5!N1</f>
        <v>1</v>
      </c>
      <c r="O1" s="218"/>
      <c r="P1" s="295" t="s">
        <v>142</v>
      </c>
      <c r="Q1" s="295"/>
      <c r="R1" s="295"/>
      <c r="S1" s="295"/>
      <c r="T1" s="295"/>
    </row>
    <row r="2" spans="1:20" ht="15" customHeight="1" thickBot="1">
      <c r="A2" s="10"/>
      <c r="B2" s="11"/>
      <c r="C2" s="11" t="s">
        <v>147</v>
      </c>
      <c r="D2" s="39" t="s">
        <v>0</v>
      </c>
      <c r="E2" s="39"/>
      <c r="F2" s="11"/>
      <c r="G2" s="217" t="str">
        <f>пр.взв!D4</f>
        <v>В.к. 52 кг.</v>
      </c>
      <c r="H2" s="11"/>
      <c r="I2" s="11"/>
      <c r="J2" s="11"/>
      <c r="L2" s="1"/>
      <c r="M2" s="1" t="s">
        <v>147</v>
      </c>
      <c r="N2" s="40" t="s">
        <v>32</v>
      </c>
      <c r="O2" s="40"/>
      <c r="P2" s="1"/>
      <c r="Q2" s="217" t="str">
        <f>G2</f>
        <v>В.к. 52 кг.</v>
      </c>
      <c r="R2" s="1"/>
      <c r="S2" s="1"/>
      <c r="T2" s="1"/>
    </row>
    <row r="3" spans="1:20" ht="25.5" customHeight="1">
      <c r="A3" s="273"/>
      <c r="B3" s="274" t="s">
        <v>5</v>
      </c>
      <c r="C3" s="276" t="s">
        <v>2</v>
      </c>
      <c r="D3" s="278" t="s">
        <v>23</v>
      </c>
      <c r="E3" s="280" t="s">
        <v>24</v>
      </c>
      <c r="F3" s="281"/>
      <c r="G3" s="276" t="s">
        <v>25</v>
      </c>
      <c r="H3" s="278" t="s">
        <v>26</v>
      </c>
      <c r="I3" s="276" t="s">
        <v>27</v>
      </c>
      <c r="J3" s="284" t="s">
        <v>28</v>
      </c>
      <c r="L3" s="286" t="s">
        <v>5</v>
      </c>
      <c r="M3" s="288" t="s">
        <v>2</v>
      </c>
      <c r="N3" s="288" t="s">
        <v>23</v>
      </c>
      <c r="O3" s="537" t="s">
        <v>24</v>
      </c>
      <c r="P3" s="538"/>
      <c r="Q3" s="288" t="s">
        <v>25</v>
      </c>
      <c r="R3" s="290" t="s">
        <v>26</v>
      </c>
      <c r="S3" s="288" t="s">
        <v>27</v>
      </c>
      <c r="T3" s="292" t="s">
        <v>28</v>
      </c>
    </row>
    <row r="4" spans="1:20" ht="13" thickBot="1">
      <c r="A4" s="273"/>
      <c r="B4" s="275"/>
      <c r="C4" s="277"/>
      <c r="D4" s="279"/>
      <c r="E4" s="282"/>
      <c r="F4" s="283"/>
      <c r="G4" s="277"/>
      <c r="H4" s="279"/>
      <c r="I4" s="277"/>
      <c r="J4" s="285"/>
      <c r="L4" s="287"/>
      <c r="M4" s="289"/>
      <c r="N4" s="289"/>
      <c r="O4" s="539"/>
      <c r="P4" s="540"/>
      <c r="Q4" s="289"/>
      <c r="R4" s="291"/>
      <c r="S4" s="289"/>
      <c r="T4" s="293"/>
    </row>
    <row r="5" spans="1:20">
      <c r="A5" s="273"/>
      <c r="B5" s="296">
        <f ca="1">пр.хода!BL15</f>
        <v>1</v>
      </c>
      <c r="C5" s="298" t="str">
        <f ca="1">IFERROR(VLOOKUP(B5,пр.взв!$B$7:$H$76,2,0),"")</f>
        <v>ГАВРИЛОВА Полина Сергеевна</v>
      </c>
      <c r="D5" s="300" t="str">
        <f ca="1">IFERROR(VLOOKUP(B5,пр.взв!$B$7:$H$76,3,0),"")</f>
        <v>23.06.96, КМС</v>
      </c>
      <c r="E5" s="300" t="str">
        <f ca="1">IFERROR(VLOOKUP(B5,пр.взв!$B$7:$H$76,4,0),"")</f>
        <v>УФО</v>
      </c>
      <c r="F5" s="302" t="str">
        <f ca="1">IFERROR(VLOOKUP(B5,пр.взв!$B$7:$H$76,5,0),"")</f>
        <v>Свердловская, Серов</v>
      </c>
      <c r="G5" s="304"/>
      <c r="H5" s="304"/>
      <c r="I5" s="306"/>
      <c r="J5" s="308"/>
      <c r="L5" s="310">
        <f ca="1">пр.хода!BN15</f>
        <v>3</v>
      </c>
      <c r="M5" s="298" t="str">
        <f ca="1">IFERROR(VLOOKUP(L5,пр.взв!$B$7:$H$76,2,0),"")</f>
        <v>ВИНИЧЕНКО Екатерина Константиновна</v>
      </c>
      <c r="N5" s="300" t="str">
        <f ca="1">IFERROR(VLOOKUP(L5,пр.взв!$B$7:$H$76,3,0),"")</f>
        <v>16.02.97, КМС</v>
      </c>
      <c r="O5" s="300" t="str">
        <f ca="1">IFERROR(VLOOKUP(L5,пр.взв!$B$7:$H$76,4,0),"")</f>
        <v>УФО</v>
      </c>
      <c r="P5" s="302" t="str">
        <f ca="1">IFERROR(VLOOKUP(L5,пр.взв!$B$7:$H$76,5,0),"")</f>
        <v>Свердловская, Екатеринбург, СШОР ПО САМБО И ДЗЮДО</v>
      </c>
      <c r="Q5" s="304"/>
      <c r="R5" s="304"/>
      <c r="S5" s="306"/>
      <c r="T5" s="308"/>
    </row>
    <row r="6" spans="1:20">
      <c r="A6" s="273"/>
      <c r="B6" s="297"/>
      <c r="C6" s="299"/>
      <c r="D6" s="301"/>
      <c r="E6" s="301"/>
      <c r="F6" s="303"/>
      <c r="G6" s="305"/>
      <c r="H6" s="305"/>
      <c r="I6" s="307"/>
      <c r="J6" s="309"/>
      <c r="L6" s="311"/>
      <c r="M6" s="299"/>
      <c r="N6" s="301"/>
      <c r="O6" s="301"/>
      <c r="P6" s="303"/>
      <c r="Q6" s="305"/>
      <c r="R6" s="305"/>
      <c r="S6" s="307"/>
      <c r="T6" s="309"/>
    </row>
    <row r="7" spans="1:20">
      <c r="A7" s="273"/>
      <c r="B7" s="297">
        <f ca="1">пр.хода!BM15</f>
        <v>2</v>
      </c>
      <c r="C7" s="313" t="str">
        <f ca="1">IFERROR(VLOOKUP(B7,пр.взв!$B$7:$H$76,2,0),"")</f>
        <v>ШКЕТ Ольга Владимировна</v>
      </c>
      <c r="D7" s="315" t="str">
        <f ca="1">IFERROR(VLOOKUP(B7,пр.взв!$B$7:$H$76,3,0),"")</f>
        <v>11.05.96, МС</v>
      </c>
      <c r="E7" s="315" t="str">
        <f ca="1">IFERROR(VLOOKUP(B7,пр.взв!$B$7:$H$76,4,0),"")</f>
        <v>УФО</v>
      </c>
      <c r="F7" s="315" t="str">
        <f ca="1">IFERROR(VLOOKUP(B7,пр.взв!$B$7:$H$76,5,0),"")</f>
        <v>Курганская, Курган, СШОР№1</v>
      </c>
      <c r="G7" s="305"/>
      <c r="H7" s="305"/>
      <c r="I7" s="307"/>
      <c r="J7" s="309"/>
      <c r="L7" s="311">
        <f ca="1">пр.хода!BO15</f>
        <v>4</v>
      </c>
      <c r="M7" s="313" t="str">
        <f ca="1">IFERROR(VLOOKUP(L7,пр.взв!$B$7:$H$76,2,0),"")</f>
        <v>ГАСПАРЯН Наре Петросовна</v>
      </c>
      <c r="N7" s="315" t="str">
        <f ca="1">IFERROR(VLOOKUP(L7,пр.взв!$B$7:$H$76,3,0),"")</f>
        <v>26.02.97, КМС</v>
      </c>
      <c r="O7" s="315" t="str">
        <f ca="1">IFERROR(VLOOKUP(L7,пр.взв!$B$7:$H$76,4,0),"")</f>
        <v>УФО</v>
      </c>
      <c r="P7" s="315" t="str">
        <f ca="1">IFERROR(VLOOKUP(L7,пр.взв!$B$7:$H$76,5,0),"")</f>
        <v>Челябинская, Челябинск</v>
      </c>
      <c r="Q7" s="305"/>
      <c r="R7" s="305"/>
      <c r="S7" s="307"/>
      <c r="T7" s="309"/>
    </row>
    <row r="8" spans="1:20" ht="13" thickBot="1">
      <c r="A8" s="273"/>
      <c r="B8" s="340"/>
      <c r="C8" s="314"/>
      <c r="D8" s="316"/>
      <c r="E8" s="316"/>
      <c r="F8" s="316"/>
      <c r="G8" s="317"/>
      <c r="H8" s="317"/>
      <c r="I8" s="318"/>
      <c r="J8" s="319"/>
      <c r="L8" s="320"/>
      <c r="M8" s="314"/>
      <c r="N8" s="316"/>
      <c r="O8" s="316"/>
      <c r="P8" s="316"/>
      <c r="Q8" s="317"/>
      <c r="R8" s="317"/>
      <c r="S8" s="318"/>
      <c r="T8" s="319"/>
    </row>
    <row r="9" spans="1:20">
      <c r="A9" s="273"/>
      <c r="B9" s="296">
        <f ca="1">пр.хода!BL16</f>
        <v>0</v>
      </c>
      <c r="C9" s="321" t="str">
        <f ca="1">IFERROR(VLOOKUP(B9,пр.взв!$B$7:$H$76,2,0),"")</f>
        <v/>
      </c>
      <c r="D9" s="302" t="str">
        <f ca="1">IFERROR(VLOOKUP(B9,пр.взв!$B$7:$H$76,3,0),"")</f>
        <v/>
      </c>
      <c r="E9" s="302" t="str">
        <f ca="1">IFERROR(VLOOKUP(B9,пр.взв!$B$7:$H$76,4,0),"")</f>
        <v/>
      </c>
      <c r="F9" s="302" t="str">
        <f ca="1">IFERROR(VLOOKUP(B9,пр.взв!$B$7:$H$76,5,0),"")</f>
        <v/>
      </c>
      <c r="G9" s="304"/>
      <c r="H9" s="304"/>
      <c r="I9" s="306"/>
      <c r="J9" s="308"/>
      <c r="L9" s="310" t="b">
        <f ca="1">пр.хода!BN16</f>
        <v>0</v>
      </c>
      <c r="M9" s="321" t="str">
        <f ca="1">IFERROR(VLOOKUP(L9,пр.взв!$B$7:$H$76,2,0),"")</f>
        <v/>
      </c>
      <c r="N9" s="302" t="str">
        <f ca="1">IFERROR(VLOOKUP(L9,пр.взв!$B$7:$H$76,3,0),"")</f>
        <v/>
      </c>
      <c r="O9" s="302" t="str">
        <f ca="1">IFERROR(VLOOKUP(L9,пр.взв!$B$7:$H$76,4,0),"")</f>
        <v/>
      </c>
      <c r="P9" s="302" t="str">
        <f ca="1">IFERROR(VLOOKUP(L9,пр.взв!$B$7:$H$76,5,0),"")</f>
        <v/>
      </c>
      <c r="Q9" s="304"/>
      <c r="R9" s="304"/>
      <c r="S9" s="306"/>
      <c r="T9" s="308"/>
    </row>
    <row r="10" spans="1:20">
      <c r="A10" s="273"/>
      <c r="B10" s="297"/>
      <c r="C10" s="322"/>
      <c r="D10" s="303"/>
      <c r="E10" s="303"/>
      <c r="F10" s="303"/>
      <c r="G10" s="305"/>
      <c r="H10" s="305"/>
      <c r="I10" s="307"/>
      <c r="J10" s="309"/>
      <c r="L10" s="311"/>
      <c r="M10" s="322"/>
      <c r="N10" s="303"/>
      <c r="O10" s="303"/>
      <c r="P10" s="303"/>
      <c r="Q10" s="305"/>
      <c r="R10" s="305"/>
      <c r="S10" s="307"/>
      <c r="T10" s="309"/>
    </row>
    <row r="11" spans="1:20">
      <c r="A11" s="273"/>
      <c r="B11" s="297">
        <f ca="1">пр.хода!BM16</f>
        <v>0</v>
      </c>
      <c r="C11" s="313" t="str">
        <f ca="1">IFERROR(VLOOKUP(B11,пр.взв!$B$7:$H$76,2,0),"")</f>
        <v/>
      </c>
      <c r="D11" s="315" t="str">
        <f ca="1">IFERROR(VLOOKUP(B11,пр.взв!$B$7:$H$76,3,0),"")</f>
        <v/>
      </c>
      <c r="E11" s="315" t="str">
        <f ca="1">IFERROR(VLOOKUP(B11,пр.взв!$B$7:$H$76,4,0),"")</f>
        <v/>
      </c>
      <c r="F11" s="315" t="str">
        <f ca="1">IFERROR(VLOOKUP(B11,пр.взв!$B$7:$H$76,5,0),"")</f>
        <v/>
      </c>
      <c r="G11" s="305"/>
      <c r="H11" s="305"/>
      <c r="I11" s="307"/>
      <c r="J11" s="309"/>
      <c r="L11" s="311" t="b">
        <f ca="1">пр.хода!BO16</f>
        <v>0</v>
      </c>
      <c r="M11" s="313" t="str">
        <f ca="1">IFERROR(VLOOKUP(L11,пр.взв!$B$7:$H$76,2,0),"")</f>
        <v/>
      </c>
      <c r="N11" s="315" t="str">
        <f ca="1">IFERROR(VLOOKUP(L11,пр.взв!$B$7:$H$76,3,0),"")</f>
        <v/>
      </c>
      <c r="O11" s="315" t="str">
        <f ca="1">IFERROR(VLOOKUP(L11,пр.взв!$B$7:$H$76,4,0),"")</f>
        <v/>
      </c>
      <c r="P11" s="315" t="str">
        <f ca="1">IFERROR(VLOOKUP(L11,пр.взв!$B$7:$H$76,5,0),"")</f>
        <v/>
      </c>
      <c r="Q11" s="305"/>
      <c r="R11" s="305"/>
      <c r="S11" s="307"/>
      <c r="T11" s="309"/>
    </row>
    <row r="12" spans="1:20" ht="13" thickBot="1">
      <c r="A12" s="273"/>
      <c r="B12" s="340"/>
      <c r="C12" s="314"/>
      <c r="D12" s="316"/>
      <c r="E12" s="316"/>
      <c r="F12" s="316"/>
      <c r="G12" s="317"/>
      <c r="H12" s="317"/>
      <c r="I12" s="318"/>
      <c r="J12" s="319"/>
      <c r="L12" s="320"/>
      <c r="M12" s="314"/>
      <c r="N12" s="316"/>
      <c r="O12" s="316"/>
      <c r="P12" s="316"/>
      <c r="Q12" s="317"/>
      <c r="R12" s="317"/>
      <c r="S12" s="318"/>
      <c r="T12" s="319"/>
    </row>
    <row r="13" spans="1:20">
      <c r="A13" s="273"/>
      <c r="B13" s="296">
        <f ca="1">пр.хода!BL17</f>
        <v>3</v>
      </c>
      <c r="C13" s="321" t="str">
        <f ca="1">IFERROR(VLOOKUP(B13,пр.взв!$B$7:$H$76,2,0),"")</f>
        <v>ВИНИЧЕНКО Екатерина Константиновна</v>
      </c>
      <c r="D13" s="302" t="str">
        <f ca="1">IFERROR(VLOOKUP(B13,пр.взв!$B$7:$H$76,3,0),"")</f>
        <v>16.02.97, КМС</v>
      </c>
      <c r="E13" s="302" t="str">
        <f ca="1">IFERROR(VLOOKUP(B13,пр.взв!$B$7:$H$76,4,0),"")</f>
        <v>УФО</v>
      </c>
      <c r="F13" s="302" t="str">
        <f ca="1">IFERROR(VLOOKUP(B13,пр.взв!$B$7:$H$76,5,0),"")</f>
        <v>Свердловская, Екатеринбург, СШОР ПО САМБО И ДЗЮДО</v>
      </c>
      <c r="G13" s="304"/>
      <c r="H13" s="304"/>
      <c r="I13" s="306"/>
      <c r="J13" s="308"/>
      <c r="L13" s="310" t="b">
        <f ca="1">пр.хода!BN17</f>
        <v>0</v>
      </c>
      <c r="M13" s="321" t="str">
        <f ca="1">IFERROR(VLOOKUP(L13,пр.взв!$B$7:$H$76,2,0),"")</f>
        <v/>
      </c>
      <c r="N13" s="302" t="str">
        <f ca="1">IFERROR(VLOOKUP(L13,пр.взв!$B$7:$H$76,3,0),"")</f>
        <v/>
      </c>
      <c r="O13" s="302" t="str">
        <f ca="1">IFERROR(VLOOKUP(L13,пр.взв!$B$7:$H$76,4,0),"")</f>
        <v/>
      </c>
      <c r="P13" s="302" t="str">
        <f ca="1">IFERROR(VLOOKUP(L13,пр.взв!$B$7:$H$76,5,0),"")</f>
        <v/>
      </c>
      <c r="Q13" s="304"/>
      <c r="R13" s="304"/>
      <c r="S13" s="306"/>
      <c r="T13" s="308"/>
    </row>
    <row r="14" spans="1:20">
      <c r="A14" s="273"/>
      <c r="B14" s="297"/>
      <c r="C14" s="322"/>
      <c r="D14" s="303"/>
      <c r="E14" s="303"/>
      <c r="F14" s="303"/>
      <c r="G14" s="305"/>
      <c r="H14" s="305"/>
      <c r="I14" s="307"/>
      <c r="J14" s="309"/>
      <c r="L14" s="311"/>
      <c r="M14" s="322"/>
      <c r="N14" s="303"/>
      <c r="O14" s="303"/>
      <c r="P14" s="303"/>
      <c r="Q14" s="305"/>
      <c r="R14" s="305"/>
      <c r="S14" s="307"/>
      <c r="T14" s="309"/>
    </row>
    <row r="15" spans="1:20">
      <c r="A15" s="273"/>
      <c r="B15" s="297">
        <f ca="1">пр.хода!BM17</f>
        <v>4</v>
      </c>
      <c r="C15" s="327" t="str">
        <f ca="1">IFERROR(VLOOKUP(B15,пр.взв!$B$7:$H$76,2,0),"")</f>
        <v>ГАСПАРЯН Наре Петросовна</v>
      </c>
      <c r="D15" s="329" t="str">
        <f ca="1">IFERROR(VLOOKUP(B15,пр.взв!$B$7:$H$76,3,0),"")</f>
        <v>26.02.97, КМС</v>
      </c>
      <c r="E15" s="329" t="str">
        <f ca="1">IFERROR(VLOOKUP(B15,пр.взв!$B$7:$H$76,4,0),"")</f>
        <v>УФО</v>
      </c>
      <c r="F15" s="329" t="str">
        <f ca="1">IFERROR(VLOOKUP(B15,пр.взв!$B$7:$H$76,5,0),"")</f>
        <v>Челябинская, Челябинск</v>
      </c>
      <c r="G15" s="305"/>
      <c r="H15" s="305"/>
      <c r="I15" s="307"/>
      <c r="J15" s="309"/>
      <c r="L15" s="311" t="b">
        <f ca="1">пр.хода!BO17</f>
        <v>0</v>
      </c>
      <c r="M15" s="327" t="str">
        <f ca="1">IFERROR(VLOOKUP(L15,пр.взв!$B$7:$H$76,2,0),"")</f>
        <v/>
      </c>
      <c r="N15" s="329" t="str">
        <f ca="1">IFERROR(VLOOKUP(L15,пр.взв!$B$7:$H$76,3,0),"")</f>
        <v/>
      </c>
      <c r="O15" s="329" t="str">
        <f ca="1">IFERROR(VLOOKUP(L15,пр.взв!$B$7:$H$76,4,0),"")</f>
        <v/>
      </c>
      <c r="P15" s="329" t="str">
        <f ca="1">IFERROR(VLOOKUP(L15,пр.взв!$B$7:$H$76,5,0),"")</f>
        <v/>
      </c>
      <c r="Q15" s="305"/>
      <c r="R15" s="305"/>
      <c r="S15" s="307"/>
      <c r="T15" s="309"/>
    </row>
    <row r="16" spans="1:20" ht="13" thickBot="1">
      <c r="A16" s="273"/>
      <c r="B16" s="340"/>
      <c r="C16" s="328"/>
      <c r="D16" s="330"/>
      <c r="E16" s="330"/>
      <c r="F16" s="330"/>
      <c r="G16" s="317"/>
      <c r="H16" s="317"/>
      <c r="I16" s="318"/>
      <c r="J16" s="319"/>
      <c r="L16" s="320"/>
      <c r="M16" s="328"/>
      <c r="N16" s="330"/>
      <c r="O16" s="330"/>
      <c r="P16" s="330"/>
      <c r="Q16" s="317"/>
      <c r="R16" s="317"/>
      <c r="S16" s="318"/>
      <c r="T16" s="319"/>
    </row>
    <row r="17" spans="1:20">
      <c r="A17" s="273"/>
      <c r="B17" s="296" t="str">
        <f ca="1">пр.хода!BL18</f>
        <v xml:space="preserve"> </v>
      </c>
      <c r="C17" s="331" t="str">
        <f ca="1">IFERROR(VLOOKUP(B17,пр.взв!$B$7:$H$76,2,0),"")</f>
        <v/>
      </c>
      <c r="D17" s="333" t="str">
        <f ca="1">IFERROR(VLOOKUP(B17,пр.взв!$B$7:$H$76,3,0),"")</f>
        <v/>
      </c>
      <c r="E17" s="333" t="str">
        <f ca="1">IFERROR(VLOOKUP(B17,пр.взв!$B$7:$H$76,4,0),"")</f>
        <v/>
      </c>
      <c r="F17" s="333" t="str">
        <f ca="1">IFERROR(VLOOKUP(B17,пр.взв!$B$7:$H$76,5,0),"")</f>
        <v/>
      </c>
      <c r="G17" s="304"/>
      <c r="H17" s="304"/>
      <c r="I17" s="306"/>
      <c r="J17" s="308"/>
      <c r="L17" s="310" t="b">
        <f ca="1">пр.хода!BN18</f>
        <v>0</v>
      </c>
      <c r="M17" s="331" t="str">
        <f ca="1">IFERROR(VLOOKUP(L17,пр.взв!$B$7:$H$76,2,0),"")</f>
        <v/>
      </c>
      <c r="N17" s="333" t="str">
        <f ca="1">IFERROR(VLOOKUP(L17,пр.взв!$B$7:$H$76,3,0),"")</f>
        <v/>
      </c>
      <c r="O17" s="333" t="str">
        <f ca="1">IFERROR(VLOOKUP(L17,пр.взв!$B$7:$H$76,4,0),"")</f>
        <v/>
      </c>
      <c r="P17" s="333" t="str">
        <f ca="1">IFERROR(VLOOKUP(L17,пр.взв!$B$7:$H$76,5,0),"")</f>
        <v/>
      </c>
      <c r="Q17" s="304"/>
      <c r="R17" s="304"/>
      <c r="S17" s="306"/>
      <c r="T17" s="308"/>
    </row>
    <row r="18" spans="1:20">
      <c r="A18" s="273"/>
      <c r="B18" s="297"/>
      <c r="C18" s="332"/>
      <c r="D18" s="334"/>
      <c r="E18" s="334"/>
      <c r="F18" s="334"/>
      <c r="G18" s="305"/>
      <c r="H18" s="305"/>
      <c r="I18" s="307"/>
      <c r="J18" s="309"/>
      <c r="L18" s="311"/>
      <c r="M18" s="332"/>
      <c r="N18" s="334"/>
      <c r="O18" s="334"/>
      <c r="P18" s="334"/>
      <c r="Q18" s="305"/>
      <c r="R18" s="305"/>
      <c r="S18" s="307"/>
      <c r="T18" s="309"/>
    </row>
    <row r="19" spans="1:20">
      <c r="A19" s="273"/>
      <c r="B19" s="297" t="str">
        <f ca="1">пр.хода!BM18</f>
        <v xml:space="preserve"> </v>
      </c>
      <c r="C19" s="327" t="str">
        <f ca="1">IFERROR(VLOOKUP(B19,пр.взв!$B$7:$H$76,2,0),"")</f>
        <v/>
      </c>
      <c r="D19" s="329" t="str">
        <f ca="1">IFERROR(VLOOKUP(B19,пр.взв!$B$7:$H$76,3,0),"")</f>
        <v/>
      </c>
      <c r="E19" s="329" t="str">
        <f ca="1">IFERROR(VLOOKUP(B19,пр.взв!$B$7:$H$76,4,0),"")</f>
        <v/>
      </c>
      <c r="F19" s="329" t="str">
        <f ca="1">IFERROR(VLOOKUP(B19,пр.взв!$B$7:$H$76,5,0),"")</f>
        <v/>
      </c>
      <c r="G19" s="305"/>
      <c r="H19" s="305"/>
      <c r="I19" s="307"/>
      <c r="J19" s="309"/>
      <c r="L19" s="311" t="b">
        <f ca="1">пр.хода!BO18</f>
        <v>0</v>
      </c>
      <c r="M19" s="327" t="str">
        <f ca="1">IFERROR(VLOOKUP(L19,пр.взв!$B$7:$H$76,2,0),"")</f>
        <v/>
      </c>
      <c r="N19" s="329" t="str">
        <f ca="1">IFERROR(VLOOKUP(L19,пр.взв!$B$7:$H$76,3,0),"")</f>
        <v/>
      </c>
      <c r="O19" s="329" t="str">
        <f ca="1">IFERROR(VLOOKUP(L19,пр.взв!$B$7:$H$76,4,0),"")</f>
        <v/>
      </c>
      <c r="P19" s="329" t="str">
        <f ca="1">IFERROR(VLOOKUP(L19,пр.взв!$B$7:$H$76,5,0),"")</f>
        <v/>
      </c>
      <c r="Q19" s="305"/>
      <c r="R19" s="305"/>
      <c r="S19" s="307"/>
      <c r="T19" s="309"/>
    </row>
    <row r="20" spans="1:20" ht="13" thickBot="1">
      <c r="A20" s="273"/>
      <c r="B20" s="340"/>
      <c r="C20" s="328"/>
      <c r="D20" s="330"/>
      <c r="E20" s="330"/>
      <c r="F20" s="330"/>
      <c r="G20" s="317"/>
      <c r="H20" s="317"/>
      <c r="I20" s="318"/>
      <c r="J20" s="319"/>
      <c r="L20" s="320"/>
      <c r="M20" s="328"/>
      <c r="N20" s="330"/>
      <c r="O20" s="330"/>
      <c r="P20" s="330"/>
      <c r="Q20" s="317"/>
      <c r="R20" s="317"/>
      <c r="S20" s="318"/>
      <c r="T20" s="319"/>
    </row>
    <row r="21" spans="1:20">
      <c r="A21" s="273"/>
      <c r="B21" s="296"/>
      <c r="C21" s="331" t="str">
        <f>IFERROR(VLOOKUP(B21,пр.взв!$B$7:$H$76,2,0),"")</f>
        <v/>
      </c>
      <c r="D21" s="333" t="str">
        <f>IFERROR(VLOOKUP(B21,пр.взв!$B$7:$H$76,3,0),"")</f>
        <v/>
      </c>
      <c r="E21" s="333" t="str">
        <f>IFERROR(VLOOKUP(B21,пр.взв!$B$7:$H$76,4,0),"")</f>
        <v/>
      </c>
      <c r="F21" s="333" t="str">
        <f>IFERROR(VLOOKUP(B21,пр.взв!$B$7:$H$76,5,0),"")</f>
        <v/>
      </c>
      <c r="G21" s="335"/>
      <c r="H21" s="304"/>
      <c r="I21" s="306"/>
      <c r="J21" s="308"/>
      <c r="L21" s="310"/>
      <c r="M21" s="331" t="str">
        <f>IFERROR(VLOOKUP(L21,пр.взв!$B$7:$H$76,2,0),"")</f>
        <v/>
      </c>
      <c r="N21" s="333" t="str">
        <f>IFERROR(VLOOKUP(L21,пр.взв!$B$7:$H$76,3,0),"")</f>
        <v/>
      </c>
      <c r="O21" s="333" t="str">
        <f>IFERROR(VLOOKUP(L21,пр.взв!$B$7:$H$76,4,0),"")</f>
        <v/>
      </c>
      <c r="P21" s="333" t="str">
        <f>IFERROR(VLOOKUP(L21,пр.взв!$B$7:$H$76,5,0),"")</f>
        <v/>
      </c>
      <c r="Q21" s="304"/>
      <c r="R21" s="304"/>
      <c r="S21" s="306"/>
      <c r="T21" s="308"/>
    </row>
    <row r="22" spans="1:20">
      <c r="A22" s="273"/>
      <c r="B22" s="297"/>
      <c r="C22" s="332"/>
      <c r="D22" s="334"/>
      <c r="E22" s="334"/>
      <c r="F22" s="334"/>
      <c r="G22" s="336"/>
      <c r="H22" s="305"/>
      <c r="I22" s="307"/>
      <c r="J22" s="309"/>
      <c r="L22" s="311"/>
      <c r="M22" s="332"/>
      <c r="N22" s="334"/>
      <c r="O22" s="334"/>
      <c r="P22" s="334"/>
      <c r="Q22" s="305"/>
      <c r="R22" s="305"/>
      <c r="S22" s="307"/>
      <c r="T22" s="309"/>
    </row>
    <row r="23" spans="1:20">
      <c r="A23" s="273"/>
      <c r="B23" s="297"/>
      <c r="C23" s="327" t="str">
        <f>IFERROR(VLOOKUP(B23,пр.взв!$B$7:$H$76,2,0),"")</f>
        <v/>
      </c>
      <c r="D23" s="329" t="str">
        <f>IFERROR(VLOOKUP(B23,пр.взв!$B$7:$H$76,3,0),"")</f>
        <v/>
      </c>
      <c r="E23" s="329" t="str">
        <f>IFERROR(VLOOKUP(B23,пр.взв!$B$7:$H$76,4,0),"")</f>
        <v/>
      </c>
      <c r="F23" s="329" t="str">
        <f>IFERROR(VLOOKUP(B23,пр.взв!$B$7:$H$76,5,0),"")</f>
        <v/>
      </c>
      <c r="G23" s="305"/>
      <c r="H23" s="305"/>
      <c r="I23" s="307"/>
      <c r="J23" s="309"/>
      <c r="L23" s="311"/>
      <c r="M23" s="327" t="str">
        <f>IFERROR(VLOOKUP(L23,пр.взв!$B$7:$H$76,2,0),"")</f>
        <v/>
      </c>
      <c r="N23" s="329" t="str">
        <f>IFERROR(VLOOKUP(L23,пр.взв!$B$7:$H$76,3,0),"")</f>
        <v/>
      </c>
      <c r="O23" s="329" t="str">
        <f>IFERROR(VLOOKUP(L23,пр.взв!$B$7:$H$76,4,0),"")</f>
        <v/>
      </c>
      <c r="P23" s="329" t="str">
        <f>IFERROR(VLOOKUP(L23,пр.взв!$B$7:$H$76,5,0),"")</f>
        <v/>
      </c>
      <c r="Q23" s="305"/>
      <c r="R23" s="305"/>
      <c r="S23" s="307"/>
      <c r="T23" s="309"/>
    </row>
    <row r="24" spans="1:20" ht="13" thickBot="1">
      <c r="A24" s="273"/>
      <c r="B24" s="340"/>
      <c r="C24" s="328"/>
      <c r="D24" s="330"/>
      <c r="E24" s="330"/>
      <c r="F24" s="330"/>
      <c r="G24" s="317"/>
      <c r="H24" s="317"/>
      <c r="I24" s="318"/>
      <c r="J24" s="319"/>
      <c r="L24" s="320"/>
      <c r="M24" s="328"/>
      <c r="N24" s="330"/>
      <c r="O24" s="330"/>
      <c r="P24" s="330"/>
      <c r="Q24" s="317"/>
      <c r="R24" s="317"/>
      <c r="S24" s="318"/>
      <c r="T24" s="319"/>
    </row>
    <row r="25" spans="1:20">
      <c r="A25" s="273"/>
      <c r="B25" s="296"/>
      <c r="C25" s="321" t="str">
        <f>IFERROR(VLOOKUP(B25,пр.взв!$B$7:$H$76,2,0),"")</f>
        <v/>
      </c>
      <c r="D25" s="302" t="str">
        <f>IFERROR(VLOOKUP(B25,пр.взв!$B$7:$H$76,3,0),"")</f>
        <v/>
      </c>
      <c r="E25" s="302" t="str">
        <f>IFERROR(VLOOKUP(B25,пр.взв!$B$7:$H$76,4,0),"")</f>
        <v/>
      </c>
      <c r="F25" s="302" t="str">
        <f>IFERROR(VLOOKUP(B25,пр.взв!$B$7:$H$76,5,0),"")</f>
        <v/>
      </c>
      <c r="G25" s="304"/>
      <c r="H25" s="304"/>
      <c r="I25" s="306"/>
      <c r="J25" s="308"/>
      <c r="L25" s="310"/>
      <c r="M25" s="321" t="str">
        <f>IFERROR(VLOOKUP(L25,пр.взв!$B$7:$H$76,2,0),"")</f>
        <v/>
      </c>
      <c r="N25" s="302" t="str">
        <f>IFERROR(VLOOKUP(L25,пр.взв!$B$7:$H$76,3,0),"")</f>
        <v/>
      </c>
      <c r="O25" s="302" t="str">
        <f>IFERROR(VLOOKUP(L25,пр.взв!$B$7:$H$76,4,0),"")</f>
        <v/>
      </c>
      <c r="P25" s="302" t="str">
        <f>IFERROR(VLOOKUP(L25,пр.взв!$B$7:$H$76,5,0),"")</f>
        <v/>
      </c>
      <c r="Q25" s="304"/>
      <c r="R25" s="304"/>
      <c r="S25" s="306"/>
      <c r="T25" s="308"/>
    </row>
    <row r="26" spans="1:20">
      <c r="A26" s="273"/>
      <c r="B26" s="297"/>
      <c r="C26" s="322"/>
      <c r="D26" s="303"/>
      <c r="E26" s="303"/>
      <c r="F26" s="303"/>
      <c r="G26" s="305"/>
      <c r="H26" s="305"/>
      <c r="I26" s="307"/>
      <c r="J26" s="309"/>
      <c r="L26" s="311"/>
      <c r="M26" s="322"/>
      <c r="N26" s="303"/>
      <c r="O26" s="303"/>
      <c r="P26" s="303"/>
      <c r="Q26" s="305"/>
      <c r="R26" s="305"/>
      <c r="S26" s="307"/>
      <c r="T26" s="309"/>
    </row>
    <row r="27" spans="1:20">
      <c r="A27" s="273"/>
      <c r="B27" s="297"/>
      <c r="C27" s="313" t="str">
        <f>IFERROR(VLOOKUP(B27,пр.взв!$B$7:$H$76,2,0),"")</f>
        <v/>
      </c>
      <c r="D27" s="315" t="str">
        <f>IFERROR(VLOOKUP(B27,пр.взв!$B$7:$H$76,3,0),"")</f>
        <v/>
      </c>
      <c r="E27" s="315" t="str">
        <f>IFERROR(VLOOKUP(B27,пр.взв!$B$7:$H$76,4,0),"")</f>
        <v/>
      </c>
      <c r="F27" s="315" t="str">
        <f>IFERROR(VLOOKUP(B27,пр.взв!$B$7:$H$76,5,0),"")</f>
        <v/>
      </c>
      <c r="G27" s="305"/>
      <c r="H27" s="305"/>
      <c r="I27" s="307"/>
      <c r="J27" s="309"/>
      <c r="L27" s="311"/>
      <c r="M27" s="313" t="str">
        <f>IFERROR(VLOOKUP(L27,пр.взв!$B$7:$H$76,2,0),"")</f>
        <v/>
      </c>
      <c r="N27" s="315" t="str">
        <f>IFERROR(VLOOKUP(L27,пр.взв!$B$7:$H$76,3,0),"")</f>
        <v/>
      </c>
      <c r="O27" s="315" t="str">
        <f>IFERROR(VLOOKUP(L27,пр.взв!$B$7:$H$76,4,0),"")</f>
        <v/>
      </c>
      <c r="P27" s="315" t="str">
        <f>IFERROR(VLOOKUP(L27,пр.взв!$B$7:$H$76,5,0),"")</f>
        <v/>
      </c>
      <c r="Q27" s="305"/>
      <c r="R27" s="305"/>
      <c r="S27" s="307"/>
      <c r="T27" s="309"/>
    </row>
    <row r="28" spans="1:20" ht="13" thickBot="1">
      <c r="A28" s="273"/>
      <c r="B28" s="340"/>
      <c r="C28" s="314"/>
      <c r="D28" s="316"/>
      <c r="E28" s="316"/>
      <c r="F28" s="316"/>
      <c r="G28" s="317"/>
      <c r="H28" s="317"/>
      <c r="I28" s="318"/>
      <c r="J28" s="319"/>
      <c r="L28" s="320"/>
      <c r="M28" s="314"/>
      <c r="N28" s="316"/>
      <c r="O28" s="316"/>
      <c r="P28" s="316"/>
      <c r="Q28" s="317"/>
      <c r="R28" s="317"/>
      <c r="S28" s="318"/>
      <c r="T28" s="319"/>
    </row>
    <row r="29" spans="1:20">
      <c r="A29" s="273"/>
      <c r="B29" s="296"/>
      <c r="C29" s="321" t="str">
        <f>IFERROR(VLOOKUP(B29,пр.взв!$B$7:$H$76,2,0),"")</f>
        <v/>
      </c>
      <c r="D29" s="302" t="str">
        <f>IFERROR(VLOOKUP(B29,пр.взв!$B$7:$H$76,3,0),"")</f>
        <v/>
      </c>
      <c r="E29" s="302" t="str">
        <f>IFERROR(VLOOKUP(B29,пр.взв!$B$7:$H$76,4,0),"")</f>
        <v/>
      </c>
      <c r="F29" s="302" t="str">
        <f>IFERROR(VLOOKUP(B29,пр.взв!$B$7:$H$76,5,0),"")</f>
        <v/>
      </c>
      <c r="G29" s="304"/>
      <c r="H29" s="304"/>
      <c r="I29" s="306"/>
      <c r="J29" s="308"/>
      <c r="L29" s="310"/>
      <c r="M29" s="321" t="str">
        <f>IFERROR(VLOOKUP(L29,пр.взв!$B$7:$H$76,2,0),"")</f>
        <v/>
      </c>
      <c r="N29" s="302" t="str">
        <f>IFERROR(VLOOKUP(L29,пр.взв!$B$7:$H$76,3,0),"")</f>
        <v/>
      </c>
      <c r="O29" s="302" t="str">
        <f>IFERROR(VLOOKUP(L29,пр.взв!$B$7:$H$76,4,0),"")</f>
        <v/>
      </c>
      <c r="P29" s="302" t="str">
        <f>IFERROR(VLOOKUP(L29,пр.взв!$B$7:$H$76,5,0),"")</f>
        <v/>
      </c>
      <c r="Q29" s="304"/>
      <c r="R29" s="304"/>
      <c r="S29" s="306"/>
      <c r="T29" s="308"/>
    </row>
    <row r="30" spans="1:20">
      <c r="A30" s="273"/>
      <c r="B30" s="297"/>
      <c r="C30" s="322"/>
      <c r="D30" s="303"/>
      <c r="E30" s="303"/>
      <c r="F30" s="303"/>
      <c r="G30" s="305"/>
      <c r="H30" s="305"/>
      <c r="I30" s="307"/>
      <c r="J30" s="309"/>
      <c r="L30" s="311"/>
      <c r="M30" s="322"/>
      <c r="N30" s="303"/>
      <c r="O30" s="303"/>
      <c r="P30" s="303"/>
      <c r="Q30" s="305"/>
      <c r="R30" s="305"/>
      <c r="S30" s="307"/>
      <c r="T30" s="309"/>
    </row>
    <row r="31" spans="1:20">
      <c r="A31" s="273"/>
      <c r="B31" s="297"/>
      <c r="C31" s="313" t="str">
        <f>IFERROR(VLOOKUP(B31,пр.взв!$B$7:$H$76,2,0),"")</f>
        <v/>
      </c>
      <c r="D31" s="315" t="str">
        <f>IFERROR(VLOOKUP(B31,пр.взв!$B$7:$H$76,3,0),"")</f>
        <v/>
      </c>
      <c r="E31" s="315" t="str">
        <f>IFERROR(VLOOKUP(B31,пр.взв!$B$7:$H$76,4,0),"")</f>
        <v/>
      </c>
      <c r="F31" s="315" t="str">
        <f>IFERROR(VLOOKUP(B31,пр.взв!$B$7:$H$76,5,0),"")</f>
        <v/>
      </c>
      <c r="G31" s="305"/>
      <c r="H31" s="305"/>
      <c r="I31" s="307"/>
      <c r="J31" s="309"/>
      <c r="L31" s="311"/>
      <c r="M31" s="313" t="str">
        <f>IFERROR(VLOOKUP(L31,пр.взв!$B$7:$H$76,2,0),"")</f>
        <v/>
      </c>
      <c r="N31" s="315" t="str">
        <f>IFERROR(VLOOKUP(L31,пр.взв!$B$7:$H$76,3,0),"")</f>
        <v/>
      </c>
      <c r="O31" s="315" t="str">
        <f>IFERROR(VLOOKUP(L31,пр.взв!$B$7:$H$76,4,0),"")</f>
        <v/>
      </c>
      <c r="P31" s="315" t="str">
        <f>IFERROR(VLOOKUP(L31,пр.взв!$B$7:$H$76,5,0),"")</f>
        <v/>
      </c>
      <c r="Q31" s="305"/>
      <c r="R31" s="305"/>
      <c r="S31" s="307"/>
      <c r="T31" s="309"/>
    </row>
    <row r="32" spans="1:20" ht="13" thickBot="1">
      <c r="A32" s="273"/>
      <c r="B32" s="340"/>
      <c r="C32" s="314"/>
      <c r="D32" s="316"/>
      <c r="E32" s="316"/>
      <c r="F32" s="316"/>
      <c r="G32" s="317"/>
      <c r="H32" s="317"/>
      <c r="I32" s="318"/>
      <c r="J32" s="319"/>
      <c r="L32" s="320"/>
      <c r="M32" s="314"/>
      <c r="N32" s="316"/>
      <c r="O32" s="316"/>
      <c r="P32" s="316"/>
      <c r="Q32" s="317"/>
      <c r="R32" s="317"/>
      <c r="S32" s="318"/>
      <c r="T32" s="319"/>
    </row>
    <row r="33" spans="1:20">
      <c r="A33" s="273"/>
      <c r="B33" s="296"/>
      <c r="C33" s="321" t="str">
        <f>IFERROR(VLOOKUP(B33,пр.взв!$B$7:$H$76,2,0),"")</f>
        <v/>
      </c>
      <c r="D33" s="302" t="str">
        <f>IFERROR(VLOOKUP(B33,пр.взв!$B$7:$H$76,3,0),"")</f>
        <v/>
      </c>
      <c r="E33" s="302" t="str">
        <f>IFERROR(VLOOKUP(B33,пр.взв!$B$7:$H$76,4,0),"")</f>
        <v/>
      </c>
      <c r="F33" s="302" t="str">
        <f>IFERROR(VLOOKUP(B33,пр.взв!$B$7:$H$76,5,0),"")</f>
        <v/>
      </c>
      <c r="G33" s="304"/>
      <c r="H33" s="304"/>
      <c r="I33" s="306"/>
      <c r="J33" s="308"/>
      <c r="L33" s="310"/>
      <c r="M33" s="321" t="str">
        <f>IFERROR(VLOOKUP(L33,пр.взв!$B$7:$H$76,2,0),"")</f>
        <v/>
      </c>
      <c r="N33" s="302" t="str">
        <f>IFERROR(VLOOKUP(L33,пр.взв!$B$7:$H$76,3,0),"")</f>
        <v/>
      </c>
      <c r="O33" s="302" t="str">
        <f>IFERROR(VLOOKUP(L33,пр.взв!$B$7:$H$76,4,0),"")</f>
        <v/>
      </c>
      <c r="P33" s="302" t="str">
        <f>IFERROR(VLOOKUP(L33,пр.взв!$B$7:$H$76,5,0),"")</f>
        <v/>
      </c>
      <c r="Q33" s="304"/>
      <c r="R33" s="304"/>
      <c r="S33" s="306"/>
      <c r="T33" s="308"/>
    </row>
    <row r="34" spans="1:20">
      <c r="A34" s="273"/>
      <c r="B34" s="297"/>
      <c r="C34" s="322"/>
      <c r="D34" s="303"/>
      <c r="E34" s="303"/>
      <c r="F34" s="303"/>
      <c r="G34" s="305"/>
      <c r="H34" s="305"/>
      <c r="I34" s="307"/>
      <c r="J34" s="309"/>
      <c r="L34" s="311"/>
      <c r="M34" s="322"/>
      <c r="N34" s="303"/>
      <c r="O34" s="303"/>
      <c r="P34" s="303"/>
      <c r="Q34" s="305"/>
      <c r="R34" s="305"/>
      <c r="S34" s="307"/>
      <c r="T34" s="309"/>
    </row>
    <row r="35" spans="1:20">
      <c r="A35" s="273"/>
      <c r="B35" s="297"/>
      <c r="C35" s="313" t="str">
        <f>IFERROR(VLOOKUP(B35,пр.взв!$B$7:$H$76,2,0),"")</f>
        <v/>
      </c>
      <c r="D35" s="315" t="str">
        <f>IFERROR(VLOOKUP(B35,пр.взв!$B$7:$H$76,3,0),"")</f>
        <v/>
      </c>
      <c r="E35" s="315" t="str">
        <f>IFERROR(VLOOKUP(B35,пр.взв!$B$7:$H$76,4,0),"")</f>
        <v/>
      </c>
      <c r="F35" s="315" t="str">
        <f>IFERROR(VLOOKUP(B35,пр.взв!$B$7:$H$76,5,0),"")</f>
        <v/>
      </c>
      <c r="G35" s="305"/>
      <c r="H35" s="305"/>
      <c r="I35" s="307"/>
      <c r="J35" s="309"/>
      <c r="L35" s="311"/>
      <c r="M35" s="313" t="str">
        <f>IFERROR(VLOOKUP(L35,пр.взв!$B$7:$H$76,2,0),"")</f>
        <v/>
      </c>
      <c r="N35" s="315" t="str">
        <f>IFERROR(VLOOKUP(L35,пр.взв!$B$7:$H$76,3,0),"")</f>
        <v/>
      </c>
      <c r="O35" s="315" t="str">
        <f>IFERROR(VLOOKUP(L35,пр.взв!$B$7:$H$76,4,0),"")</f>
        <v/>
      </c>
      <c r="P35" s="315" t="str">
        <f>IFERROR(VLOOKUP(L35,пр.взв!$B$7:$H$76,5,0),"")</f>
        <v/>
      </c>
      <c r="Q35" s="305"/>
      <c r="R35" s="305"/>
      <c r="S35" s="307"/>
      <c r="T35" s="309"/>
    </row>
    <row r="36" spans="1:20" ht="13" thickBot="1">
      <c r="A36" s="273"/>
      <c r="B36" s="340"/>
      <c r="C36" s="314"/>
      <c r="D36" s="316"/>
      <c r="E36" s="316"/>
      <c r="F36" s="316"/>
      <c r="G36" s="317"/>
      <c r="H36" s="317"/>
      <c r="I36" s="318"/>
      <c r="J36" s="319"/>
      <c r="L36" s="320"/>
      <c r="M36" s="314"/>
      <c r="N36" s="316"/>
      <c r="O36" s="316"/>
      <c r="P36" s="316"/>
      <c r="Q36" s="317"/>
      <c r="R36" s="317"/>
      <c r="S36" s="318"/>
      <c r="T36" s="319"/>
    </row>
    <row r="37" spans="1:20">
      <c r="A37" s="273"/>
      <c r="B37" s="296"/>
      <c r="C37" s="321" t="str">
        <f>IFERROR(VLOOKUP(B37,пр.взв!$B$7:$H$76,2,0),"")</f>
        <v/>
      </c>
      <c r="D37" s="302" t="str">
        <f>IFERROR(VLOOKUP(B37,пр.взв!$B$7:$H$76,3,0),"")</f>
        <v/>
      </c>
      <c r="E37" s="302" t="str">
        <f>IFERROR(VLOOKUP(B37,пр.взв!$B$7:$H$76,4,0),"")</f>
        <v/>
      </c>
      <c r="F37" s="302" t="str">
        <f>IFERROR(VLOOKUP(B37,пр.взв!$B$7:$H$76,5,0),"")</f>
        <v/>
      </c>
      <c r="G37" s="304"/>
      <c r="H37" s="304"/>
      <c r="I37" s="306"/>
      <c r="J37" s="308"/>
      <c r="L37" s="310"/>
      <c r="M37" s="321" t="str">
        <f>IFERROR(VLOOKUP(L37,пр.взв!$B$7:$H$76,2,0),"")</f>
        <v/>
      </c>
      <c r="N37" s="302" t="str">
        <f>IFERROR(VLOOKUP(L37,пр.взв!$B$7:$H$76,3,0),"")</f>
        <v/>
      </c>
      <c r="O37" s="302" t="str">
        <f>IFERROR(VLOOKUP(L37,пр.взв!$B$7:$H$76,4,0),"")</f>
        <v/>
      </c>
      <c r="P37" s="302" t="str">
        <f>IFERROR(VLOOKUP(L37,пр.взв!$B$7:$H$76,5,0),"")</f>
        <v/>
      </c>
      <c r="Q37" s="304"/>
      <c r="R37" s="304"/>
      <c r="S37" s="306"/>
      <c r="T37" s="308"/>
    </row>
    <row r="38" spans="1:20">
      <c r="A38" s="273"/>
      <c r="B38" s="297"/>
      <c r="C38" s="322"/>
      <c r="D38" s="303"/>
      <c r="E38" s="303"/>
      <c r="F38" s="303"/>
      <c r="G38" s="305"/>
      <c r="H38" s="305"/>
      <c r="I38" s="307"/>
      <c r="J38" s="309"/>
      <c r="L38" s="311"/>
      <c r="M38" s="322"/>
      <c r="N38" s="303"/>
      <c r="O38" s="303"/>
      <c r="P38" s="303"/>
      <c r="Q38" s="305"/>
      <c r="R38" s="305"/>
      <c r="S38" s="307"/>
      <c r="T38" s="309"/>
    </row>
    <row r="39" spans="1:20">
      <c r="A39" s="273"/>
      <c r="B39" s="297"/>
      <c r="C39" s="313" t="str">
        <f>IFERROR(VLOOKUP(B39,пр.взв!$B$7:$H$76,2,0),"")</f>
        <v/>
      </c>
      <c r="D39" s="315" t="str">
        <f>IFERROR(VLOOKUP(B39,пр.взв!$B$7:$H$76,3,0),"")</f>
        <v/>
      </c>
      <c r="E39" s="315" t="str">
        <f>IFERROR(VLOOKUP(B39,пр.взв!$B$7:$H$76,4,0),"")</f>
        <v/>
      </c>
      <c r="F39" s="315" t="str">
        <f>IFERROR(VLOOKUP(B39,пр.взв!$B$7:$H$76,5,0),"")</f>
        <v/>
      </c>
      <c r="G39" s="305"/>
      <c r="H39" s="305"/>
      <c r="I39" s="307"/>
      <c r="J39" s="309"/>
      <c r="L39" s="311"/>
      <c r="M39" s="313" t="str">
        <f>IFERROR(VLOOKUP(L39,пр.взв!$B$7:$H$76,2,0),"")</f>
        <v/>
      </c>
      <c r="N39" s="315" t="str">
        <f>IFERROR(VLOOKUP(L39,пр.взв!$B$7:$H$76,3,0),"")</f>
        <v/>
      </c>
      <c r="O39" s="315" t="str">
        <f>IFERROR(VLOOKUP(L39,пр.взв!$B$7:$H$76,4,0),"")</f>
        <v/>
      </c>
      <c r="P39" s="315" t="str">
        <f>IFERROR(VLOOKUP(L39,пр.взв!$B$7:$H$76,5,0),"")</f>
        <v/>
      </c>
      <c r="Q39" s="305"/>
      <c r="R39" s="305"/>
      <c r="S39" s="307"/>
      <c r="T39" s="309"/>
    </row>
    <row r="40" spans="1:20" ht="13" thickBot="1">
      <c r="A40" s="273"/>
      <c r="B40" s="340"/>
      <c r="C40" s="314"/>
      <c r="D40" s="316"/>
      <c r="E40" s="316"/>
      <c r="F40" s="316"/>
      <c r="G40" s="317"/>
      <c r="H40" s="317"/>
      <c r="I40" s="318"/>
      <c r="J40" s="319"/>
      <c r="L40" s="320"/>
      <c r="M40" s="314"/>
      <c r="N40" s="316"/>
      <c r="O40" s="316"/>
      <c r="P40" s="316"/>
      <c r="Q40" s="317"/>
      <c r="R40" s="317"/>
      <c r="S40" s="318"/>
      <c r="T40" s="319"/>
    </row>
    <row r="41" spans="1:20">
      <c r="A41" s="273"/>
      <c r="B41" s="296"/>
      <c r="C41" s="321" t="str">
        <f>IFERROR(VLOOKUP(B41,пр.взв!$B$7:$H$76,2,0),"")</f>
        <v/>
      </c>
      <c r="D41" s="302" t="str">
        <f>IFERROR(VLOOKUP(B41,пр.взв!$B$7:$H$76,3,0),"")</f>
        <v/>
      </c>
      <c r="E41" s="302" t="str">
        <f>IFERROR(VLOOKUP(B41,пр.взв!$B$7:$H$76,4,0),"")</f>
        <v/>
      </c>
      <c r="F41" s="302" t="str">
        <f>IFERROR(VLOOKUP(B41,пр.взв!$B$7:$H$76,5,0),"")</f>
        <v/>
      </c>
      <c r="G41" s="304"/>
      <c r="H41" s="304"/>
      <c r="I41" s="306"/>
      <c r="J41" s="308"/>
      <c r="L41" s="310"/>
      <c r="M41" s="321" t="str">
        <f>IFERROR(VLOOKUP(L41,пр.взв!$B$7:$H$76,2,0),"")</f>
        <v/>
      </c>
      <c r="N41" s="302" t="str">
        <f>IFERROR(VLOOKUP(L41,пр.взв!$B$7:$H$76,3,0),"")</f>
        <v/>
      </c>
      <c r="O41" s="302" t="str">
        <f>IFERROR(VLOOKUP(L41,пр.взв!$B$7:$H$76,4,0),"")</f>
        <v/>
      </c>
      <c r="P41" s="302" t="str">
        <f>IFERROR(VLOOKUP(L41,пр.взв!$B$7:$H$76,5,0),"")</f>
        <v/>
      </c>
      <c r="Q41" s="304"/>
      <c r="R41" s="304"/>
      <c r="S41" s="306"/>
      <c r="T41" s="308"/>
    </row>
    <row r="42" spans="1:20">
      <c r="A42" s="273"/>
      <c r="B42" s="297"/>
      <c r="C42" s="322"/>
      <c r="D42" s="303"/>
      <c r="E42" s="303"/>
      <c r="F42" s="303"/>
      <c r="G42" s="305"/>
      <c r="H42" s="305"/>
      <c r="I42" s="307"/>
      <c r="J42" s="309"/>
      <c r="L42" s="311"/>
      <c r="M42" s="322"/>
      <c r="N42" s="303"/>
      <c r="O42" s="303"/>
      <c r="P42" s="303"/>
      <c r="Q42" s="305"/>
      <c r="R42" s="305"/>
      <c r="S42" s="307"/>
      <c r="T42" s="309"/>
    </row>
    <row r="43" spans="1:20">
      <c r="A43" s="273"/>
      <c r="B43" s="297"/>
      <c r="C43" s="313" t="str">
        <f>IFERROR(VLOOKUP(B43,пр.взв!$B$7:$H$76,2,0),"")</f>
        <v/>
      </c>
      <c r="D43" s="315" t="str">
        <f>IFERROR(VLOOKUP(B43,пр.взв!$B$7:$H$76,3,0),"")</f>
        <v/>
      </c>
      <c r="E43" s="315" t="str">
        <f>IFERROR(VLOOKUP(B43,пр.взв!$B$7:$H$76,4,0),"")</f>
        <v/>
      </c>
      <c r="F43" s="315" t="str">
        <f>IFERROR(VLOOKUP(B43,пр.взв!$B$7:$H$76,5,0),"")</f>
        <v/>
      </c>
      <c r="G43" s="305"/>
      <c r="H43" s="305"/>
      <c r="I43" s="307"/>
      <c r="J43" s="309"/>
      <c r="L43" s="311"/>
      <c r="M43" s="313" t="str">
        <f>IFERROR(VLOOKUP(L43,пр.взв!$B$7:$H$76,2,0),"")</f>
        <v/>
      </c>
      <c r="N43" s="315" t="str">
        <f>IFERROR(VLOOKUP(L43,пр.взв!$B$7:$H$76,3,0),"")</f>
        <v/>
      </c>
      <c r="O43" s="315" t="str">
        <f>IFERROR(VLOOKUP(L43,пр.взв!$B$7:$H$76,4,0),"")</f>
        <v/>
      </c>
      <c r="P43" s="315" t="str">
        <f>IFERROR(VLOOKUP(L43,пр.взв!$B$7:$H$76,5,0),"")</f>
        <v/>
      </c>
      <c r="Q43" s="305"/>
      <c r="R43" s="305"/>
      <c r="S43" s="307"/>
      <c r="T43" s="309"/>
    </row>
    <row r="44" spans="1:20" ht="13" thickBot="1">
      <c r="A44" s="273"/>
      <c r="B44" s="340"/>
      <c r="C44" s="314"/>
      <c r="D44" s="316"/>
      <c r="E44" s="316"/>
      <c r="F44" s="316"/>
      <c r="G44" s="317"/>
      <c r="H44" s="317"/>
      <c r="I44" s="318"/>
      <c r="J44" s="319"/>
      <c r="L44" s="320"/>
      <c r="M44" s="314"/>
      <c r="N44" s="316"/>
      <c r="O44" s="316"/>
      <c r="P44" s="316"/>
      <c r="Q44" s="317"/>
      <c r="R44" s="317"/>
      <c r="S44" s="318"/>
      <c r="T44" s="319"/>
    </row>
    <row r="45" spans="1:20">
      <c r="A45" s="273"/>
      <c r="B45" s="296"/>
      <c r="C45" s="321" t="str">
        <f>IFERROR(VLOOKUP(B45,пр.взв!$B$7:$H$76,2,0),"")</f>
        <v/>
      </c>
      <c r="D45" s="302" t="str">
        <f>IFERROR(VLOOKUP(B45,пр.взв!$B$7:$H$76,3,0),"")</f>
        <v/>
      </c>
      <c r="E45" s="302" t="str">
        <f>IFERROR(VLOOKUP(B45,пр.взв!$B$7:$H$76,4,0),"")</f>
        <v/>
      </c>
      <c r="F45" s="302" t="str">
        <f>IFERROR(VLOOKUP(B45,пр.взв!$B$7:$H$76,5,0),"")</f>
        <v/>
      </c>
      <c r="G45" s="304"/>
      <c r="H45" s="304"/>
      <c r="I45" s="306"/>
      <c r="J45" s="308"/>
      <c r="L45" s="310"/>
      <c r="M45" s="321" t="str">
        <f>IFERROR(VLOOKUP(L45,пр.взв!$B$7:$H$76,2,0),"")</f>
        <v/>
      </c>
      <c r="N45" s="302" t="str">
        <f>IFERROR(VLOOKUP(L45,пр.взв!$B$7:$H$76,3,0),"")</f>
        <v/>
      </c>
      <c r="O45" s="302" t="str">
        <f>IFERROR(VLOOKUP(L45,пр.взв!$B$7:$H$76,4,0),"")</f>
        <v/>
      </c>
      <c r="P45" s="302" t="str">
        <f>IFERROR(VLOOKUP(L45,пр.взв!$B$7:$H$76,5,0),"")</f>
        <v/>
      </c>
      <c r="Q45" s="304"/>
      <c r="R45" s="304"/>
      <c r="S45" s="306"/>
      <c r="T45" s="308"/>
    </row>
    <row r="46" spans="1:20">
      <c r="A46" s="273"/>
      <c r="B46" s="297"/>
      <c r="C46" s="322"/>
      <c r="D46" s="303"/>
      <c r="E46" s="303"/>
      <c r="F46" s="303"/>
      <c r="G46" s="305"/>
      <c r="H46" s="305"/>
      <c r="I46" s="307"/>
      <c r="J46" s="309"/>
      <c r="L46" s="311"/>
      <c r="M46" s="322"/>
      <c r="N46" s="303"/>
      <c r="O46" s="303"/>
      <c r="P46" s="303"/>
      <c r="Q46" s="305"/>
      <c r="R46" s="305"/>
      <c r="S46" s="307"/>
      <c r="T46" s="309"/>
    </row>
    <row r="47" spans="1:20">
      <c r="A47" s="273"/>
      <c r="B47" s="297"/>
      <c r="C47" s="313" t="str">
        <f>IFERROR(VLOOKUP(B47,пр.взв!$B$7:$H$76,2,0),"")</f>
        <v/>
      </c>
      <c r="D47" s="315" t="str">
        <f>IFERROR(VLOOKUP(B47,пр.взв!$B$7:$H$76,3,0),"")</f>
        <v/>
      </c>
      <c r="E47" s="315" t="str">
        <f>IFERROR(VLOOKUP(B47,пр.взв!$B$7:$H$76,4,0),"")</f>
        <v/>
      </c>
      <c r="F47" s="315" t="str">
        <f>IFERROR(VLOOKUP(B47,пр.взв!$B$7:$H$76,5,0),"")</f>
        <v/>
      </c>
      <c r="G47" s="305"/>
      <c r="H47" s="305"/>
      <c r="I47" s="307"/>
      <c r="J47" s="309"/>
      <c r="L47" s="311"/>
      <c r="M47" s="313" t="str">
        <f>IFERROR(VLOOKUP(L47,пр.взв!$B$7:$H$76,2,0),"")</f>
        <v/>
      </c>
      <c r="N47" s="315" t="str">
        <f>IFERROR(VLOOKUP(L47,пр.взв!$B$7:$H$76,3,0),"")</f>
        <v/>
      </c>
      <c r="O47" s="315" t="str">
        <f>IFERROR(VLOOKUP(L47,пр.взв!$B$7:$H$76,4,0),"")</f>
        <v/>
      </c>
      <c r="P47" s="315" t="str">
        <f>IFERROR(VLOOKUP(L47,пр.взв!$B$7:$H$76,5,0),"")</f>
        <v/>
      </c>
      <c r="Q47" s="305"/>
      <c r="R47" s="305"/>
      <c r="S47" s="307"/>
      <c r="T47" s="309"/>
    </row>
    <row r="48" spans="1:20" ht="13" thickBot="1">
      <c r="A48" s="273"/>
      <c r="B48" s="340"/>
      <c r="C48" s="314"/>
      <c r="D48" s="316"/>
      <c r="E48" s="316"/>
      <c r="F48" s="316"/>
      <c r="G48" s="317"/>
      <c r="H48" s="317"/>
      <c r="I48" s="318"/>
      <c r="J48" s="319"/>
      <c r="L48" s="320"/>
      <c r="M48" s="314"/>
      <c r="N48" s="316"/>
      <c r="O48" s="316"/>
      <c r="P48" s="316"/>
      <c r="Q48" s="317"/>
      <c r="R48" s="317"/>
      <c r="S48" s="318"/>
      <c r="T48" s="319"/>
    </row>
    <row r="49" spans="1:20">
      <c r="A49" s="273"/>
      <c r="B49" s="296"/>
      <c r="C49" s="321" t="str">
        <f>IFERROR(VLOOKUP(B49,пр.взв!$B$7:$H$76,2,0),"")</f>
        <v/>
      </c>
      <c r="D49" s="302" t="str">
        <f>IFERROR(VLOOKUP(B49,пр.взв!$B$7:$H$76,3,0),"")</f>
        <v/>
      </c>
      <c r="E49" s="302" t="str">
        <f>IFERROR(VLOOKUP(B49,пр.взв!$B$7:$H$76,4,0),"")</f>
        <v/>
      </c>
      <c r="F49" s="302" t="str">
        <f>IFERROR(VLOOKUP(B49,пр.взв!$B$7:$H$76,5,0),"")</f>
        <v/>
      </c>
      <c r="G49" s="304"/>
      <c r="H49" s="304"/>
      <c r="I49" s="306"/>
      <c r="J49" s="308"/>
      <c r="L49" s="310"/>
      <c r="M49" s="321" t="str">
        <f>IFERROR(VLOOKUP(L49,пр.взв!$B$7:$H$76,2,0),"")</f>
        <v/>
      </c>
      <c r="N49" s="302" t="str">
        <f>IFERROR(VLOOKUP(L49,пр.взв!$B$7:$H$76,3,0),"")</f>
        <v/>
      </c>
      <c r="O49" s="302" t="str">
        <f>IFERROR(VLOOKUP(L49,пр.взв!$B$7:$H$76,4,0),"")</f>
        <v/>
      </c>
      <c r="P49" s="302" t="str">
        <f>IFERROR(VLOOKUP(L49,пр.взв!$B$7:$H$76,5,0),"")</f>
        <v/>
      </c>
      <c r="Q49" s="304"/>
      <c r="R49" s="304"/>
      <c r="S49" s="306"/>
      <c r="T49" s="308"/>
    </row>
    <row r="50" spans="1:20">
      <c r="A50" s="273"/>
      <c r="B50" s="297"/>
      <c r="C50" s="322"/>
      <c r="D50" s="303"/>
      <c r="E50" s="303"/>
      <c r="F50" s="303"/>
      <c r="G50" s="305"/>
      <c r="H50" s="305"/>
      <c r="I50" s="307"/>
      <c r="J50" s="309"/>
      <c r="L50" s="311"/>
      <c r="M50" s="322"/>
      <c r="N50" s="303"/>
      <c r="O50" s="303"/>
      <c r="P50" s="303"/>
      <c r="Q50" s="305"/>
      <c r="R50" s="305"/>
      <c r="S50" s="307"/>
      <c r="T50" s="309"/>
    </row>
    <row r="51" spans="1:20">
      <c r="A51" s="273"/>
      <c r="B51" s="297"/>
      <c r="C51" s="313" t="str">
        <f>IFERROR(VLOOKUP(B51,пр.взв!$B$7:$H$76,2,0),"")</f>
        <v/>
      </c>
      <c r="D51" s="315" t="str">
        <f>IFERROR(VLOOKUP(B51,пр.взв!$B$7:$H$76,3,0),"")</f>
        <v/>
      </c>
      <c r="E51" s="315" t="str">
        <f>IFERROR(VLOOKUP(B51,пр.взв!$B$7:$H$76,4,0),"")</f>
        <v/>
      </c>
      <c r="F51" s="315" t="str">
        <f>IFERROR(VLOOKUP(B51,пр.взв!$B$7:$H$76,5,0),"")</f>
        <v/>
      </c>
      <c r="G51" s="305"/>
      <c r="H51" s="305"/>
      <c r="I51" s="307"/>
      <c r="J51" s="309"/>
      <c r="L51" s="311"/>
      <c r="M51" s="313" t="str">
        <f>IFERROR(VLOOKUP(L51,пр.взв!$B$7:$H$76,2,0),"")</f>
        <v/>
      </c>
      <c r="N51" s="315" t="str">
        <f>IFERROR(VLOOKUP(L51,пр.взв!$B$7:$H$76,3,0),"")</f>
        <v/>
      </c>
      <c r="O51" s="315" t="str">
        <f>IFERROR(VLOOKUP(L51,пр.взв!$B$7:$H$76,4,0),"")</f>
        <v/>
      </c>
      <c r="P51" s="315" t="str">
        <f>IFERROR(VLOOKUP(L51,пр.взв!$B$7:$H$76,5,0),"")</f>
        <v/>
      </c>
      <c r="Q51" s="305"/>
      <c r="R51" s="305"/>
      <c r="S51" s="307"/>
      <c r="T51" s="309"/>
    </row>
    <row r="52" spans="1:20" ht="13" thickBot="1">
      <c r="A52" s="273"/>
      <c r="B52" s="340"/>
      <c r="C52" s="314"/>
      <c r="D52" s="316"/>
      <c r="E52" s="316"/>
      <c r="F52" s="316"/>
      <c r="G52" s="317"/>
      <c r="H52" s="317"/>
      <c r="I52" s="318"/>
      <c r="J52" s="319"/>
      <c r="L52" s="320"/>
      <c r="M52" s="314"/>
      <c r="N52" s="316"/>
      <c r="O52" s="316"/>
      <c r="P52" s="316"/>
      <c r="Q52" s="317"/>
      <c r="R52" s="317"/>
      <c r="S52" s="318"/>
      <c r="T52" s="319"/>
    </row>
    <row r="53" spans="1:20">
      <c r="A53" s="273"/>
      <c r="B53" s="296"/>
      <c r="C53" s="321" t="str">
        <f>IFERROR(VLOOKUP(B53,пр.взв!$B$7:$H$76,2,0),"")</f>
        <v/>
      </c>
      <c r="D53" s="302" t="str">
        <f>IFERROR(VLOOKUP(B53,пр.взв!$B$7:$H$76,3,0),"")</f>
        <v/>
      </c>
      <c r="E53" s="302" t="str">
        <f>IFERROR(VLOOKUP(B53,пр.взв!$B$7:$H$76,4,0),"")</f>
        <v/>
      </c>
      <c r="F53" s="302" t="str">
        <f>IFERROR(VLOOKUP(B53,пр.взв!$B$7:$H$76,5,0),"")</f>
        <v/>
      </c>
      <c r="G53" s="304"/>
      <c r="H53" s="304"/>
      <c r="I53" s="306"/>
      <c r="J53" s="308"/>
      <c r="L53" s="310"/>
      <c r="M53" s="321" t="str">
        <f>IFERROR(VLOOKUP(L53,пр.взв!$B$7:$H$76,2,0),"")</f>
        <v/>
      </c>
      <c r="N53" s="302" t="str">
        <f>IFERROR(VLOOKUP(L53,пр.взв!$B$7:$H$76,3,0),"")</f>
        <v/>
      </c>
      <c r="O53" s="302" t="str">
        <f>IFERROR(VLOOKUP(L53,пр.взв!$B$7:$H$76,4,0),"")</f>
        <v/>
      </c>
      <c r="P53" s="302" t="str">
        <f>IFERROR(VLOOKUP(L53,пр.взв!$B$7:$H$76,5,0),"")</f>
        <v/>
      </c>
      <c r="Q53" s="304"/>
      <c r="R53" s="304"/>
      <c r="S53" s="306"/>
      <c r="T53" s="308"/>
    </row>
    <row r="54" spans="1:20">
      <c r="A54" s="273"/>
      <c r="B54" s="297"/>
      <c r="C54" s="322"/>
      <c r="D54" s="303"/>
      <c r="E54" s="303"/>
      <c r="F54" s="303"/>
      <c r="G54" s="305"/>
      <c r="H54" s="305"/>
      <c r="I54" s="307"/>
      <c r="J54" s="309"/>
      <c r="L54" s="311"/>
      <c r="M54" s="322"/>
      <c r="N54" s="303"/>
      <c r="O54" s="303"/>
      <c r="P54" s="303"/>
      <c r="Q54" s="305"/>
      <c r="R54" s="305"/>
      <c r="S54" s="307"/>
      <c r="T54" s="309"/>
    </row>
    <row r="55" spans="1:20">
      <c r="A55" s="273"/>
      <c r="B55" s="297"/>
      <c r="C55" s="313" t="str">
        <f>IFERROR(VLOOKUP(B55,пр.взв!$B$7:$H$76,2,0),"")</f>
        <v/>
      </c>
      <c r="D55" s="315" t="str">
        <f>IFERROR(VLOOKUP(B55,пр.взв!$B$7:$H$76,3,0),"")</f>
        <v/>
      </c>
      <c r="E55" s="315" t="str">
        <f>IFERROR(VLOOKUP(B55,пр.взв!$B$7:$H$76,4,0),"")</f>
        <v/>
      </c>
      <c r="F55" s="315" t="str">
        <f>IFERROR(VLOOKUP(B55,пр.взв!$B$7:$H$76,5,0),"")</f>
        <v/>
      </c>
      <c r="G55" s="305"/>
      <c r="H55" s="305"/>
      <c r="I55" s="307"/>
      <c r="J55" s="309"/>
      <c r="L55" s="311"/>
      <c r="M55" s="313" t="str">
        <f>IFERROR(VLOOKUP(L55,пр.взв!$B$7:$H$76,2,0),"")</f>
        <v/>
      </c>
      <c r="N55" s="315" t="str">
        <f>IFERROR(VLOOKUP(L55,пр.взв!$B$7:$H$76,3,0),"")</f>
        <v/>
      </c>
      <c r="O55" s="315" t="str">
        <f>IFERROR(VLOOKUP(L55,пр.взв!$B$7:$H$76,4,0),"")</f>
        <v/>
      </c>
      <c r="P55" s="315" t="str">
        <f>IFERROR(VLOOKUP(L55,пр.взв!$B$7:$H$76,5,0),"")</f>
        <v/>
      </c>
      <c r="Q55" s="305"/>
      <c r="R55" s="305"/>
      <c r="S55" s="307"/>
      <c r="T55" s="309"/>
    </row>
    <row r="56" spans="1:20" ht="13" thickBot="1">
      <c r="A56" s="273"/>
      <c r="B56" s="340"/>
      <c r="C56" s="314"/>
      <c r="D56" s="316"/>
      <c r="E56" s="316"/>
      <c r="F56" s="316"/>
      <c r="G56" s="317"/>
      <c r="H56" s="317"/>
      <c r="I56" s="318"/>
      <c r="J56" s="319"/>
      <c r="L56" s="320"/>
      <c r="M56" s="314"/>
      <c r="N56" s="316"/>
      <c r="O56" s="316"/>
      <c r="P56" s="316"/>
      <c r="Q56" s="317"/>
      <c r="R56" s="317"/>
      <c r="S56" s="318"/>
      <c r="T56" s="319"/>
    </row>
    <row r="57" spans="1:20">
      <c r="A57" s="273"/>
      <c r="B57" s="296"/>
      <c r="C57" s="321" t="str">
        <f>IFERROR(VLOOKUP(B57,пр.взв!$B$7:$H$76,2,0),"")</f>
        <v/>
      </c>
      <c r="D57" s="302" t="str">
        <f>IFERROR(VLOOKUP(B57,пр.взв!$B$7:$H$76,3,0),"")</f>
        <v/>
      </c>
      <c r="E57" s="302" t="str">
        <f>IFERROR(VLOOKUP(B57,пр.взв!$B$7:$H$76,4,0),"")</f>
        <v/>
      </c>
      <c r="F57" s="302" t="str">
        <f>IFERROR(VLOOKUP(B57,пр.взв!$B$7:$H$76,5,0),"")</f>
        <v/>
      </c>
      <c r="G57" s="337"/>
      <c r="H57" s="304"/>
      <c r="I57" s="306"/>
      <c r="J57" s="308"/>
      <c r="L57" s="310"/>
      <c r="M57" s="321" t="str">
        <f>IFERROR(VLOOKUP(L57,пр.взв!$B$7:$H$76,2,0),"")</f>
        <v/>
      </c>
      <c r="N57" s="302" t="str">
        <f>IFERROR(VLOOKUP(L57,пр.взв!$B$7:$H$76,3,0),"")</f>
        <v/>
      </c>
      <c r="O57" s="302" t="str">
        <f>IFERROR(VLOOKUP(L57,пр.взв!$B$7:$H$76,4,0),"")</f>
        <v/>
      </c>
      <c r="P57" s="302" t="str">
        <f>IFERROR(VLOOKUP(L57,пр.взв!$B$7:$H$76,5,0),"")</f>
        <v/>
      </c>
      <c r="Q57" s="337"/>
      <c r="R57" s="304"/>
      <c r="S57" s="306"/>
      <c r="T57" s="308"/>
    </row>
    <row r="58" spans="1:20">
      <c r="A58" s="273"/>
      <c r="B58" s="297"/>
      <c r="C58" s="322"/>
      <c r="D58" s="303"/>
      <c r="E58" s="303"/>
      <c r="F58" s="303"/>
      <c r="G58" s="338"/>
      <c r="H58" s="305"/>
      <c r="I58" s="307"/>
      <c r="J58" s="309"/>
      <c r="L58" s="311"/>
      <c r="M58" s="322"/>
      <c r="N58" s="303"/>
      <c r="O58" s="303"/>
      <c r="P58" s="303"/>
      <c r="Q58" s="338"/>
      <c r="R58" s="305"/>
      <c r="S58" s="307"/>
      <c r="T58" s="309"/>
    </row>
    <row r="59" spans="1:20">
      <c r="A59" s="273"/>
      <c r="B59" s="297"/>
      <c r="C59" s="313" t="str">
        <f>IFERROR(VLOOKUP(B59,пр.взв!$B$7:$H$76,2,0),"")</f>
        <v/>
      </c>
      <c r="D59" s="315" t="str">
        <f>IFERROR(VLOOKUP(B59,пр.взв!$B$7:$H$76,3,0),"")</f>
        <v/>
      </c>
      <c r="E59" s="315" t="str">
        <f>IFERROR(VLOOKUP(B59,пр.взв!$B$7:$H$76,4,0),"")</f>
        <v/>
      </c>
      <c r="F59" s="315" t="str">
        <f>IFERROR(VLOOKUP(B59,пр.взв!$B$7:$H$76,5,0),"")</f>
        <v/>
      </c>
      <c r="G59" s="338"/>
      <c r="H59" s="305"/>
      <c r="I59" s="307"/>
      <c r="J59" s="309"/>
      <c r="L59" s="311"/>
      <c r="M59" s="313" t="str">
        <f>IFERROR(VLOOKUP(L59,пр.взв!$B$7:$H$76,2,0),"")</f>
        <v/>
      </c>
      <c r="N59" s="315" t="str">
        <f>IFERROR(VLOOKUP(L59,пр.взв!$B$7:$H$76,3,0),"")</f>
        <v/>
      </c>
      <c r="O59" s="315" t="str">
        <f>IFERROR(VLOOKUP(L59,пр.взв!$B$7:$H$76,4,0),"")</f>
        <v/>
      </c>
      <c r="P59" s="315" t="str">
        <f>IFERROR(VLOOKUP(L59,пр.взв!$B$7:$H$76,5,0),"")</f>
        <v/>
      </c>
      <c r="Q59" s="338"/>
      <c r="R59" s="305"/>
      <c r="S59" s="307"/>
      <c r="T59" s="309"/>
    </row>
    <row r="60" spans="1:20" ht="13" thickBot="1">
      <c r="A60" s="273"/>
      <c r="B60" s="340"/>
      <c r="C60" s="314"/>
      <c r="D60" s="316"/>
      <c r="E60" s="316"/>
      <c r="F60" s="316"/>
      <c r="G60" s="339"/>
      <c r="H60" s="317"/>
      <c r="I60" s="318"/>
      <c r="J60" s="319"/>
      <c r="L60" s="320"/>
      <c r="M60" s="314"/>
      <c r="N60" s="316"/>
      <c r="O60" s="316"/>
      <c r="P60" s="316"/>
      <c r="Q60" s="339"/>
      <c r="R60" s="317"/>
      <c r="S60" s="318"/>
      <c r="T60" s="319"/>
    </row>
    <row r="61" spans="1:20" ht="12.75" customHeight="1">
      <c r="A61" s="10"/>
      <c r="B61" s="296"/>
      <c r="C61" s="321" t="str">
        <f>IFERROR(VLOOKUP(B61,пр.взв!$B$7:$H$76,2,0),"")</f>
        <v/>
      </c>
      <c r="D61" s="302" t="str">
        <f>IFERROR(VLOOKUP(B61,пр.взв!$B$7:$H$76,3,0),"")</f>
        <v/>
      </c>
      <c r="E61" s="302" t="str">
        <f>IFERROR(VLOOKUP(B61,пр.взв!$B$7:$H$76,4,0),"")</f>
        <v/>
      </c>
      <c r="F61" s="302" t="str">
        <f>IFERROR(VLOOKUP(B61,пр.взв!$B$7:$H$76,5,0),"")</f>
        <v/>
      </c>
      <c r="G61" s="304"/>
      <c r="H61" s="304"/>
      <c r="I61" s="306"/>
      <c r="J61" s="308"/>
      <c r="L61" s="296"/>
      <c r="M61" s="321" t="str">
        <f>IFERROR(VLOOKUP(L61,пр.взв!$B$7:$H$76,2,0),"")</f>
        <v/>
      </c>
      <c r="N61" s="302" t="str">
        <f>IFERROR(VLOOKUP(L61,пр.взв!$B$7:$H$76,3,0),"")</f>
        <v/>
      </c>
      <c r="O61" s="302" t="str">
        <f>IFERROR(VLOOKUP(L61,пр.взв!$B$7:$H$76,4,0),"")</f>
        <v/>
      </c>
      <c r="P61" s="302" t="str">
        <f>IFERROR(VLOOKUP(L61,пр.взв!$B$7:$H$76,5,0),"")</f>
        <v/>
      </c>
      <c r="Q61" s="304"/>
      <c r="R61" s="304"/>
      <c r="S61" s="306"/>
      <c r="T61" s="308"/>
    </row>
    <row r="62" spans="1:20">
      <c r="B62" s="297"/>
      <c r="C62" s="322"/>
      <c r="D62" s="303"/>
      <c r="E62" s="303"/>
      <c r="F62" s="303"/>
      <c r="G62" s="305"/>
      <c r="H62" s="305"/>
      <c r="I62" s="307"/>
      <c r="J62" s="309"/>
      <c r="L62" s="297"/>
      <c r="M62" s="322"/>
      <c r="N62" s="303"/>
      <c r="O62" s="303"/>
      <c r="P62" s="303"/>
      <c r="Q62" s="305"/>
      <c r="R62" s="305"/>
      <c r="S62" s="307"/>
      <c r="T62" s="309"/>
    </row>
    <row r="63" spans="1:20">
      <c r="B63" s="297"/>
      <c r="C63" s="313" t="str">
        <f>IFERROR(VLOOKUP(B63,пр.взв!$B$7:$H$76,2,0),"")</f>
        <v/>
      </c>
      <c r="D63" s="315" t="str">
        <f>IFERROR(VLOOKUP(B63,пр.взв!$B$7:$H$76,3,0),"")</f>
        <v/>
      </c>
      <c r="E63" s="315" t="str">
        <f>IFERROR(VLOOKUP(B63,пр.взв!$B$7:$H$76,4,0),"")</f>
        <v/>
      </c>
      <c r="F63" s="315" t="str">
        <f>IFERROR(VLOOKUP(B63,пр.взв!$B$7:$H$76,5,0),"")</f>
        <v/>
      </c>
      <c r="G63" s="305"/>
      <c r="H63" s="305"/>
      <c r="I63" s="307"/>
      <c r="J63" s="309"/>
      <c r="L63" s="297"/>
      <c r="M63" s="313" t="str">
        <f>IFERROR(VLOOKUP(L63,пр.взв!$B$7:$H$76,2,0),"")</f>
        <v/>
      </c>
      <c r="N63" s="315" t="str">
        <f>IFERROR(VLOOKUP(L63,пр.взв!$B$7:$H$76,3,0),"")</f>
        <v/>
      </c>
      <c r="O63" s="315" t="str">
        <f>IFERROR(VLOOKUP(L63,пр.взв!$B$7:$H$76,4,0),"")</f>
        <v/>
      </c>
      <c r="P63" s="315" t="str">
        <f>IFERROR(VLOOKUP(L63,пр.взв!$B$7:$H$76,5,0),"")</f>
        <v/>
      </c>
      <c r="Q63" s="305"/>
      <c r="R63" s="305"/>
      <c r="S63" s="307"/>
      <c r="T63" s="309"/>
    </row>
    <row r="64" spans="1:20" ht="13" thickBot="1">
      <c r="B64" s="340"/>
      <c r="C64" s="314"/>
      <c r="D64" s="316"/>
      <c r="E64" s="316"/>
      <c r="F64" s="316"/>
      <c r="G64" s="317"/>
      <c r="H64" s="317"/>
      <c r="I64" s="318"/>
      <c r="J64" s="319"/>
      <c r="L64" s="340"/>
      <c r="M64" s="314"/>
      <c r="N64" s="316"/>
      <c r="O64" s="316"/>
      <c r="P64" s="316"/>
      <c r="Q64" s="317"/>
      <c r="R64" s="317"/>
      <c r="S64" s="318"/>
      <c r="T64" s="319"/>
    </row>
    <row r="65" spans="2:20">
      <c r="B65" s="296"/>
      <c r="C65" s="321" t="str">
        <f>IFERROR(VLOOKUP(B65,пр.взв!$B$7:$H$76,2,0),"")</f>
        <v/>
      </c>
      <c r="D65" s="302" t="str">
        <f>IFERROR(VLOOKUP(B65,пр.взв!$B$7:$H$76,3,0),"")</f>
        <v/>
      </c>
      <c r="E65" s="302" t="str">
        <f>IFERROR(VLOOKUP(B65,пр.взв!$B$7:$H$76,4,0),"")</f>
        <v/>
      </c>
      <c r="F65" s="302" t="str">
        <f>IFERROR(VLOOKUP(B65,пр.взв!$B$7:$H$76,5,0),"")</f>
        <v/>
      </c>
      <c r="G65" s="337"/>
      <c r="H65" s="304"/>
      <c r="I65" s="306"/>
      <c r="J65" s="308"/>
      <c r="L65" s="296"/>
      <c r="M65" s="321" t="str">
        <f>IFERROR(VLOOKUP(L65,пр.взв!$B$7:$H$76,2,0),"")</f>
        <v/>
      </c>
      <c r="N65" s="302" t="str">
        <f>IFERROR(VLOOKUP(L65,пр.взв!$B$7:$H$76,3,0),"")</f>
        <v/>
      </c>
      <c r="O65" s="302" t="str">
        <f>IFERROR(VLOOKUP(L65,пр.взв!$B$7:$H$76,4,0),"")</f>
        <v/>
      </c>
      <c r="P65" s="302" t="str">
        <f>IFERROR(VLOOKUP(L65,пр.взв!$B$7:$H$76,5,0),"")</f>
        <v/>
      </c>
      <c r="Q65" s="337"/>
      <c r="R65" s="304"/>
      <c r="S65" s="306"/>
      <c r="T65" s="308"/>
    </row>
    <row r="66" spans="2:20">
      <c r="B66" s="297"/>
      <c r="C66" s="322"/>
      <c r="D66" s="303"/>
      <c r="E66" s="303"/>
      <c r="F66" s="303"/>
      <c r="G66" s="338"/>
      <c r="H66" s="305"/>
      <c r="I66" s="307"/>
      <c r="J66" s="309"/>
      <c r="L66" s="297"/>
      <c r="M66" s="322"/>
      <c r="N66" s="303"/>
      <c r="O66" s="303"/>
      <c r="P66" s="303"/>
      <c r="Q66" s="338"/>
      <c r="R66" s="305"/>
      <c r="S66" s="307"/>
      <c r="T66" s="309"/>
    </row>
    <row r="67" spans="2:20">
      <c r="B67" s="297"/>
      <c r="C67" s="313" t="str">
        <f>IFERROR(VLOOKUP(B67,пр.взв!$B$7:$H$76,2,0),"")</f>
        <v/>
      </c>
      <c r="D67" s="315" t="str">
        <f>IFERROR(VLOOKUP(B67,пр.взв!$B$7:$H$76,3,0),"")</f>
        <v/>
      </c>
      <c r="E67" s="315" t="str">
        <f>IFERROR(VLOOKUP(B67,пр.взв!$B$7:$H$76,4,0),"")</f>
        <v/>
      </c>
      <c r="F67" s="315" t="str">
        <f>IFERROR(VLOOKUP(B67,пр.взв!$B$7:$H$76,5,0),"")</f>
        <v/>
      </c>
      <c r="G67" s="338"/>
      <c r="H67" s="305"/>
      <c r="I67" s="307"/>
      <c r="J67" s="309"/>
      <c r="L67" s="297"/>
      <c r="M67" s="313" t="str">
        <f>IFERROR(VLOOKUP(L67,пр.взв!$B$7:$H$76,2,0),"")</f>
        <v/>
      </c>
      <c r="N67" s="315" t="str">
        <f>IFERROR(VLOOKUP(L67,пр.взв!$B$7:$H$76,3,0),"")</f>
        <v/>
      </c>
      <c r="O67" s="315" t="str">
        <f>IFERROR(VLOOKUP(L67,пр.взв!$B$7:$H$76,4,0),"")</f>
        <v/>
      </c>
      <c r="P67" s="315" t="str">
        <f>IFERROR(VLOOKUP(L67,пр.взв!$B$7:$H$76,5,0),"")</f>
        <v/>
      </c>
      <c r="Q67" s="338"/>
      <c r="R67" s="305"/>
      <c r="S67" s="307"/>
      <c r="T67" s="309"/>
    </row>
    <row r="68" spans="2:20" ht="13" thickBot="1">
      <c r="B68" s="340"/>
      <c r="C68" s="314"/>
      <c r="D68" s="316"/>
      <c r="E68" s="316"/>
      <c r="F68" s="316"/>
      <c r="G68" s="339"/>
      <c r="H68" s="317"/>
      <c r="I68" s="318"/>
      <c r="J68" s="319"/>
      <c r="L68" s="340"/>
      <c r="M68" s="314"/>
      <c r="N68" s="316"/>
      <c r="O68" s="316"/>
      <c r="P68" s="316"/>
      <c r="Q68" s="339"/>
      <c r="R68" s="317"/>
      <c r="S68" s="318"/>
      <c r="T68" s="319"/>
    </row>
  </sheetData>
  <mergeCells count="625"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  <mergeCell ref="O19:O20"/>
    <mergeCell ref="O21:O22"/>
    <mergeCell ref="O23:O24"/>
    <mergeCell ref="O25:O26"/>
    <mergeCell ref="O27:O28"/>
    <mergeCell ref="O29:O30"/>
    <mergeCell ref="O31:O32"/>
    <mergeCell ref="O35:O36"/>
    <mergeCell ref="O37:O38"/>
    <mergeCell ref="O3:P4"/>
    <mergeCell ref="T3:T4"/>
    <mergeCell ref="L3:L4"/>
    <mergeCell ref="M3:M4"/>
    <mergeCell ref="N3:N4"/>
    <mergeCell ref="Q3:Q4"/>
    <mergeCell ref="R3:R4"/>
    <mergeCell ref="S3:S4"/>
    <mergeCell ref="B1:C1"/>
    <mergeCell ref="L1:M1"/>
    <mergeCell ref="F1:J1"/>
    <mergeCell ref="P1:T1"/>
    <mergeCell ref="A3:A4"/>
    <mergeCell ref="B3:B4"/>
    <mergeCell ref="C3:C4"/>
    <mergeCell ref="D3:D4"/>
    <mergeCell ref="G3:G4"/>
    <mergeCell ref="H3:H4"/>
    <mergeCell ref="I3:I4"/>
    <mergeCell ref="J3:J4"/>
    <mergeCell ref="E3:F4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O5:O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L5:L6"/>
    <mergeCell ref="M5:M6"/>
    <mergeCell ref="N5:N6"/>
    <mergeCell ref="P5:P6"/>
    <mergeCell ref="Q5:Q6"/>
    <mergeCell ref="R5:R6"/>
    <mergeCell ref="E7:E8"/>
    <mergeCell ref="O7:O8"/>
    <mergeCell ref="R7:R8"/>
    <mergeCell ref="S7:S8"/>
    <mergeCell ref="T7:T8"/>
    <mergeCell ref="M7:M8"/>
    <mergeCell ref="N7:N8"/>
    <mergeCell ref="A9:A10"/>
    <mergeCell ref="B9:B10"/>
    <mergeCell ref="C9:C10"/>
    <mergeCell ref="D9:D10"/>
    <mergeCell ref="F9:F10"/>
    <mergeCell ref="G9:G10"/>
    <mergeCell ref="H9:H10"/>
    <mergeCell ref="J7:J8"/>
    <mergeCell ref="L7:L8"/>
    <mergeCell ref="P7:P8"/>
    <mergeCell ref="Q7:Q8"/>
    <mergeCell ref="E9:E10"/>
    <mergeCell ref="O9:O10"/>
    <mergeCell ref="Q9:Q10"/>
    <mergeCell ref="R9:R10"/>
    <mergeCell ref="S9:S10"/>
    <mergeCell ref="T9:T10"/>
    <mergeCell ref="A11:A12"/>
    <mergeCell ref="B11:B12"/>
    <mergeCell ref="C11:C12"/>
    <mergeCell ref="D11:D12"/>
    <mergeCell ref="F11:F12"/>
    <mergeCell ref="G11:G12"/>
    <mergeCell ref="I9:I10"/>
    <mergeCell ref="J9:J10"/>
    <mergeCell ref="L9:L10"/>
    <mergeCell ref="M9:M10"/>
    <mergeCell ref="N9:N10"/>
    <mergeCell ref="P9:P10"/>
    <mergeCell ref="E11:E12"/>
    <mergeCell ref="O11:O12"/>
    <mergeCell ref="P11:P12"/>
    <mergeCell ref="Q11:Q12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I11:I12"/>
    <mergeCell ref="J11:J12"/>
    <mergeCell ref="L11:L12"/>
    <mergeCell ref="M11:M12"/>
    <mergeCell ref="N11:N12"/>
    <mergeCell ref="E13:E14"/>
    <mergeCell ref="O13:O14"/>
    <mergeCell ref="N13:N14"/>
    <mergeCell ref="P13:P14"/>
    <mergeCell ref="Q13:Q14"/>
    <mergeCell ref="R13:R14"/>
    <mergeCell ref="S13:S14"/>
    <mergeCell ref="T13:T14"/>
    <mergeCell ref="G13:G14"/>
    <mergeCell ref="H13:H14"/>
    <mergeCell ref="I13:I14"/>
    <mergeCell ref="J13:J14"/>
    <mergeCell ref="L13:L14"/>
    <mergeCell ref="M13:M14"/>
    <mergeCell ref="P15:P16"/>
    <mergeCell ref="Q15:Q16"/>
    <mergeCell ref="R15:R16"/>
    <mergeCell ref="S15:S16"/>
    <mergeCell ref="T15:T16"/>
    <mergeCell ref="M15:M16"/>
    <mergeCell ref="N15:N16"/>
    <mergeCell ref="O15:O16"/>
    <mergeCell ref="A17:A18"/>
    <mergeCell ref="B17:B18"/>
    <mergeCell ref="C17:C18"/>
    <mergeCell ref="D17:D18"/>
    <mergeCell ref="F17:F18"/>
    <mergeCell ref="H15:H16"/>
    <mergeCell ref="I15:I16"/>
    <mergeCell ref="J15:J16"/>
    <mergeCell ref="L15:L16"/>
    <mergeCell ref="A15:A16"/>
    <mergeCell ref="B15:B16"/>
    <mergeCell ref="C15:C16"/>
    <mergeCell ref="D15:D16"/>
    <mergeCell ref="F15:F16"/>
    <mergeCell ref="G15:G16"/>
    <mergeCell ref="E15:E16"/>
    <mergeCell ref="E17:E18"/>
    <mergeCell ref="N17:N18"/>
    <mergeCell ref="P17:P18"/>
    <mergeCell ref="Q17:Q18"/>
    <mergeCell ref="R17:R18"/>
    <mergeCell ref="S17:S18"/>
    <mergeCell ref="T17:T18"/>
    <mergeCell ref="G17:G18"/>
    <mergeCell ref="H17:H18"/>
    <mergeCell ref="I17:I18"/>
    <mergeCell ref="J17:J18"/>
    <mergeCell ref="L17:L18"/>
    <mergeCell ref="M17:M18"/>
    <mergeCell ref="O17:O18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H19:H20"/>
    <mergeCell ref="I19:I20"/>
    <mergeCell ref="J19:J20"/>
    <mergeCell ref="L19:L20"/>
    <mergeCell ref="M19:M20"/>
    <mergeCell ref="N19:N20"/>
    <mergeCell ref="A19:A20"/>
    <mergeCell ref="B19:B20"/>
    <mergeCell ref="C19:C20"/>
    <mergeCell ref="D19:D20"/>
    <mergeCell ref="F19:F20"/>
    <mergeCell ref="G19:G20"/>
    <mergeCell ref="E19:E20"/>
    <mergeCell ref="E21:E22"/>
    <mergeCell ref="N21:N22"/>
    <mergeCell ref="P21:P22"/>
    <mergeCell ref="Q21:Q22"/>
    <mergeCell ref="R21:R22"/>
    <mergeCell ref="S21:S22"/>
    <mergeCell ref="T21:T22"/>
    <mergeCell ref="G21:G22"/>
    <mergeCell ref="H21:H22"/>
    <mergeCell ref="I21:I22"/>
    <mergeCell ref="J21:J22"/>
    <mergeCell ref="L21:L22"/>
    <mergeCell ref="M21:M22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H23:H24"/>
    <mergeCell ref="I23:I24"/>
    <mergeCell ref="J23:J24"/>
    <mergeCell ref="L23:L24"/>
    <mergeCell ref="M23:M24"/>
    <mergeCell ref="N23:N24"/>
    <mergeCell ref="A23:A24"/>
    <mergeCell ref="B23:B24"/>
    <mergeCell ref="C23:C24"/>
    <mergeCell ref="D23:D24"/>
    <mergeCell ref="F23:F24"/>
    <mergeCell ref="G23:G24"/>
    <mergeCell ref="E23:E24"/>
    <mergeCell ref="E25:E26"/>
    <mergeCell ref="N25:N26"/>
    <mergeCell ref="P25:P26"/>
    <mergeCell ref="Q25:Q26"/>
    <mergeCell ref="R25:R26"/>
    <mergeCell ref="S25:S26"/>
    <mergeCell ref="T25:T26"/>
    <mergeCell ref="G25:G26"/>
    <mergeCell ref="H25:H26"/>
    <mergeCell ref="I25:I26"/>
    <mergeCell ref="J25:J26"/>
    <mergeCell ref="L25:L26"/>
    <mergeCell ref="M25:M26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H27:H28"/>
    <mergeCell ref="I27:I28"/>
    <mergeCell ref="J27:J28"/>
    <mergeCell ref="L27:L28"/>
    <mergeCell ref="M27:M28"/>
    <mergeCell ref="N27:N28"/>
    <mergeCell ref="A27:A28"/>
    <mergeCell ref="B27:B28"/>
    <mergeCell ref="C27:C28"/>
    <mergeCell ref="D27:D28"/>
    <mergeCell ref="F27:F28"/>
    <mergeCell ref="G27:G28"/>
    <mergeCell ref="E27:E28"/>
    <mergeCell ref="E29:E30"/>
    <mergeCell ref="N29:N30"/>
    <mergeCell ref="P29:P30"/>
    <mergeCell ref="Q29:Q30"/>
    <mergeCell ref="R29:R30"/>
    <mergeCell ref="S29:S30"/>
    <mergeCell ref="T29:T30"/>
    <mergeCell ref="G29:G30"/>
    <mergeCell ref="H29:H30"/>
    <mergeCell ref="I29:I30"/>
    <mergeCell ref="J29:J30"/>
    <mergeCell ref="L29:L30"/>
    <mergeCell ref="M29:M30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H31:H32"/>
    <mergeCell ref="I31:I32"/>
    <mergeCell ref="J31:J32"/>
    <mergeCell ref="L31:L32"/>
    <mergeCell ref="M31:M32"/>
    <mergeCell ref="N31:N32"/>
    <mergeCell ref="A31:A32"/>
    <mergeCell ref="B31:B32"/>
    <mergeCell ref="C31:C32"/>
    <mergeCell ref="D31:D32"/>
    <mergeCell ref="F31:F32"/>
    <mergeCell ref="G31:G32"/>
    <mergeCell ref="E31:E32"/>
    <mergeCell ref="E33:E34"/>
    <mergeCell ref="N33:N34"/>
    <mergeCell ref="P33:P34"/>
    <mergeCell ref="Q33:Q34"/>
    <mergeCell ref="R33:R34"/>
    <mergeCell ref="S33:S34"/>
    <mergeCell ref="T33:T34"/>
    <mergeCell ref="G33:G34"/>
    <mergeCell ref="H33:H34"/>
    <mergeCell ref="I33:I34"/>
    <mergeCell ref="J33:J34"/>
    <mergeCell ref="L33:L34"/>
    <mergeCell ref="M33:M34"/>
    <mergeCell ref="O33:O34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H35:H36"/>
    <mergeCell ref="I35:I36"/>
    <mergeCell ref="J35:J36"/>
    <mergeCell ref="L35:L36"/>
    <mergeCell ref="M35:M36"/>
    <mergeCell ref="N35:N36"/>
    <mergeCell ref="A35:A36"/>
    <mergeCell ref="B35:B36"/>
    <mergeCell ref="C35:C36"/>
    <mergeCell ref="D35:D36"/>
    <mergeCell ref="F35:F36"/>
    <mergeCell ref="G35:G36"/>
    <mergeCell ref="E35:E36"/>
    <mergeCell ref="E37:E38"/>
    <mergeCell ref="N37:N38"/>
    <mergeCell ref="P37:P38"/>
    <mergeCell ref="Q37:Q38"/>
    <mergeCell ref="R37:R38"/>
    <mergeCell ref="S37:S38"/>
    <mergeCell ref="T37:T38"/>
    <mergeCell ref="G37:G38"/>
    <mergeCell ref="H37:H38"/>
    <mergeCell ref="I37:I38"/>
    <mergeCell ref="J37:J38"/>
    <mergeCell ref="L37:L38"/>
    <mergeCell ref="M37:M38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H39:H40"/>
    <mergeCell ref="I39:I40"/>
    <mergeCell ref="J39:J40"/>
    <mergeCell ref="L39:L40"/>
    <mergeCell ref="M39:M40"/>
    <mergeCell ref="N39:N40"/>
    <mergeCell ref="A39:A40"/>
    <mergeCell ref="B39:B40"/>
    <mergeCell ref="C39:C40"/>
    <mergeCell ref="D39:D40"/>
    <mergeCell ref="F39:F40"/>
    <mergeCell ref="G39:G40"/>
    <mergeCell ref="E39:E40"/>
    <mergeCell ref="E41:E42"/>
    <mergeCell ref="N41:N42"/>
    <mergeCell ref="P41:P42"/>
    <mergeCell ref="Q41:Q42"/>
    <mergeCell ref="R41:R42"/>
    <mergeCell ref="S41:S42"/>
    <mergeCell ref="T41:T42"/>
    <mergeCell ref="G41:G42"/>
    <mergeCell ref="H41:H42"/>
    <mergeCell ref="I41:I42"/>
    <mergeCell ref="J41:J42"/>
    <mergeCell ref="L41:L42"/>
    <mergeCell ref="M41:M42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H43:H44"/>
    <mergeCell ref="I43:I44"/>
    <mergeCell ref="J43:J44"/>
    <mergeCell ref="L43:L44"/>
    <mergeCell ref="M43:M44"/>
    <mergeCell ref="N43:N44"/>
    <mergeCell ref="A43:A44"/>
    <mergeCell ref="B43:B44"/>
    <mergeCell ref="C43:C44"/>
    <mergeCell ref="D43:D44"/>
    <mergeCell ref="F43:F44"/>
    <mergeCell ref="G43:G44"/>
    <mergeCell ref="E43:E44"/>
    <mergeCell ref="E45:E46"/>
    <mergeCell ref="N45:N46"/>
    <mergeCell ref="P45:P46"/>
    <mergeCell ref="Q45:Q46"/>
    <mergeCell ref="R45:R46"/>
    <mergeCell ref="S45:S46"/>
    <mergeCell ref="T45:T46"/>
    <mergeCell ref="G45:G46"/>
    <mergeCell ref="H45:H46"/>
    <mergeCell ref="I45:I46"/>
    <mergeCell ref="J45:J46"/>
    <mergeCell ref="L45:L46"/>
    <mergeCell ref="M45:M46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H47:H48"/>
    <mergeCell ref="I47:I48"/>
    <mergeCell ref="J47:J48"/>
    <mergeCell ref="L47:L48"/>
    <mergeCell ref="M47:M48"/>
    <mergeCell ref="N47:N48"/>
    <mergeCell ref="A47:A48"/>
    <mergeCell ref="B47:B48"/>
    <mergeCell ref="C47:C48"/>
    <mergeCell ref="D47:D48"/>
    <mergeCell ref="F47:F48"/>
    <mergeCell ref="G47:G48"/>
    <mergeCell ref="E47:E48"/>
    <mergeCell ref="E49:E50"/>
    <mergeCell ref="N49:N50"/>
    <mergeCell ref="P49:P50"/>
    <mergeCell ref="Q49:Q50"/>
    <mergeCell ref="R49:R50"/>
    <mergeCell ref="S49:S50"/>
    <mergeCell ref="T49:T50"/>
    <mergeCell ref="O49:O50"/>
    <mergeCell ref="G49:G50"/>
    <mergeCell ref="H49:H50"/>
    <mergeCell ref="I49:I50"/>
    <mergeCell ref="J49:J50"/>
    <mergeCell ref="L49:L50"/>
    <mergeCell ref="M49:M50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H51:H52"/>
    <mergeCell ref="I51:I52"/>
    <mergeCell ref="J51:J52"/>
    <mergeCell ref="L51:L52"/>
    <mergeCell ref="M51:M52"/>
    <mergeCell ref="N51:N52"/>
    <mergeCell ref="A51:A52"/>
    <mergeCell ref="B51:B52"/>
    <mergeCell ref="C51:C52"/>
    <mergeCell ref="D51:D52"/>
    <mergeCell ref="F51:F52"/>
    <mergeCell ref="G51:G52"/>
    <mergeCell ref="E51:E52"/>
    <mergeCell ref="E53:E54"/>
    <mergeCell ref="N53:N54"/>
    <mergeCell ref="P53:P54"/>
    <mergeCell ref="Q53:Q54"/>
    <mergeCell ref="R53:R54"/>
    <mergeCell ref="S53:S54"/>
    <mergeCell ref="T53:T54"/>
    <mergeCell ref="G53:G54"/>
    <mergeCell ref="H53:H54"/>
    <mergeCell ref="I53:I54"/>
    <mergeCell ref="J53:J54"/>
    <mergeCell ref="L53:L54"/>
    <mergeCell ref="M53:M54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H55:H56"/>
    <mergeCell ref="I55:I56"/>
    <mergeCell ref="J55:J56"/>
    <mergeCell ref="L55:L56"/>
    <mergeCell ref="M55:M56"/>
    <mergeCell ref="N55:N56"/>
    <mergeCell ref="A55:A56"/>
    <mergeCell ref="B55:B56"/>
    <mergeCell ref="C55:C56"/>
    <mergeCell ref="D55:D56"/>
    <mergeCell ref="F55:F56"/>
    <mergeCell ref="G55:G56"/>
    <mergeCell ref="E55:E56"/>
    <mergeCell ref="E57:E58"/>
    <mergeCell ref="R57:R58"/>
    <mergeCell ref="S57:S58"/>
    <mergeCell ref="T57:T58"/>
    <mergeCell ref="G57:G58"/>
    <mergeCell ref="H57:H58"/>
    <mergeCell ref="I57:I58"/>
    <mergeCell ref="J57:J58"/>
    <mergeCell ref="L57:L58"/>
    <mergeCell ref="M57:M58"/>
    <mergeCell ref="A59:A60"/>
    <mergeCell ref="B59:B60"/>
    <mergeCell ref="C59:C60"/>
    <mergeCell ref="D59:D60"/>
    <mergeCell ref="F59:F60"/>
    <mergeCell ref="G59:G60"/>
    <mergeCell ref="N57:N58"/>
    <mergeCell ref="P57:P58"/>
    <mergeCell ref="Q57:Q58"/>
    <mergeCell ref="E59:E60"/>
    <mergeCell ref="P59:P60"/>
    <mergeCell ref="Q59:Q60"/>
    <mergeCell ref="R59:R60"/>
    <mergeCell ref="S59:S60"/>
    <mergeCell ref="T59:T60"/>
    <mergeCell ref="H59:H60"/>
    <mergeCell ref="I59:I60"/>
    <mergeCell ref="J59:J60"/>
    <mergeCell ref="L59:L60"/>
    <mergeCell ref="M59:M60"/>
    <mergeCell ref="N59:N60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tabColor indexed="46"/>
  </sheetPr>
  <dimension ref="A1:T68"/>
  <sheetViews>
    <sheetView topLeftCell="E1" workbookViewId="0">
      <selection activeCell="T5" sqref="K3:T6"/>
    </sheetView>
  </sheetViews>
  <sheetFormatPr defaultColWidth="8.81640625" defaultRowHeight="12.5"/>
  <cols>
    <col min="1" max="1" width="1" style="131" customWidth="1"/>
    <col min="2" max="2" width="6" style="131" customWidth="1"/>
    <col min="3" max="3" width="22.1796875" style="131" customWidth="1"/>
    <col min="4" max="4" width="8.54296875" style="131" customWidth="1"/>
    <col min="5" max="5" width="6.1796875" style="131" customWidth="1"/>
    <col min="6" max="6" width="12.54296875" style="131" customWidth="1"/>
    <col min="7" max="7" width="30.54296875" style="131" customWidth="1"/>
    <col min="8" max="8" width="6" style="131" customWidth="1"/>
    <col min="9" max="9" width="4.453125" style="131" customWidth="1"/>
    <col min="10" max="10" width="5.453125" style="131" customWidth="1"/>
    <col min="11" max="11" width="1.1796875" style="131" customWidth="1"/>
    <col min="12" max="12" width="5.1796875" style="131" customWidth="1"/>
    <col min="13" max="13" width="22.1796875" style="131" customWidth="1"/>
    <col min="14" max="14" width="8.453125" style="207" customWidth="1"/>
    <col min="15" max="15" width="5.54296875" style="131" customWidth="1"/>
    <col min="16" max="16" width="11.1796875" style="131" customWidth="1"/>
    <col min="17" max="17" width="31.54296875" style="131" customWidth="1"/>
    <col min="18" max="18" width="6" style="131" customWidth="1"/>
    <col min="19" max="19" width="4.81640625" style="131" customWidth="1"/>
    <col min="20" max="20" width="5.54296875" style="131" customWidth="1"/>
    <col min="21" max="16384" width="8.81640625" style="131"/>
  </cols>
  <sheetData>
    <row r="1" spans="1:20" ht="23.25" customHeight="1">
      <c r="A1" s="216"/>
      <c r="B1" s="294" t="s">
        <v>141</v>
      </c>
      <c r="C1" s="294"/>
      <c r="D1" s="219">
        <f>кр6!D1</f>
        <v>1</v>
      </c>
      <c r="E1" s="218"/>
      <c r="F1" s="295" t="s">
        <v>142</v>
      </c>
      <c r="G1" s="295"/>
      <c r="H1" s="295"/>
      <c r="I1" s="295"/>
      <c r="J1" s="295"/>
      <c r="K1"/>
      <c r="L1" s="294" t="s">
        <v>141</v>
      </c>
      <c r="M1" s="294"/>
      <c r="N1" s="219">
        <f>кр6!N1</f>
        <v>1</v>
      </c>
      <c r="O1" s="218"/>
      <c r="P1" s="295" t="s">
        <v>142</v>
      </c>
      <c r="Q1" s="295"/>
      <c r="R1" s="295"/>
      <c r="S1" s="295"/>
      <c r="T1" s="295"/>
    </row>
    <row r="2" spans="1:20" ht="15" customHeight="1" thickBot="1">
      <c r="A2" s="216"/>
      <c r="B2" s="11"/>
      <c r="C2" s="11" t="s">
        <v>148</v>
      </c>
      <c r="D2" s="39" t="s">
        <v>0</v>
      </c>
      <c r="E2" s="39"/>
      <c r="F2" s="11"/>
      <c r="G2" s="217" t="str">
        <f>пр.взв!D4</f>
        <v>В.к. 52 кг.</v>
      </c>
      <c r="H2" s="11"/>
      <c r="I2" s="11"/>
      <c r="J2" s="11"/>
      <c r="K2"/>
      <c r="L2" s="1"/>
      <c r="M2" s="1" t="s">
        <v>148</v>
      </c>
      <c r="N2" s="40" t="s">
        <v>32</v>
      </c>
      <c r="O2" s="40"/>
      <c r="P2" s="1"/>
      <c r="Q2" s="217" t="str">
        <f>G2</f>
        <v>В.к. 52 кг.</v>
      </c>
      <c r="R2" s="1"/>
      <c r="S2" s="1"/>
      <c r="T2" s="1"/>
    </row>
    <row r="3" spans="1:20" ht="25.5" customHeight="1">
      <c r="A3" s="563"/>
      <c r="B3" s="570" t="s">
        <v>5</v>
      </c>
      <c r="C3" s="561" t="s">
        <v>2</v>
      </c>
      <c r="D3" s="559" t="s">
        <v>23</v>
      </c>
      <c r="E3" s="572" t="s">
        <v>24</v>
      </c>
      <c r="F3" s="573"/>
      <c r="G3" s="561" t="s">
        <v>25</v>
      </c>
      <c r="H3" s="559" t="s">
        <v>26</v>
      </c>
      <c r="I3" s="561" t="s">
        <v>27</v>
      </c>
      <c r="J3" s="566" t="s">
        <v>28</v>
      </c>
      <c r="L3" s="568" t="s">
        <v>5</v>
      </c>
      <c r="M3" s="551" t="s">
        <v>2</v>
      </c>
      <c r="N3" s="551" t="s">
        <v>23</v>
      </c>
      <c r="O3" s="555" t="s">
        <v>24</v>
      </c>
      <c r="P3" s="556"/>
      <c r="Q3" s="551" t="s">
        <v>25</v>
      </c>
      <c r="R3" s="549" t="s">
        <v>26</v>
      </c>
      <c r="S3" s="551" t="s">
        <v>27</v>
      </c>
      <c r="T3" s="553" t="s">
        <v>28</v>
      </c>
    </row>
    <row r="4" spans="1:20" ht="13" thickBot="1">
      <c r="A4" s="563"/>
      <c r="B4" s="571"/>
      <c r="C4" s="562"/>
      <c r="D4" s="560"/>
      <c r="E4" s="574"/>
      <c r="F4" s="575"/>
      <c r="G4" s="562"/>
      <c r="H4" s="560"/>
      <c r="I4" s="562"/>
      <c r="J4" s="567"/>
      <c r="L4" s="569"/>
      <c r="M4" s="552"/>
      <c r="N4" s="552"/>
      <c r="O4" s="557"/>
      <c r="P4" s="558"/>
      <c r="Q4" s="552"/>
      <c r="R4" s="550"/>
      <c r="S4" s="552"/>
      <c r="T4" s="554"/>
    </row>
    <row r="5" spans="1:20">
      <c r="A5" s="563"/>
      <c r="B5" s="564">
        <f ca="1">пр.хода!BQ15</f>
        <v>1</v>
      </c>
      <c r="C5" s="298" t="s">
        <v>140</v>
      </c>
      <c r="D5" s="300" t="s">
        <v>140</v>
      </c>
      <c r="E5" s="300" t="s">
        <v>140</v>
      </c>
      <c r="F5" s="302" t="s">
        <v>140</v>
      </c>
      <c r="G5" s="543"/>
      <c r="H5" s="543"/>
      <c r="I5" s="545"/>
      <c r="J5" s="541"/>
      <c r="L5" s="547">
        <f ca="1">пр.хода!BS15</f>
        <v>3</v>
      </c>
      <c r="M5" s="298" t="s">
        <v>140</v>
      </c>
      <c r="N5" s="300" t="s">
        <v>140</v>
      </c>
      <c r="O5" s="300" t="s">
        <v>140</v>
      </c>
      <c r="P5" s="302" t="s">
        <v>140</v>
      </c>
      <c r="Q5" s="543"/>
      <c r="R5" s="543"/>
      <c r="S5" s="545"/>
      <c r="T5" s="541"/>
    </row>
    <row r="6" spans="1:20">
      <c r="A6" s="563"/>
      <c r="B6" s="565"/>
      <c r="C6" s="299"/>
      <c r="D6" s="301"/>
      <c r="E6" s="301"/>
      <c r="F6" s="303"/>
      <c r="G6" s="544"/>
      <c r="H6" s="544"/>
      <c r="I6" s="546"/>
      <c r="J6" s="542"/>
      <c r="L6" s="548"/>
      <c r="M6" s="299"/>
      <c r="N6" s="301"/>
      <c r="O6" s="301"/>
      <c r="P6" s="303"/>
      <c r="Q6" s="544"/>
      <c r="R6" s="544"/>
      <c r="S6" s="546"/>
      <c r="T6" s="542"/>
    </row>
    <row r="7" spans="1:20">
      <c r="A7" s="563"/>
      <c r="B7" s="565">
        <f ca="1">пр.хода!BR15</f>
        <v>2</v>
      </c>
      <c r="C7" s="313" t="s">
        <v>140</v>
      </c>
      <c r="D7" s="315" t="s">
        <v>140</v>
      </c>
      <c r="E7" s="315" t="s">
        <v>140</v>
      </c>
      <c r="F7" s="315" t="s">
        <v>140</v>
      </c>
      <c r="G7" s="544"/>
      <c r="H7" s="544"/>
      <c r="I7" s="546"/>
      <c r="J7" s="542"/>
      <c r="L7" s="548">
        <f ca="1">пр.хода!BT15</f>
        <v>4</v>
      </c>
      <c r="M7" s="313" t="s">
        <v>140</v>
      </c>
      <c r="N7" s="315" t="s">
        <v>140</v>
      </c>
      <c r="O7" s="315" t="s">
        <v>140</v>
      </c>
      <c r="P7" s="315" t="s">
        <v>140</v>
      </c>
      <c r="Q7" s="544"/>
      <c r="R7" s="544"/>
      <c r="S7" s="546"/>
      <c r="T7" s="542"/>
    </row>
    <row r="8" spans="1:20" ht="13" thickBot="1">
      <c r="A8" s="563"/>
      <c r="B8" s="580"/>
      <c r="C8" s="314"/>
      <c r="D8" s="316"/>
      <c r="E8" s="316"/>
      <c r="F8" s="316"/>
      <c r="G8" s="577"/>
      <c r="H8" s="577"/>
      <c r="I8" s="578"/>
      <c r="J8" s="576"/>
      <c r="L8" s="579"/>
      <c r="M8" s="314"/>
      <c r="N8" s="316"/>
      <c r="O8" s="316"/>
      <c r="P8" s="316"/>
      <c r="Q8" s="577"/>
      <c r="R8" s="577"/>
      <c r="S8" s="578"/>
      <c r="T8" s="576"/>
    </row>
    <row r="9" spans="1:20" ht="12.65" customHeight="1">
      <c r="A9" s="563"/>
      <c r="B9" s="564">
        <f ca="1">пр.хода!BQ16</f>
        <v>0</v>
      </c>
      <c r="C9" s="321" t="s">
        <v>140</v>
      </c>
      <c r="D9" s="302" t="s">
        <v>140</v>
      </c>
      <c r="E9" s="302" t="s">
        <v>140</v>
      </c>
      <c r="F9" s="302" t="s">
        <v>140</v>
      </c>
      <c r="G9" s="543"/>
      <c r="H9" s="543"/>
      <c r="I9" s="545"/>
      <c r="J9" s="541"/>
      <c r="L9" s="547" t="str">
        <f ca="1">пр.хода!BS16</f>
        <v xml:space="preserve"> </v>
      </c>
      <c r="M9" s="321" t="s">
        <v>140</v>
      </c>
      <c r="N9" s="302" t="s">
        <v>140</v>
      </c>
      <c r="O9" s="302" t="s">
        <v>140</v>
      </c>
      <c r="P9" s="302" t="s">
        <v>140</v>
      </c>
      <c r="Q9" s="543"/>
      <c r="R9" s="543"/>
      <c r="S9" s="545"/>
      <c r="T9" s="541"/>
    </row>
    <row r="10" spans="1:20" ht="12.65" customHeight="1">
      <c r="A10" s="563"/>
      <c r="B10" s="565"/>
      <c r="C10" s="322"/>
      <c r="D10" s="303"/>
      <c r="E10" s="303"/>
      <c r="F10" s="303"/>
      <c r="G10" s="544"/>
      <c r="H10" s="544"/>
      <c r="I10" s="546"/>
      <c r="J10" s="542"/>
      <c r="L10" s="548"/>
      <c r="M10" s="322"/>
      <c r="N10" s="303"/>
      <c r="O10" s="303"/>
      <c r="P10" s="303"/>
      <c r="Q10" s="544"/>
      <c r="R10" s="544"/>
      <c r="S10" s="546"/>
      <c r="T10" s="542"/>
    </row>
    <row r="11" spans="1:20" ht="12.65" customHeight="1">
      <c r="A11" s="563"/>
      <c r="B11" s="565">
        <f ca="1">пр.хода!BR16</f>
        <v>0</v>
      </c>
      <c r="C11" s="313" t="s">
        <v>140</v>
      </c>
      <c r="D11" s="315" t="s">
        <v>140</v>
      </c>
      <c r="E11" s="315" t="s">
        <v>140</v>
      </c>
      <c r="F11" s="315" t="s">
        <v>140</v>
      </c>
      <c r="G11" s="544"/>
      <c r="H11" s="544"/>
      <c r="I11" s="546"/>
      <c r="J11" s="542"/>
      <c r="L11" s="548" t="str">
        <f ca="1">пр.хода!BT16</f>
        <v xml:space="preserve"> </v>
      </c>
      <c r="M11" s="313" t="s">
        <v>140</v>
      </c>
      <c r="N11" s="315" t="s">
        <v>140</v>
      </c>
      <c r="O11" s="315" t="s">
        <v>140</v>
      </c>
      <c r="P11" s="315" t="s">
        <v>140</v>
      </c>
      <c r="Q11" s="544"/>
      <c r="R11" s="544"/>
      <c r="S11" s="546"/>
      <c r="T11" s="542"/>
    </row>
    <row r="12" spans="1:20" ht="13" customHeight="1" thickBot="1">
      <c r="A12" s="563"/>
      <c r="B12" s="580"/>
      <c r="C12" s="314"/>
      <c r="D12" s="316"/>
      <c r="E12" s="316"/>
      <c r="F12" s="316"/>
      <c r="G12" s="577"/>
      <c r="H12" s="577"/>
      <c r="I12" s="578"/>
      <c r="J12" s="576"/>
      <c r="L12" s="579"/>
      <c r="M12" s="314"/>
      <c r="N12" s="316"/>
      <c r="O12" s="316"/>
      <c r="P12" s="316"/>
      <c r="Q12" s="577"/>
      <c r="R12" s="577"/>
      <c r="S12" s="578"/>
      <c r="T12" s="576"/>
    </row>
    <row r="13" spans="1:20" ht="12.65" customHeight="1">
      <c r="A13" s="563"/>
      <c r="B13" s="564">
        <f ca="1">пр.хода!BQ17</f>
        <v>3</v>
      </c>
      <c r="C13" s="321" t="s">
        <v>140</v>
      </c>
      <c r="D13" s="302" t="s">
        <v>140</v>
      </c>
      <c r="E13" s="302" t="s">
        <v>140</v>
      </c>
      <c r="F13" s="302" t="s">
        <v>140</v>
      </c>
      <c r="G13" s="543"/>
      <c r="H13" s="543"/>
      <c r="I13" s="545"/>
      <c r="J13" s="541"/>
      <c r="L13" s="547" t="str">
        <f ca="1">пр.хода!BS17</f>
        <v xml:space="preserve"> </v>
      </c>
      <c r="M13" s="321" t="s">
        <v>140</v>
      </c>
      <c r="N13" s="302" t="s">
        <v>140</v>
      </c>
      <c r="O13" s="302" t="s">
        <v>140</v>
      </c>
      <c r="P13" s="302" t="s">
        <v>140</v>
      </c>
      <c r="Q13" s="543"/>
      <c r="R13" s="543"/>
      <c r="S13" s="545"/>
      <c r="T13" s="541"/>
    </row>
    <row r="14" spans="1:20" ht="12.65" customHeight="1">
      <c r="A14" s="563"/>
      <c r="B14" s="565"/>
      <c r="C14" s="322"/>
      <c r="D14" s="303"/>
      <c r="E14" s="303"/>
      <c r="F14" s="303"/>
      <c r="G14" s="544"/>
      <c r="H14" s="544"/>
      <c r="I14" s="546"/>
      <c r="J14" s="542"/>
      <c r="L14" s="548"/>
      <c r="M14" s="322"/>
      <c r="N14" s="303"/>
      <c r="O14" s="303"/>
      <c r="P14" s="303"/>
      <c r="Q14" s="544"/>
      <c r="R14" s="544"/>
      <c r="S14" s="546"/>
      <c r="T14" s="542"/>
    </row>
    <row r="15" spans="1:20" ht="12.65" customHeight="1">
      <c r="A15" s="563"/>
      <c r="B15" s="565">
        <f ca="1">пр.хода!BR17</f>
        <v>4</v>
      </c>
      <c r="C15" s="313" t="s">
        <v>140</v>
      </c>
      <c r="D15" s="315" t="s">
        <v>140</v>
      </c>
      <c r="E15" s="315" t="s">
        <v>140</v>
      </c>
      <c r="F15" s="315" t="s">
        <v>140</v>
      </c>
      <c r="G15" s="544"/>
      <c r="H15" s="544"/>
      <c r="I15" s="546"/>
      <c r="J15" s="542"/>
      <c r="L15" s="548" t="str">
        <f ca="1">пр.хода!BT17</f>
        <v xml:space="preserve"> </v>
      </c>
      <c r="M15" s="313" t="s">
        <v>140</v>
      </c>
      <c r="N15" s="315" t="s">
        <v>140</v>
      </c>
      <c r="O15" s="315" t="s">
        <v>140</v>
      </c>
      <c r="P15" s="315" t="s">
        <v>140</v>
      </c>
      <c r="Q15" s="544"/>
      <c r="R15" s="544"/>
      <c r="S15" s="546"/>
      <c r="T15" s="542"/>
    </row>
    <row r="16" spans="1:20" ht="13" customHeight="1" thickBot="1">
      <c r="A16" s="563"/>
      <c r="B16" s="580"/>
      <c r="C16" s="314"/>
      <c r="D16" s="316"/>
      <c r="E16" s="316"/>
      <c r="F16" s="316"/>
      <c r="G16" s="577"/>
      <c r="H16" s="577"/>
      <c r="I16" s="578"/>
      <c r="J16" s="576"/>
      <c r="L16" s="579"/>
      <c r="M16" s="314"/>
      <c r="N16" s="316"/>
      <c r="O16" s="316"/>
      <c r="P16" s="316"/>
      <c r="Q16" s="577"/>
      <c r="R16" s="577"/>
      <c r="S16" s="578"/>
      <c r="T16" s="576"/>
    </row>
    <row r="17" spans="1:20" ht="12.65" customHeight="1">
      <c r="A17" s="563"/>
      <c r="B17" s="564" t="str">
        <f ca="1">пр.хода!BQ18</f>
        <v xml:space="preserve"> </v>
      </c>
      <c r="C17" s="321" t="s">
        <v>140</v>
      </c>
      <c r="D17" s="302" t="s">
        <v>140</v>
      </c>
      <c r="E17" s="302" t="s">
        <v>140</v>
      </c>
      <c r="F17" s="302" t="s">
        <v>140</v>
      </c>
      <c r="G17" s="543"/>
      <c r="H17" s="543"/>
      <c r="I17" s="545"/>
      <c r="J17" s="541"/>
      <c r="L17" s="547">
        <f>пр.хода!BS18</f>
        <v>0</v>
      </c>
      <c r="M17" s="321">
        <v>0</v>
      </c>
      <c r="N17" s="302">
        <v>0</v>
      </c>
      <c r="O17" s="302">
        <v>0</v>
      </c>
      <c r="P17" s="302">
        <v>0</v>
      </c>
      <c r="Q17" s="543"/>
      <c r="R17" s="543"/>
      <c r="S17" s="545"/>
      <c r="T17" s="541"/>
    </row>
    <row r="18" spans="1:20" ht="12.65" customHeight="1">
      <c r="A18" s="563"/>
      <c r="B18" s="565"/>
      <c r="C18" s="322"/>
      <c r="D18" s="303"/>
      <c r="E18" s="303"/>
      <c r="F18" s="303"/>
      <c r="G18" s="544"/>
      <c r="H18" s="544"/>
      <c r="I18" s="546"/>
      <c r="J18" s="542"/>
      <c r="L18" s="548"/>
      <c r="M18" s="322"/>
      <c r="N18" s="303"/>
      <c r="O18" s="303"/>
      <c r="P18" s="303"/>
      <c r="Q18" s="544"/>
      <c r="R18" s="544"/>
      <c r="S18" s="546"/>
      <c r="T18" s="542"/>
    </row>
    <row r="19" spans="1:20" ht="12.65" customHeight="1">
      <c r="A19" s="563"/>
      <c r="B19" s="565" t="str">
        <f ca="1">пр.хода!BR18</f>
        <v xml:space="preserve"> </v>
      </c>
      <c r="C19" s="313" t="s">
        <v>140</v>
      </c>
      <c r="D19" s="315" t="s">
        <v>140</v>
      </c>
      <c r="E19" s="315" t="s">
        <v>140</v>
      </c>
      <c r="F19" s="315" t="s">
        <v>140</v>
      </c>
      <c r="G19" s="544"/>
      <c r="H19" s="544"/>
      <c r="I19" s="546"/>
      <c r="J19" s="542"/>
      <c r="L19" s="548">
        <f>пр.хода!BT18</f>
        <v>0</v>
      </c>
      <c r="M19" s="313">
        <v>0</v>
      </c>
      <c r="N19" s="315">
        <v>0</v>
      </c>
      <c r="O19" s="315">
        <v>0</v>
      </c>
      <c r="P19" s="315">
        <v>0</v>
      </c>
      <c r="Q19" s="544"/>
      <c r="R19" s="544"/>
      <c r="S19" s="546"/>
      <c r="T19" s="542"/>
    </row>
    <row r="20" spans="1:20" ht="13" customHeight="1" thickBot="1">
      <c r="A20" s="563"/>
      <c r="B20" s="580"/>
      <c r="C20" s="314"/>
      <c r="D20" s="316"/>
      <c r="E20" s="316"/>
      <c r="F20" s="316"/>
      <c r="G20" s="577"/>
      <c r="H20" s="577"/>
      <c r="I20" s="578"/>
      <c r="J20" s="576"/>
      <c r="L20" s="579"/>
      <c r="M20" s="314"/>
      <c r="N20" s="316"/>
      <c r="O20" s="316"/>
      <c r="P20" s="316"/>
      <c r="Q20" s="577"/>
      <c r="R20" s="577"/>
      <c r="S20" s="578"/>
      <c r="T20" s="576"/>
    </row>
    <row r="21" spans="1:20">
      <c r="A21" s="563"/>
      <c r="B21" s="564"/>
      <c r="C21" s="321">
        <v>0</v>
      </c>
      <c r="D21" s="302">
        <v>0</v>
      </c>
      <c r="E21" s="302">
        <v>0</v>
      </c>
      <c r="F21" s="302">
        <v>0</v>
      </c>
      <c r="G21" s="581"/>
      <c r="H21" s="543"/>
      <c r="I21" s="545"/>
      <c r="J21" s="541"/>
      <c r="L21" s="547"/>
      <c r="M21" s="321">
        <v>0</v>
      </c>
      <c r="N21" s="302">
        <v>0</v>
      </c>
      <c r="O21" s="302">
        <v>0</v>
      </c>
      <c r="P21" s="302">
        <v>0</v>
      </c>
      <c r="Q21" s="543"/>
      <c r="R21" s="543"/>
      <c r="S21" s="545"/>
      <c r="T21" s="541"/>
    </row>
    <row r="22" spans="1:20">
      <c r="A22" s="563"/>
      <c r="B22" s="565"/>
      <c r="C22" s="322"/>
      <c r="D22" s="303"/>
      <c r="E22" s="303"/>
      <c r="F22" s="303"/>
      <c r="G22" s="582"/>
      <c r="H22" s="544"/>
      <c r="I22" s="546"/>
      <c r="J22" s="542"/>
      <c r="L22" s="548"/>
      <c r="M22" s="322"/>
      <c r="N22" s="303"/>
      <c r="O22" s="303"/>
      <c r="P22" s="303"/>
      <c r="Q22" s="544"/>
      <c r="R22" s="544"/>
      <c r="S22" s="546"/>
      <c r="T22" s="542"/>
    </row>
    <row r="23" spans="1:20">
      <c r="A23" s="563"/>
      <c r="B23" s="565"/>
      <c r="C23" s="313">
        <v>0</v>
      </c>
      <c r="D23" s="315">
        <v>0</v>
      </c>
      <c r="E23" s="315">
        <v>0</v>
      </c>
      <c r="F23" s="315">
        <v>0</v>
      </c>
      <c r="G23" s="544"/>
      <c r="H23" s="544"/>
      <c r="I23" s="546"/>
      <c r="J23" s="542"/>
      <c r="L23" s="548"/>
      <c r="M23" s="313">
        <v>0</v>
      </c>
      <c r="N23" s="315">
        <v>0</v>
      </c>
      <c r="O23" s="315">
        <v>0</v>
      </c>
      <c r="P23" s="315">
        <v>0</v>
      </c>
      <c r="Q23" s="544"/>
      <c r="R23" s="544"/>
      <c r="S23" s="546"/>
      <c r="T23" s="542"/>
    </row>
    <row r="24" spans="1:20" ht="13" thickBot="1">
      <c r="A24" s="563"/>
      <c r="B24" s="580"/>
      <c r="C24" s="314"/>
      <c r="D24" s="316"/>
      <c r="E24" s="316"/>
      <c r="F24" s="316"/>
      <c r="G24" s="577"/>
      <c r="H24" s="577"/>
      <c r="I24" s="578"/>
      <c r="J24" s="576"/>
      <c r="L24" s="579"/>
      <c r="M24" s="314"/>
      <c r="N24" s="316"/>
      <c r="O24" s="316"/>
      <c r="P24" s="316"/>
      <c r="Q24" s="577"/>
      <c r="R24" s="577"/>
      <c r="S24" s="578"/>
      <c r="T24" s="576"/>
    </row>
    <row r="25" spans="1:20">
      <c r="A25" s="563"/>
      <c r="B25" s="564"/>
      <c r="C25" s="321">
        <v>0</v>
      </c>
      <c r="D25" s="302">
        <v>0</v>
      </c>
      <c r="E25" s="302">
        <v>0</v>
      </c>
      <c r="F25" s="302">
        <v>0</v>
      </c>
      <c r="G25" s="543"/>
      <c r="H25" s="543"/>
      <c r="I25" s="545"/>
      <c r="J25" s="541"/>
      <c r="L25" s="547"/>
      <c r="M25" s="321">
        <v>0</v>
      </c>
      <c r="N25" s="302">
        <v>0</v>
      </c>
      <c r="O25" s="302">
        <v>0</v>
      </c>
      <c r="P25" s="302">
        <v>0</v>
      </c>
      <c r="Q25" s="543"/>
      <c r="R25" s="543"/>
      <c r="S25" s="545"/>
      <c r="T25" s="541"/>
    </row>
    <row r="26" spans="1:20">
      <c r="A26" s="563"/>
      <c r="B26" s="565"/>
      <c r="C26" s="322"/>
      <c r="D26" s="303"/>
      <c r="E26" s="303"/>
      <c r="F26" s="303"/>
      <c r="G26" s="544"/>
      <c r="H26" s="544"/>
      <c r="I26" s="546"/>
      <c r="J26" s="542"/>
      <c r="L26" s="548"/>
      <c r="M26" s="322"/>
      <c r="N26" s="303"/>
      <c r="O26" s="303"/>
      <c r="P26" s="303"/>
      <c r="Q26" s="544"/>
      <c r="R26" s="544"/>
      <c r="S26" s="546"/>
      <c r="T26" s="542"/>
    </row>
    <row r="27" spans="1:20">
      <c r="A27" s="563"/>
      <c r="B27" s="565"/>
      <c r="C27" s="313">
        <v>0</v>
      </c>
      <c r="D27" s="315">
        <v>0</v>
      </c>
      <c r="E27" s="315">
        <v>0</v>
      </c>
      <c r="F27" s="315">
        <v>0</v>
      </c>
      <c r="G27" s="544"/>
      <c r="H27" s="544"/>
      <c r="I27" s="546"/>
      <c r="J27" s="542"/>
      <c r="L27" s="548"/>
      <c r="M27" s="313">
        <v>0</v>
      </c>
      <c r="N27" s="315">
        <v>0</v>
      </c>
      <c r="O27" s="315">
        <v>0</v>
      </c>
      <c r="P27" s="315">
        <v>0</v>
      </c>
      <c r="Q27" s="544"/>
      <c r="R27" s="544"/>
      <c r="S27" s="546"/>
      <c r="T27" s="542"/>
    </row>
    <row r="28" spans="1:20" ht="13" thickBot="1">
      <c r="A28" s="563"/>
      <c r="B28" s="580"/>
      <c r="C28" s="314"/>
      <c r="D28" s="316"/>
      <c r="E28" s="316"/>
      <c r="F28" s="316"/>
      <c r="G28" s="577"/>
      <c r="H28" s="577"/>
      <c r="I28" s="578"/>
      <c r="J28" s="576"/>
      <c r="L28" s="579"/>
      <c r="M28" s="314"/>
      <c r="N28" s="316"/>
      <c r="O28" s="316"/>
      <c r="P28" s="316"/>
      <c r="Q28" s="577"/>
      <c r="R28" s="577"/>
      <c r="S28" s="578"/>
      <c r="T28" s="576"/>
    </row>
    <row r="29" spans="1:20">
      <c r="A29" s="563"/>
      <c r="B29" s="564"/>
      <c r="C29" s="321">
        <v>0</v>
      </c>
      <c r="D29" s="302">
        <v>0</v>
      </c>
      <c r="E29" s="302">
        <v>0</v>
      </c>
      <c r="F29" s="302">
        <v>0</v>
      </c>
      <c r="G29" s="543"/>
      <c r="H29" s="543"/>
      <c r="I29" s="545"/>
      <c r="J29" s="541"/>
      <c r="L29" s="547"/>
      <c r="M29" s="321">
        <v>0</v>
      </c>
      <c r="N29" s="302">
        <v>0</v>
      </c>
      <c r="O29" s="302">
        <v>0</v>
      </c>
      <c r="P29" s="302">
        <v>0</v>
      </c>
      <c r="Q29" s="543"/>
      <c r="R29" s="543"/>
      <c r="S29" s="545"/>
      <c r="T29" s="541"/>
    </row>
    <row r="30" spans="1:20">
      <c r="A30" s="563"/>
      <c r="B30" s="565"/>
      <c r="C30" s="322"/>
      <c r="D30" s="303"/>
      <c r="E30" s="303"/>
      <c r="F30" s="303"/>
      <c r="G30" s="544"/>
      <c r="H30" s="544"/>
      <c r="I30" s="546"/>
      <c r="J30" s="542"/>
      <c r="L30" s="548"/>
      <c r="M30" s="322"/>
      <c r="N30" s="303"/>
      <c r="O30" s="303"/>
      <c r="P30" s="303"/>
      <c r="Q30" s="544"/>
      <c r="R30" s="544"/>
      <c r="S30" s="546"/>
      <c r="T30" s="542"/>
    </row>
    <row r="31" spans="1:20">
      <c r="A31" s="563"/>
      <c r="B31" s="565"/>
      <c r="C31" s="313">
        <v>0</v>
      </c>
      <c r="D31" s="315">
        <v>0</v>
      </c>
      <c r="E31" s="315">
        <v>0</v>
      </c>
      <c r="F31" s="315">
        <v>0</v>
      </c>
      <c r="G31" s="544"/>
      <c r="H31" s="544"/>
      <c r="I31" s="546"/>
      <c r="J31" s="542"/>
      <c r="L31" s="548"/>
      <c r="M31" s="313">
        <v>0</v>
      </c>
      <c r="N31" s="315">
        <v>0</v>
      </c>
      <c r="O31" s="315">
        <v>0</v>
      </c>
      <c r="P31" s="315">
        <v>0</v>
      </c>
      <c r="Q31" s="544"/>
      <c r="R31" s="544"/>
      <c r="S31" s="546"/>
      <c r="T31" s="542"/>
    </row>
    <row r="32" spans="1:20" ht="13" thickBot="1">
      <c r="A32" s="563"/>
      <c r="B32" s="580"/>
      <c r="C32" s="314"/>
      <c r="D32" s="316"/>
      <c r="E32" s="316"/>
      <c r="F32" s="316"/>
      <c r="G32" s="577"/>
      <c r="H32" s="577"/>
      <c r="I32" s="578"/>
      <c r="J32" s="576"/>
      <c r="L32" s="579"/>
      <c r="M32" s="314"/>
      <c r="N32" s="316"/>
      <c r="O32" s="316"/>
      <c r="P32" s="316"/>
      <c r="Q32" s="577"/>
      <c r="R32" s="577"/>
      <c r="S32" s="578"/>
      <c r="T32" s="576"/>
    </row>
    <row r="33" spans="1:20">
      <c r="A33" s="563"/>
      <c r="B33" s="564"/>
      <c r="C33" s="321">
        <v>0</v>
      </c>
      <c r="D33" s="302">
        <v>0</v>
      </c>
      <c r="E33" s="302">
        <v>0</v>
      </c>
      <c r="F33" s="302">
        <v>0</v>
      </c>
      <c r="G33" s="543"/>
      <c r="H33" s="543"/>
      <c r="I33" s="545"/>
      <c r="J33" s="541"/>
      <c r="L33" s="547"/>
      <c r="M33" s="321">
        <v>0</v>
      </c>
      <c r="N33" s="302">
        <v>0</v>
      </c>
      <c r="O33" s="302">
        <v>0</v>
      </c>
      <c r="P33" s="302">
        <v>0</v>
      </c>
      <c r="Q33" s="543"/>
      <c r="R33" s="543"/>
      <c r="S33" s="545"/>
      <c r="T33" s="541"/>
    </row>
    <row r="34" spans="1:20">
      <c r="A34" s="563"/>
      <c r="B34" s="565"/>
      <c r="C34" s="322"/>
      <c r="D34" s="303"/>
      <c r="E34" s="303"/>
      <c r="F34" s="303"/>
      <c r="G34" s="544"/>
      <c r="H34" s="544"/>
      <c r="I34" s="546"/>
      <c r="J34" s="542"/>
      <c r="L34" s="548"/>
      <c r="M34" s="322"/>
      <c r="N34" s="303"/>
      <c r="O34" s="303"/>
      <c r="P34" s="303"/>
      <c r="Q34" s="544"/>
      <c r="R34" s="544"/>
      <c r="S34" s="546"/>
      <c r="T34" s="542"/>
    </row>
    <row r="35" spans="1:20">
      <c r="A35" s="563"/>
      <c r="B35" s="565"/>
      <c r="C35" s="313">
        <v>0</v>
      </c>
      <c r="D35" s="315">
        <v>0</v>
      </c>
      <c r="E35" s="315">
        <v>0</v>
      </c>
      <c r="F35" s="315">
        <v>0</v>
      </c>
      <c r="G35" s="544"/>
      <c r="H35" s="544"/>
      <c r="I35" s="546"/>
      <c r="J35" s="542"/>
      <c r="L35" s="548"/>
      <c r="M35" s="313">
        <v>0</v>
      </c>
      <c r="N35" s="315">
        <v>0</v>
      </c>
      <c r="O35" s="315">
        <v>0</v>
      </c>
      <c r="P35" s="315">
        <v>0</v>
      </c>
      <c r="Q35" s="544"/>
      <c r="R35" s="544"/>
      <c r="S35" s="546"/>
      <c r="T35" s="542"/>
    </row>
    <row r="36" spans="1:20" ht="13" thickBot="1">
      <c r="A36" s="563"/>
      <c r="B36" s="580"/>
      <c r="C36" s="314"/>
      <c r="D36" s="316"/>
      <c r="E36" s="316"/>
      <c r="F36" s="316"/>
      <c r="G36" s="577"/>
      <c r="H36" s="577"/>
      <c r="I36" s="578"/>
      <c r="J36" s="576"/>
      <c r="L36" s="579"/>
      <c r="M36" s="314"/>
      <c r="N36" s="316"/>
      <c r="O36" s="316"/>
      <c r="P36" s="316"/>
      <c r="Q36" s="577"/>
      <c r="R36" s="577"/>
      <c r="S36" s="578"/>
      <c r="T36" s="576"/>
    </row>
    <row r="37" spans="1:20">
      <c r="A37" s="563"/>
      <c r="B37" s="564"/>
      <c r="C37" s="321">
        <v>0</v>
      </c>
      <c r="D37" s="302">
        <v>0</v>
      </c>
      <c r="E37" s="302">
        <v>0</v>
      </c>
      <c r="F37" s="302">
        <v>0</v>
      </c>
      <c r="G37" s="543"/>
      <c r="H37" s="543"/>
      <c r="I37" s="545"/>
      <c r="J37" s="541"/>
      <c r="L37" s="547"/>
      <c r="M37" s="321">
        <v>0</v>
      </c>
      <c r="N37" s="302">
        <v>0</v>
      </c>
      <c r="O37" s="302">
        <v>0</v>
      </c>
      <c r="P37" s="302">
        <v>0</v>
      </c>
      <c r="Q37" s="543"/>
      <c r="R37" s="543"/>
      <c r="S37" s="545"/>
      <c r="T37" s="541"/>
    </row>
    <row r="38" spans="1:20">
      <c r="A38" s="563"/>
      <c r="B38" s="565"/>
      <c r="C38" s="322"/>
      <c r="D38" s="303"/>
      <c r="E38" s="303"/>
      <c r="F38" s="303"/>
      <c r="G38" s="544"/>
      <c r="H38" s="544"/>
      <c r="I38" s="546"/>
      <c r="J38" s="542"/>
      <c r="L38" s="548"/>
      <c r="M38" s="322"/>
      <c r="N38" s="303"/>
      <c r="O38" s="303"/>
      <c r="P38" s="303"/>
      <c r="Q38" s="544"/>
      <c r="R38" s="544"/>
      <c r="S38" s="546"/>
      <c r="T38" s="542"/>
    </row>
    <row r="39" spans="1:20">
      <c r="A39" s="563"/>
      <c r="B39" s="565"/>
      <c r="C39" s="313">
        <v>0</v>
      </c>
      <c r="D39" s="315">
        <v>0</v>
      </c>
      <c r="E39" s="315">
        <v>0</v>
      </c>
      <c r="F39" s="315">
        <v>0</v>
      </c>
      <c r="G39" s="544"/>
      <c r="H39" s="544"/>
      <c r="I39" s="546"/>
      <c r="J39" s="542"/>
      <c r="L39" s="548"/>
      <c r="M39" s="313">
        <v>0</v>
      </c>
      <c r="N39" s="315">
        <v>0</v>
      </c>
      <c r="O39" s="315">
        <v>0</v>
      </c>
      <c r="P39" s="315">
        <v>0</v>
      </c>
      <c r="Q39" s="544"/>
      <c r="R39" s="544"/>
      <c r="S39" s="546"/>
      <c r="T39" s="542"/>
    </row>
    <row r="40" spans="1:20" ht="13" thickBot="1">
      <c r="A40" s="563"/>
      <c r="B40" s="580"/>
      <c r="C40" s="314"/>
      <c r="D40" s="316"/>
      <c r="E40" s="316"/>
      <c r="F40" s="316"/>
      <c r="G40" s="577"/>
      <c r="H40" s="577"/>
      <c r="I40" s="578"/>
      <c r="J40" s="576"/>
      <c r="L40" s="579"/>
      <c r="M40" s="314"/>
      <c r="N40" s="316"/>
      <c r="O40" s="316"/>
      <c r="P40" s="316"/>
      <c r="Q40" s="577"/>
      <c r="R40" s="577"/>
      <c r="S40" s="578"/>
      <c r="T40" s="576"/>
    </row>
    <row r="41" spans="1:20">
      <c r="A41" s="563"/>
      <c r="B41" s="564"/>
      <c r="C41" s="321">
        <v>0</v>
      </c>
      <c r="D41" s="302">
        <v>0</v>
      </c>
      <c r="E41" s="302">
        <v>0</v>
      </c>
      <c r="F41" s="302">
        <v>0</v>
      </c>
      <c r="G41" s="543"/>
      <c r="H41" s="543"/>
      <c r="I41" s="545"/>
      <c r="J41" s="541"/>
      <c r="L41" s="547"/>
      <c r="M41" s="321">
        <v>0</v>
      </c>
      <c r="N41" s="302">
        <v>0</v>
      </c>
      <c r="O41" s="302">
        <v>0</v>
      </c>
      <c r="P41" s="302">
        <v>0</v>
      </c>
      <c r="Q41" s="543"/>
      <c r="R41" s="543"/>
      <c r="S41" s="545"/>
      <c r="T41" s="541"/>
    </row>
    <row r="42" spans="1:20">
      <c r="A42" s="563"/>
      <c r="B42" s="565"/>
      <c r="C42" s="322"/>
      <c r="D42" s="303"/>
      <c r="E42" s="303"/>
      <c r="F42" s="303"/>
      <c r="G42" s="544"/>
      <c r="H42" s="544"/>
      <c r="I42" s="546"/>
      <c r="J42" s="542"/>
      <c r="L42" s="548"/>
      <c r="M42" s="322"/>
      <c r="N42" s="303"/>
      <c r="O42" s="303"/>
      <c r="P42" s="303"/>
      <c r="Q42" s="544"/>
      <c r="R42" s="544"/>
      <c r="S42" s="546"/>
      <c r="T42" s="542"/>
    </row>
    <row r="43" spans="1:20">
      <c r="A43" s="563"/>
      <c r="B43" s="565"/>
      <c r="C43" s="313">
        <v>0</v>
      </c>
      <c r="D43" s="315">
        <v>0</v>
      </c>
      <c r="E43" s="315">
        <v>0</v>
      </c>
      <c r="F43" s="315">
        <v>0</v>
      </c>
      <c r="G43" s="544"/>
      <c r="H43" s="544"/>
      <c r="I43" s="546"/>
      <c r="J43" s="542"/>
      <c r="L43" s="548"/>
      <c r="M43" s="313">
        <v>0</v>
      </c>
      <c r="N43" s="315">
        <v>0</v>
      </c>
      <c r="O43" s="315">
        <v>0</v>
      </c>
      <c r="P43" s="315">
        <v>0</v>
      </c>
      <c r="Q43" s="544"/>
      <c r="R43" s="544"/>
      <c r="S43" s="546"/>
      <c r="T43" s="542"/>
    </row>
    <row r="44" spans="1:20" ht="13" thickBot="1">
      <c r="A44" s="563"/>
      <c r="B44" s="580"/>
      <c r="C44" s="314"/>
      <c r="D44" s="316"/>
      <c r="E44" s="316"/>
      <c r="F44" s="316"/>
      <c r="G44" s="577"/>
      <c r="H44" s="577"/>
      <c r="I44" s="578"/>
      <c r="J44" s="576"/>
      <c r="L44" s="579"/>
      <c r="M44" s="314"/>
      <c r="N44" s="316"/>
      <c r="O44" s="316"/>
      <c r="P44" s="316"/>
      <c r="Q44" s="577"/>
      <c r="R44" s="577"/>
      <c r="S44" s="578"/>
      <c r="T44" s="576"/>
    </row>
    <row r="45" spans="1:20">
      <c r="A45" s="563"/>
      <c r="B45" s="564"/>
      <c r="C45" s="321">
        <v>0</v>
      </c>
      <c r="D45" s="302">
        <v>0</v>
      </c>
      <c r="E45" s="302">
        <v>0</v>
      </c>
      <c r="F45" s="302">
        <v>0</v>
      </c>
      <c r="G45" s="543"/>
      <c r="H45" s="543"/>
      <c r="I45" s="545"/>
      <c r="J45" s="541"/>
      <c r="L45" s="547"/>
      <c r="M45" s="321">
        <v>0</v>
      </c>
      <c r="N45" s="302">
        <v>0</v>
      </c>
      <c r="O45" s="302">
        <v>0</v>
      </c>
      <c r="P45" s="302">
        <v>0</v>
      </c>
      <c r="Q45" s="543"/>
      <c r="R45" s="543"/>
      <c r="S45" s="545"/>
      <c r="T45" s="541"/>
    </row>
    <row r="46" spans="1:20">
      <c r="A46" s="563"/>
      <c r="B46" s="565"/>
      <c r="C46" s="322"/>
      <c r="D46" s="303"/>
      <c r="E46" s="303"/>
      <c r="F46" s="303"/>
      <c r="G46" s="544"/>
      <c r="H46" s="544"/>
      <c r="I46" s="546"/>
      <c r="J46" s="542"/>
      <c r="L46" s="548"/>
      <c r="M46" s="322"/>
      <c r="N46" s="303"/>
      <c r="O46" s="303"/>
      <c r="P46" s="303"/>
      <c r="Q46" s="544"/>
      <c r="R46" s="544"/>
      <c r="S46" s="546"/>
      <c r="T46" s="542"/>
    </row>
    <row r="47" spans="1:20">
      <c r="A47" s="563"/>
      <c r="B47" s="565"/>
      <c r="C47" s="313">
        <v>0</v>
      </c>
      <c r="D47" s="315">
        <v>0</v>
      </c>
      <c r="E47" s="315">
        <v>0</v>
      </c>
      <c r="F47" s="315">
        <v>0</v>
      </c>
      <c r="G47" s="544"/>
      <c r="H47" s="544"/>
      <c r="I47" s="546"/>
      <c r="J47" s="542"/>
      <c r="L47" s="548"/>
      <c r="M47" s="313">
        <v>0</v>
      </c>
      <c r="N47" s="315">
        <v>0</v>
      </c>
      <c r="O47" s="315">
        <v>0</v>
      </c>
      <c r="P47" s="315">
        <v>0</v>
      </c>
      <c r="Q47" s="544"/>
      <c r="R47" s="544"/>
      <c r="S47" s="546"/>
      <c r="T47" s="542"/>
    </row>
    <row r="48" spans="1:20" ht="13" thickBot="1">
      <c r="A48" s="563"/>
      <c r="B48" s="580"/>
      <c r="C48" s="314"/>
      <c r="D48" s="316"/>
      <c r="E48" s="316"/>
      <c r="F48" s="316"/>
      <c r="G48" s="577"/>
      <c r="H48" s="577"/>
      <c r="I48" s="578"/>
      <c r="J48" s="576"/>
      <c r="L48" s="579"/>
      <c r="M48" s="314"/>
      <c r="N48" s="316"/>
      <c r="O48" s="316"/>
      <c r="P48" s="316"/>
      <c r="Q48" s="577"/>
      <c r="R48" s="577"/>
      <c r="S48" s="578"/>
      <c r="T48" s="576"/>
    </row>
    <row r="49" spans="1:20">
      <c r="A49" s="563"/>
      <c r="B49" s="564"/>
      <c r="C49" s="321">
        <v>0</v>
      </c>
      <c r="D49" s="302">
        <v>0</v>
      </c>
      <c r="E49" s="302">
        <v>0</v>
      </c>
      <c r="F49" s="302">
        <v>0</v>
      </c>
      <c r="G49" s="543"/>
      <c r="H49" s="543"/>
      <c r="I49" s="545"/>
      <c r="J49" s="541"/>
      <c r="L49" s="547"/>
      <c r="M49" s="321">
        <v>0</v>
      </c>
      <c r="N49" s="302">
        <v>0</v>
      </c>
      <c r="O49" s="302">
        <v>0</v>
      </c>
      <c r="P49" s="302">
        <v>0</v>
      </c>
      <c r="Q49" s="543"/>
      <c r="R49" s="543"/>
      <c r="S49" s="545"/>
      <c r="T49" s="541"/>
    </row>
    <row r="50" spans="1:20">
      <c r="A50" s="563"/>
      <c r="B50" s="565"/>
      <c r="C50" s="322"/>
      <c r="D50" s="303"/>
      <c r="E50" s="303"/>
      <c r="F50" s="303"/>
      <c r="G50" s="544"/>
      <c r="H50" s="544"/>
      <c r="I50" s="546"/>
      <c r="J50" s="542"/>
      <c r="L50" s="548"/>
      <c r="M50" s="322"/>
      <c r="N50" s="303"/>
      <c r="O50" s="303"/>
      <c r="P50" s="303"/>
      <c r="Q50" s="544"/>
      <c r="R50" s="544"/>
      <c r="S50" s="546"/>
      <c r="T50" s="542"/>
    </row>
    <row r="51" spans="1:20">
      <c r="A51" s="563"/>
      <c r="B51" s="565"/>
      <c r="C51" s="313">
        <v>0</v>
      </c>
      <c r="D51" s="315">
        <v>0</v>
      </c>
      <c r="E51" s="315">
        <v>0</v>
      </c>
      <c r="F51" s="315">
        <v>0</v>
      </c>
      <c r="G51" s="544"/>
      <c r="H51" s="544"/>
      <c r="I51" s="546"/>
      <c r="J51" s="542"/>
      <c r="L51" s="548"/>
      <c r="M51" s="313">
        <v>0</v>
      </c>
      <c r="N51" s="315">
        <v>0</v>
      </c>
      <c r="O51" s="315">
        <v>0</v>
      </c>
      <c r="P51" s="315">
        <v>0</v>
      </c>
      <c r="Q51" s="544"/>
      <c r="R51" s="544"/>
      <c r="S51" s="546"/>
      <c r="T51" s="542"/>
    </row>
    <row r="52" spans="1:20" ht="13" thickBot="1">
      <c r="A52" s="563"/>
      <c r="B52" s="580"/>
      <c r="C52" s="314"/>
      <c r="D52" s="316"/>
      <c r="E52" s="316"/>
      <c r="F52" s="316"/>
      <c r="G52" s="577"/>
      <c r="H52" s="577"/>
      <c r="I52" s="578"/>
      <c r="J52" s="576"/>
      <c r="L52" s="579"/>
      <c r="M52" s="314"/>
      <c r="N52" s="316"/>
      <c r="O52" s="316"/>
      <c r="P52" s="316"/>
      <c r="Q52" s="577"/>
      <c r="R52" s="577"/>
      <c r="S52" s="578"/>
      <c r="T52" s="576"/>
    </row>
    <row r="53" spans="1:20">
      <c r="A53" s="563"/>
      <c r="B53" s="564"/>
      <c r="C53" s="321">
        <v>0</v>
      </c>
      <c r="D53" s="302">
        <v>0</v>
      </c>
      <c r="E53" s="302">
        <v>0</v>
      </c>
      <c r="F53" s="302">
        <v>0</v>
      </c>
      <c r="G53" s="543"/>
      <c r="H53" s="543"/>
      <c r="I53" s="545"/>
      <c r="J53" s="541"/>
      <c r="L53" s="547"/>
      <c r="M53" s="321">
        <v>0</v>
      </c>
      <c r="N53" s="302">
        <v>0</v>
      </c>
      <c r="O53" s="302">
        <v>0</v>
      </c>
      <c r="P53" s="302">
        <v>0</v>
      </c>
      <c r="Q53" s="543"/>
      <c r="R53" s="543"/>
      <c r="S53" s="545"/>
      <c r="T53" s="541"/>
    </row>
    <row r="54" spans="1:20">
      <c r="A54" s="563"/>
      <c r="B54" s="565"/>
      <c r="C54" s="322"/>
      <c r="D54" s="303"/>
      <c r="E54" s="303"/>
      <c r="F54" s="303"/>
      <c r="G54" s="544"/>
      <c r="H54" s="544"/>
      <c r="I54" s="546"/>
      <c r="J54" s="542"/>
      <c r="L54" s="548"/>
      <c r="M54" s="322"/>
      <c r="N54" s="303"/>
      <c r="O54" s="303"/>
      <c r="P54" s="303"/>
      <c r="Q54" s="544"/>
      <c r="R54" s="544"/>
      <c r="S54" s="546"/>
      <c r="T54" s="542"/>
    </row>
    <row r="55" spans="1:20">
      <c r="A55" s="563"/>
      <c r="B55" s="565"/>
      <c r="C55" s="313">
        <v>0</v>
      </c>
      <c r="D55" s="315">
        <v>0</v>
      </c>
      <c r="E55" s="315">
        <v>0</v>
      </c>
      <c r="F55" s="315">
        <v>0</v>
      </c>
      <c r="G55" s="544"/>
      <c r="H55" s="544"/>
      <c r="I55" s="546"/>
      <c r="J55" s="542"/>
      <c r="L55" s="548"/>
      <c r="M55" s="313">
        <v>0</v>
      </c>
      <c r="N55" s="315">
        <v>0</v>
      </c>
      <c r="O55" s="315">
        <v>0</v>
      </c>
      <c r="P55" s="315">
        <v>0</v>
      </c>
      <c r="Q55" s="544"/>
      <c r="R55" s="544"/>
      <c r="S55" s="546"/>
      <c r="T55" s="542"/>
    </row>
    <row r="56" spans="1:20" ht="13" thickBot="1">
      <c r="A56" s="563"/>
      <c r="B56" s="580"/>
      <c r="C56" s="314"/>
      <c r="D56" s="316"/>
      <c r="E56" s="316"/>
      <c r="F56" s="316"/>
      <c r="G56" s="577"/>
      <c r="H56" s="577"/>
      <c r="I56" s="578"/>
      <c r="J56" s="576"/>
      <c r="L56" s="579"/>
      <c r="M56" s="314"/>
      <c r="N56" s="316"/>
      <c r="O56" s="316"/>
      <c r="P56" s="316"/>
      <c r="Q56" s="577"/>
      <c r="R56" s="577"/>
      <c r="S56" s="578"/>
      <c r="T56" s="576"/>
    </row>
    <row r="57" spans="1:20">
      <c r="A57" s="563"/>
      <c r="B57" s="564"/>
      <c r="C57" s="321">
        <v>0</v>
      </c>
      <c r="D57" s="302">
        <v>0</v>
      </c>
      <c r="E57" s="302">
        <v>0</v>
      </c>
      <c r="F57" s="302">
        <v>0</v>
      </c>
      <c r="G57" s="583"/>
      <c r="H57" s="543"/>
      <c r="I57" s="545"/>
      <c r="J57" s="541"/>
      <c r="L57" s="547"/>
      <c r="M57" s="321">
        <v>0</v>
      </c>
      <c r="N57" s="302">
        <v>0</v>
      </c>
      <c r="O57" s="302">
        <v>0</v>
      </c>
      <c r="P57" s="302">
        <v>0</v>
      </c>
      <c r="Q57" s="583"/>
      <c r="R57" s="543"/>
      <c r="S57" s="545"/>
      <c r="T57" s="541"/>
    </row>
    <row r="58" spans="1:20">
      <c r="A58" s="563"/>
      <c r="B58" s="565"/>
      <c r="C58" s="322"/>
      <c r="D58" s="303"/>
      <c r="E58" s="303"/>
      <c r="F58" s="303"/>
      <c r="G58" s="584"/>
      <c r="H58" s="544"/>
      <c r="I58" s="546"/>
      <c r="J58" s="542"/>
      <c r="L58" s="548"/>
      <c r="M58" s="322"/>
      <c r="N58" s="303"/>
      <c r="O58" s="303"/>
      <c r="P58" s="303"/>
      <c r="Q58" s="584"/>
      <c r="R58" s="544"/>
      <c r="S58" s="546"/>
      <c r="T58" s="542"/>
    </row>
    <row r="59" spans="1:20">
      <c r="A59" s="563"/>
      <c r="B59" s="565"/>
      <c r="C59" s="313">
        <v>0</v>
      </c>
      <c r="D59" s="315">
        <v>0</v>
      </c>
      <c r="E59" s="315">
        <v>0</v>
      </c>
      <c r="F59" s="315">
        <v>0</v>
      </c>
      <c r="G59" s="584"/>
      <c r="H59" s="544"/>
      <c r="I59" s="546"/>
      <c r="J59" s="542"/>
      <c r="L59" s="548"/>
      <c r="M59" s="313">
        <v>0</v>
      </c>
      <c r="N59" s="315">
        <v>0</v>
      </c>
      <c r="O59" s="315">
        <v>0</v>
      </c>
      <c r="P59" s="315">
        <v>0</v>
      </c>
      <c r="Q59" s="584"/>
      <c r="R59" s="544"/>
      <c r="S59" s="546"/>
      <c r="T59" s="542"/>
    </row>
    <row r="60" spans="1:20" ht="13" thickBot="1">
      <c r="A60" s="563"/>
      <c r="B60" s="580"/>
      <c r="C60" s="314"/>
      <c r="D60" s="316"/>
      <c r="E60" s="316"/>
      <c r="F60" s="316"/>
      <c r="G60" s="585"/>
      <c r="H60" s="577"/>
      <c r="I60" s="578"/>
      <c r="J60" s="576"/>
      <c r="L60" s="579"/>
      <c r="M60" s="314"/>
      <c r="N60" s="316"/>
      <c r="O60" s="316"/>
      <c r="P60" s="316"/>
      <c r="Q60" s="585"/>
      <c r="R60" s="577"/>
      <c r="S60" s="578"/>
      <c r="T60" s="576"/>
    </row>
    <row r="61" spans="1:20" ht="12.75" customHeight="1">
      <c r="A61" s="216"/>
      <c r="B61" s="564"/>
      <c r="C61" s="321">
        <v>0</v>
      </c>
      <c r="D61" s="302">
        <v>0</v>
      </c>
      <c r="E61" s="302">
        <v>0</v>
      </c>
      <c r="F61" s="302">
        <v>0</v>
      </c>
      <c r="G61" s="543"/>
      <c r="H61" s="543"/>
      <c r="I61" s="545"/>
      <c r="J61" s="541"/>
      <c r="L61" s="564"/>
      <c r="M61" s="321">
        <v>0</v>
      </c>
      <c r="N61" s="302">
        <v>0</v>
      </c>
      <c r="O61" s="302">
        <v>0</v>
      </c>
      <c r="P61" s="302">
        <v>0</v>
      </c>
      <c r="Q61" s="543"/>
      <c r="R61" s="543"/>
      <c r="S61" s="545"/>
      <c r="T61" s="541"/>
    </row>
    <row r="62" spans="1:20">
      <c r="B62" s="565"/>
      <c r="C62" s="322"/>
      <c r="D62" s="303"/>
      <c r="E62" s="303"/>
      <c r="F62" s="303"/>
      <c r="G62" s="544"/>
      <c r="H62" s="544"/>
      <c r="I62" s="546"/>
      <c r="J62" s="542"/>
      <c r="L62" s="565"/>
      <c r="M62" s="322"/>
      <c r="N62" s="303"/>
      <c r="O62" s="303"/>
      <c r="P62" s="303"/>
      <c r="Q62" s="544"/>
      <c r="R62" s="544"/>
      <c r="S62" s="546"/>
      <c r="T62" s="542"/>
    </row>
    <row r="63" spans="1:20">
      <c r="B63" s="565"/>
      <c r="C63" s="313">
        <v>0</v>
      </c>
      <c r="D63" s="315">
        <v>0</v>
      </c>
      <c r="E63" s="315">
        <v>0</v>
      </c>
      <c r="F63" s="315">
        <v>0</v>
      </c>
      <c r="G63" s="544"/>
      <c r="H63" s="544"/>
      <c r="I63" s="546"/>
      <c r="J63" s="542"/>
      <c r="L63" s="565"/>
      <c r="M63" s="313">
        <v>0</v>
      </c>
      <c r="N63" s="315">
        <v>0</v>
      </c>
      <c r="O63" s="315">
        <v>0</v>
      </c>
      <c r="P63" s="315">
        <v>0</v>
      </c>
      <c r="Q63" s="544"/>
      <c r="R63" s="544"/>
      <c r="S63" s="546"/>
      <c r="T63" s="542"/>
    </row>
    <row r="64" spans="1:20" ht="13" thickBot="1">
      <c r="B64" s="580"/>
      <c r="C64" s="314"/>
      <c r="D64" s="316"/>
      <c r="E64" s="316"/>
      <c r="F64" s="316"/>
      <c r="G64" s="577"/>
      <c r="H64" s="577"/>
      <c r="I64" s="578"/>
      <c r="J64" s="576"/>
      <c r="L64" s="580"/>
      <c r="M64" s="314"/>
      <c r="N64" s="316"/>
      <c r="O64" s="316"/>
      <c r="P64" s="316"/>
      <c r="Q64" s="577"/>
      <c r="R64" s="577"/>
      <c r="S64" s="578"/>
      <c r="T64" s="576"/>
    </row>
    <row r="65" spans="2:20">
      <c r="B65" s="564"/>
      <c r="C65" s="321">
        <v>0</v>
      </c>
      <c r="D65" s="302">
        <v>0</v>
      </c>
      <c r="E65" s="302">
        <v>0</v>
      </c>
      <c r="F65" s="302">
        <v>0</v>
      </c>
      <c r="G65" s="583"/>
      <c r="H65" s="543"/>
      <c r="I65" s="545"/>
      <c r="J65" s="541"/>
      <c r="L65" s="564"/>
      <c r="M65" s="321">
        <v>0</v>
      </c>
      <c r="N65" s="302">
        <v>0</v>
      </c>
      <c r="O65" s="302">
        <v>0</v>
      </c>
      <c r="P65" s="302">
        <v>0</v>
      </c>
      <c r="Q65" s="583"/>
      <c r="R65" s="543"/>
      <c r="S65" s="545"/>
      <c r="T65" s="541"/>
    </row>
    <row r="66" spans="2:20">
      <c r="B66" s="565"/>
      <c r="C66" s="322"/>
      <c r="D66" s="303"/>
      <c r="E66" s="303"/>
      <c r="F66" s="303"/>
      <c r="G66" s="584"/>
      <c r="H66" s="544"/>
      <c r="I66" s="546"/>
      <c r="J66" s="542"/>
      <c r="L66" s="565"/>
      <c r="M66" s="322"/>
      <c r="N66" s="303"/>
      <c r="O66" s="303"/>
      <c r="P66" s="303"/>
      <c r="Q66" s="584"/>
      <c r="R66" s="544"/>
      <c r="S66" s="546"/>
      <c r="T66" s="542"/>
    </row>
    <row r="67" spans="2:20">
      <c r="B67" s="565"/>
      <c r="C67" s="313">
        <v>0</v>
      </c>
      <c r="D67" s="315">
        <v>0</v>
      </c>
      <c r="E67" s="315">
        <v>0</v>
      </c>
      <c r="F67" s="315">
        <v>0</v>
      </c>
      <c r="G67" s="584"/>
      <c r="H67" s="544"/>
      <c r="I67" s="546"/>
      <c r="J67" s="542"/>
      <c r="L67" s="565"/>
      <c r="M67" s="313">
        <v>0</v>
      </c>
      <c r="N67" s="315">
        <v>0</v>
      </c>
      <c r="O67" s="315">
        <v>0</v>
      </c>
      <c r="P67" s="315">
        <v>0</v>
      </c>
      <c r="Q67" s="584"/>
      <c r="R67" s="544"/>
      <c r="S67" s="546"/>
      <c r="T67" s="542"/>
    </row>
    <row r="68" spans="2:20" ht="13" thickBot="1">
      <c r="B68" s="580"/>
      <c r="C68" s="314"/>
      <c r="D68" s="316"/>
      <c r="E68" s="316"/>
      <c r="F68" s="316"/>
      <c r="G68" s="585"/>
      <c r="H68" s="577"/>
      <c r="I68" s="578"/>
      <c r="J68" s="576"/>
      <c r="L68" s="580"/>
      <c r="M68" s="314"/>
      <c r="N68" s="316"/>
      <c r="O68" s="316"/>
      <c r="P68" s="316"/>
      <c r="Q68" s="585"/>
      <c r="R68" s="577"/>
      <c r="S68" s="578"/>
      <c r="T68" s="576"/>
    </row>
  </sheetData>
  <mergeCells count="625">
    <mergeCell ref="P1:T1"/>
    <mergeCell ref="T67:T68"/>
    <mergeCell ref="L67:L68"/>
    <mergeCell ref="M67:M68"/>
    <mergeCell ref="N67:N68"/>
    <mergeCell ref="O67:O68"/>
    <mergeCell ref="P67:P68"/>
    <mergeCell ref="Q67:Q68"/>
    <mergeCell ref="T65:T66"/>
    <mergeCell ref="N65:N66"/>
    <mergeCell ref="O65:O66"/>
    <mergeCell ref="P65:P66"/>
    <mergeCell ref="Q65:Q66"/>
    <mergeCell ref="R65:R66"/>
    <mergeCell ref="S65:S66"/>
    <mergeCell ref="T61:T62"/>
    <mergeCell ref="N61:N62"/>
    <mergeCell ref="O61:O62"/>
    <mergeCell ref="P61:P62"/>
    <mergeCell ref="Q61:Q62"/>
    <mergeCell ref="P63:P64"/>
    <mergeCell ref="Q63:Q64"/>
    <mergeCell ref="R63:R64"/>
    <mergeCell ref="S63:S64"/>
    <mergeCell ref="G65:G66"/>
    <mergeCell ref="H65:H66"/>
    <mergeCell ref="I65:I66"/>
    <mergeCell ref="J65:J66"/>
    <mergeCell ref="L65:L66"/>
    <mergeCell ref="M65:M66"/>
    <mergeCell ref="R67:R68"/>
    <mergeCell ref="S67:S68"/>
    <mergeCell ref="B65:B66"/>
    <mergeCell ref="C65:C66"/>
    <mergeCell ref="D65:D66"/>
    <mergeCell ref="E65:E66"/>
    <mergeCell ref="F65:F66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B63:B64"/>
    <mergeCell ref="C63:C64"/>
    <mergeCell ref="D63:D64"/>
    <mergeCell ref="E63:E64"/>
    <mergeCell ref="F63:F64"/>
    <mergeCell ref="G63:G64"/>
    <mergeCell ref="H63:H64"/>
    <mergeCell ref="L61:L62"/>
    <mergeCell ref="M61:M62"/>
    <mergeCell ref="B61:B62"/>
    <mergeCell ref="C61:C62"/>
    <mergeCell ref="D61:D62"/>
    <mergeCell ref="E61:E62"/>
    <mergeCell ref="F61:F62"/>
    <mergeCell ref="T63:T64"/>
    <mergeCell ref="N63:N64"/>
    <mergeCell ref="O63:O64"/>
    <mergeCell ref="I63:I64"/>
    <mergeCell ref="J63:J64"/>
    <mergeCell ref="L63:L64"/>
    <mergeCell ref="S59:S60"/>
    <mergeCell ref="G59:G60"/>
    <mergeCell ref="H59:H60"/>
    <mergeCell ref="I59:I60"/>
    <mergeCell ref="J59:J60"/>
    <mergeCell ref="L59:L60"/>
    <mergeCell ref="M59:M60"/>
    <mergeCell ref="R61:R62"/>
    <mergeCell ref="S61:S62"/>
    <mergeCell ref="M63:M64"/>
    <mergeCell ref="G61:G62"/>
    <mergeCell ref="H61:H62"/>
    <mergeCell ref="I61:I62"/>
    <mergeCell ref="J61:J62"/>
    <mergeCell ref="N57:N58"/>
    <mergeCell ref="O57:O58"/>
    <mergeCell ref="P57:P58"/>
    <mergeCell ref="T59:T60"/>
    <mergeCell ref="N59:N60"/>
    <mergeCell ref="O59:O60"/>
    <mergeCell ref="P59:P60"/>
    <mergeCell ref="Q59:Q60"/>
    <mergeCell ref="R59:R60"/>
    <mergeCell ref="Q57:Q58"/>
    <mergeCell ref="R57:R58"/>
    <mergeCell ref="S57:S58"/>
    <mergeCell ref="T57:T58"/>
    <mergeCell ref="A59:A60"/>
    <mergeCell ref="B59:B60"/>
    <mergeCell ref="C59:C60"/>
    <mergeCell ref="D59:D60"/>
    <mergeCell ref="E59:E60"/>
    <mergeCell ref="F59:F60"/>
    <mergeCell ref="J57:J58"/>
    <mergeCell ref="L57:L58"/>
    <mergeCell ref="M57:M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T55:T56"/>
    <mergeCell ref="N55:N56"/>
    <mergeCell ref="O55:O56"/>
    <mergeCell ref="P55:P56"/>
    <mergeCell ref="Q55:Q56"/>
    <mergeCell ref="R55:R56"/>
    <mergeCell ref="S55:S56"/>
    <mergeCell ref="G55:G56"/>
    <mergeCell ref="H55:H56"/>
    <mergeCell ref="I55:I56"/>
    <mergeCell ref="J55:J56"/>
    <mergeCell ref="L55:L56"/>
    <mergeCell ref="M55:M56"/>
    <mergeCell ref="A55:A56"/>
    <mergeCell ref="B55:B56"/>
    <mergeCell ref="C55:C56"/>
    <mergeCell ref="D55:D56"/>
    <mergeCell ref="E55:E56"/>
    <mergeCell ref="F55:F56"/>
    <mergeCell ref="J53:J54"/>
    <mergeCell ref="L53:L54"/>
    <mergeCell ref="M53:M54"/>
    <mergeCell ref="A53:A54"/>
    <mergeCell ref="B53:B54"/>
    <mergeCell ref="C53:C54"/>
    <mergeCell ref="D53:D54"/>
    <mergeCell ref="E53:E54"/>
    <mergeCell ref="F53:F54"/>
    <mergeCell ref="G53:G54"/>
    <mergeCell ref="H51:H52"/>
    <mergeCell ref="I51:I52"/>
    <mergeCell ref="J51:J52"/>
    <mergeCell ref="L51:L52"/>
    <mergeCell ref="M51:M52"/>
    <mergeCell ref="Q53:Q54"/>
    <mergeCell ref="R53:R54"/>
    <mergeCell ref="S53:S54"/>
    <mergeCell ref="T53:T54"/>
    <mergeCell ref="N53:N54"/>
    <mergeCell ref="O53:O54"/>
    <mergeCell ref="P53:P54"/>
    <mergeCell ref="H53:H54"/>
    <mergeCell ref="I53:I54"/>
    <mergeCell ref="Q49:Q50"/>
    <mergeCell ref="R49:R50"/>
    <mergeCell ref="S49:S50"/>
    <mergeCell ref="T49:T50"/>
    <mergeCell ref="A51:A52"/>
    <mergeCell ref="B51:B52"/>
    <mergeCell ref="C51:C52"/>
    <mergeCell ref="D51:D52"/>
    <mergeCell ref="E51:E52"/>
    <mergeCell ref="F51:F52"/>
    <mergeCell ref="J49:J50"/>
    <mergeCell ref="L49:L50"/>
    <mergeCell ref="M49:M50"/>
    <mergeCell ref="N49:N50"/>
    <mergeCell ref="O49:O50"/>
    <mergeCell ref="P49:P50"/>
    <mergeCell ref="T51:T52"/>
    <mergeCell ref="N51:N52"/>
    <mergeCell ref="O51:O52"/>
    <mergeCell ref="P51:P52"/>
    <mergeCell ref="Q51:Q52"/>
    <mergeCell ref="R51:R52"/>
    <mergeCell ref="S51:S52"/>
    <mergeCell ref="G51:G52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T47:T48"/>
    <mergeCell ref="N47:N48"/>
    <mergeCell ref="O47:O48"/>
    <mergeCell ref="P47:P48"/>
    <mergeCell ref="Q47:Q48"/>
    <mergeCell ref="R47:R48"/>
    <mergeCell ref="S47:S48"/>
    <mergeCell ref="G47:G48"/>
    <mergeCell ref="H47:H48"/>
    <mergeCell ref="I47:I48"/>
    <mergeCell ref="J47:J48"/>
    <mergeCell ref="L47:L48"/>
    <mergeCell ref="M47:M48"/>
    <mergeCell ref="A47:A48"/>
    <mergeCell ref="B47:B48"/>
    <mergeCell ref="C47:C48"/>
    <mergeCell ref="D47:D48"/>
    <mergeCell ref="E47:E48"/>
    <mergeCell ref="F47:F48"/>
    <mergeCell ref="J45:J46"/>
    <mergeCell ref="L45:L46"/>
    <mergeCell ref="M45:M46"/>
    <mergeCell ref="A45:A46"/>
    <mergeCell ref="B45:B46"/>
    <mergeCell ref="C45:C46"/>
    <mergeCell ref="D45:D46"/>
    <mergeCell ref="E45:E46"/>
    <mergeCell ref="F45:F46"/>
    <mergeCell ref="G45:G46"/>
    <mergeCell ref="H43:H44"/>
    <mergeCell ref="I43:I44"/>
    <mergeCell ref="J43:J44"/>
    <mergeCell ref="L43:L44"/>
    <mergeCell ref="M43:M44"/>
    <mergeCell ref="Q45:Q46"/>
    <mergeCell ref="R45:R46"/>
    <mergeCell ref="S45:S46"/>
    <mergeCell ref="T45:T46"/>
    <mergeCell ref="N45:N46"/>
    <mergeCell ref="O45:O46"/>
    <mergeCell ref="P45:P46"/>
    <mergeCell ref="H45:H46"/>
    <mergeCell ref="I45:I46"/>
    <mergeCell ref="Q41:Q42"/>
    <mergeCell ref="R41:R42"/>
    <mergeCell ref="S41:S42"/>
    <mergeCell ref="T41:T42"/>
    <mergeCell ref="A43:A44"/>
    <mergeCell ref="B43:B44"/>
    <mergeCell ref="C43:C44"/>
    <mergeCell ref="D43:D44"/>
    <mergeCell ref="E43:E44"/>
    <mergeCell ref="F43:F44"/>
    <mergeCell ref="J41:J42"/>
    <mergeCell ref="L41:L42"/>
    <mergeCell ref="M41:M42"/>
    <mergeCell ref="N41:N42"/>
    <mergeCell ref="O41:O42"/>
    <mergeCell ref="P41:P42"/>
    <mergeCell ref="T43:T44"/>
    <mergeCell ref="N43:N44"/>
    <mergeCell ref="O43:O44"/>
    <mergeCell ref="P43:P44"/>
    <mergeCell ref="Q43:Q44"/>
    <mergeCell ref="R43:R44"/>
    <mergeCell ref="S43:S44"/>
    <mergeCell ref="G43:G44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T39:T40"/>
    <mergeCell ref="N39:N40"/>
    <mergeCell ref="O39:O40"/>
    <mergeCell ref="P39:P40"/>
    <mergeCell ref="Q39:Q40"/>
    <mergeCell ref="R39:R40"/>
    <mergeCell ref="S39:S40"/>
    <mergeCell ref="G39:G40"/>
    <mergeCell ref="H39:H40"/>
    <mergeCell ref="I39:I40"/>
    <mergeCell ref="J39:J40"/>
    <mergeCell ref="L39:L40"/>
    <mergeCell ref="M39:M40"/>
    <mergeCell ref="A39:A40"/>
    <mergeCell ref="B39:B40"/>
    <mergeCell ref="C39:C40"/>
    <mergeCell ref="D39:D40"/>
    <mergeCell ref="E39:E40"/>
    <mergeCell ref="F39:F40"/>
    <mergeCell ref="J37:J38"/>
    <mergeCell ref="L37:L38"/>
    <mergeCell ref="M37:M38"/>
    <mergeCell ref="A37:A38"/>
    <mergeCell ref="B37:B38"/>
    <mergeCell ref="C37:C38"/>
    <mergeCell ref="D37:D38"/>
    <mergeCell ref="E37:E38"/>
    <mergeCell ref="F37:F38"/>
    <mergeCell ref="G37:G38"/>
    <mergeCell ref="H35:H36"/>
    <mergeCell ref="I35:I36"/>
    <mergeCell ref="J35:J36"/>
    <mergeCell ref="L35:L36"/>
    <mergeCell ref="M35:M36"/>
    <mergeCell ref="Q37:Q38"/>
    <mergeCell ref="R37:R38"/>
    <mergeCell ref="S37:S38"/>
    <mergeCell ref="T37:T38"/>
    <mergeCell ref="N37:N38"/>
    <mergeCell ref="O37:O38"/>
    <mergeCell ref="P37:P38"/>
    <mergeCell ref="H37:H38"/>
    <mergeCell ref="I37:I38"/>
    <mergeCell ref="Q33:Q34"/>
    <mergeCell ref="R33:R34"/>
    <mergeCell ref="S33:S34"/>
    <mergeCell ref="T33:T34"/>
    <mergeCell ref="A35:A36"/>
    <mergeCell ref="B35:B36"/>
    <mergeCell ref="C35:C36"/>
    <mergeCell ref="D35:D36"/>
    <mergeCell ref="E35:E36"/>
    <mergeCell ref="F35:F36"/>
    <mergeCell ref="J33:J34"/>
    <mergeCell ref="L33:L34"/>
    <mergeCell ref="M33:M34"/>
    <mergeCell ref="N33:N34"/>
    <mergeCell ref="O33:O34"/>
    <mergeCell ref="P33:P34"/>
    <mergeCell ref="T35:T36"/>
    <mergeCell ref="N35:N36"/>
    <mergeCell ref="O35:O36"/>
    <mergeCell ref="P35:P36"/>
    <mergeCell ref="Q35:Q36"/>
    <mergeCell ref="R35:R36"/>
    <mergeCell ref="S35:S36"/>
    <mergeCell ref="G35:G36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T31:T32"/>
    <mergeCell ref="N31:N32"/>
    <mergeCell ref="O31:O32"/>
    <mergeCell ref="P31:P32"/>
    <mergeCell ref="Q31:Q32"/>
    <mergeCell ref="R31:R32"/>
    <mergeCell ref="S31:S32"/>
    <mergeCell ref="G31:G32"/>
    <mergeCell ref="H31:H32"/>
    <mergeCell ref="I31:I32"/>
    <mergeCell ref="J31:J32"/>
    <mergeCell ref="L31:L32"/>
    <mergeCell ref="M31:M32"/>
    <mergeCell ref="A31:A32"/>
    <mergeCell ref="B31:B32"/>
    <mergeCell ref="C31:C32"/>
    <mergeCell ref="D31:D32"/>
    <mergeCell ref="E31:E32"/>
    <mergeCell ref="F31:F32"/>
    <mergeCell ref="J29:J30"/>
    <mergeCell ref="L29:L30"/>
    <mergeCell ref="M29:M30"/>
    <mergeCell ref="A29:A30"/>
    <mergeCell ref="B29:B30"/>
    <mergeCell ref="C29:C30"/>
    <mergeCell ref="D29:D30"/>
    <mergeCell ref="E29:E30"/>
    <mergeCell ref="F29:F30"/>
    <mergeCell ref="G29:G30"/>
    <mergeCell ref="H27:H28"/>
    <mergeCell ref="I27:I28"/>
    <mergeCell ref="J27:J28"/>
    <mergeCell ref="L27:L28"/>
    <mergeCell ref="M27:M28"/>
    <mergeCell ref="Q29:Q30"/>
    <mergeCell ref="R29:R30"/>
    <mergeCell ref="S29:S30"/>
    <mergeCell ref="T29:T30"/>
    <mergeCell ref="N29:N30"/>
    <mergeCell ref="O29:O30"/>
    <mergeCell ref="P29:P30"/>
    <mergeCell ref="H29:H30"/>
    <mergeCell ref="I29:I30"/>
    <mergeCell ref="Q25:Q26"/>
    <mergeCell ref="R25:R26"/>
    <mergeCell ref="S25:S26"/>
    <mergeCell ref="T25:T26"/>
    <mergeCell ref="A27:A28"/>
    <mergeCell ref="B27:B28"/>
    <mergeCell ref="C27:C28"/>
    <mergeCell ref="D27:D28"/>
    <mergeCell ref="E27:E28"/>
    <mergeCell ref="F27:F28"/>
    <mergeCell ref="J25:J26"/>
    <mergeCell ref="L25:L26"/>
    <mergeCell ref="M25:M26"/>
    <mergeCell ref="N25:N26"/>
    <mergeCell ref="O25:O26"/>
    <mergeCell ref="P25:P26"/>
    <mergeCell ref="T27:T28"/>
    <mergeCell ref="N27:N28"/>
    <mergeCell ref="O27:O28"/>
    <mergeCell ref="P27:P28"/>
    <mergeCell ref="Q27:Q28"/>
    <mergeCell ref="R27:R28"/>
    <mergeCell ref="S27:S28"/>
    <mergeCell ref="G27:G28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T23:T24"/>
    <mergeCell ref="N23:N24"/>
    <mergeCell ref="O23:O24"/>
    <mergeCell ref="P23:P24"/>
    <mergeCell ref="Q23:Q24"/>
    <mergeCell ref="R23:R24"/>
    <mergeCell ref="S23:S24"/>
    <mergeCell ref="G23:G24"/>
    <mergeCell ref="H23:H24"/>
    <mergeCell ref="I23:I24"/>
    <mergeCell ref="J23:J24"/>
    <mergeCell ref="L23:L24"/>
    <mergeCell ref="M23:M24"/>
    <mergeCell ref="A23:A24"/>
    <mergeCell ref="B23:B24"/>
    <mergeCell ref="C23:C24"/>
    <mergeCell ref="D23:D24"/>
    <mergeCell ref="E23:E24"/>
    <mergeCell ref="F23:F24"/>
    <mergeCell ref="J21:J22"/>
    <mergeCell ref="L21:L22"/>
    <mergeCell ref="M21:M22"/>
    <mergeCell ref="A21:A22"/>
    <mergeCell ref="B21:B22"/>
    <mergeCell ref="C21:C22"/>
    <mergeCell ref="D21:D22"/>
    <mergeCell ref="E21:E22"/>
    <mergeCell ref="F21:F22"/>
    <mergeCell ref="G21:G22"/>
    <mergeCell ref="H19:H20"/>
    <mergeCell ref="I19:I20"/>
    <mergeCell ref="J19:J20"/>
    <mergeCell ref="L19:L20"/>
    <mergeCell ref="M19:M20"/>
    <mergeCell ref="Q21:Q22"/>
    <mergeCell ref="R21:R22"/>
    <mergeCell ref="S21:S22"/>
    <mergeCell ref="T21:T22"/>
    <mergeCell ref="N21:N22"/>
    <mergeCell ref="O21:O22"/>
    <mergeCell ref="P21:P22"/>
    <mergeCell ref="H21:H22"/>
    <mergeCell ref="I21:I22"/>
    <mergeCell ref="Q17:Q18"/>
    <mergeCell ref="R17:R18"/>
    <mergeCell ref="S17:S18"/>
    <mergeCell ref="T17:T18"/>
    <mergeCell ref="A19:A20"/>
    <mergeCell ref="B19:B20"/>
    <mergeCell ref="C19:C20"/>
    <mergeCell ref="D19:D20"/>
    <mergeCell ref="E19:E20"/>
    <mergeCell ref="F19:F20"/>
    <mergeCell ref="J17:J18"/>
    <mergeCell ref="L17:L18"/>
    <mergeCell ref="M17:M18"/>
    <mergeCell ref="N17:N18"/>
    <mergeCell ref="O17:O18"/>
    <mergeCell ref="P17:P18"/>
    <mergeCell ref="T19:T20"/>
    <mergeCell ref="N19:N20"/>
    <mergeCell ref="O19:O20"/>
    <mergeCell ref="P19:P20"/>
    <mergeCell ref="Q19:Q20"/>
    <mergeCell ref="R19:R20"/>
    <mergeCell ref="S19:S20"/>
    <mergeCell ref="G19:G20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T15:T16"/>
    <mergeCell ref="N15:N16"/>
    <mergeCell ref="O15:O16"/>
    <mergeCell ref="P15:P16"/>
    <mergeCell ref="Q15:Q16"/>
    <mergeCell ref="R15:R16"/>
    <mergeCell ref="S15:S16"/>
    <mergeCell ref="G15:G16"/>
    <mergeCell ref="H15:H16"/>
    <mergeCell ref="I15:I16"/>
    <mergeCell ref="J15:J16"/>
    <mergeCell ref="L15:L16"/>
    <mergeCell ref="M15:M16"/>
    <mergeCell ref="A15:A16"/>
    <mergeCell ref="B15:B16"/>
    <mergeCell ref="C15:C16"/>
    <mergeCell ref="D15:D16"/>
    <mergeCell ref="E15:E16"/>
    <mergeCell ref="F15:F16"/>
    <mergeCell ref="J13:J14"/>
    <mergeCell ref="L13:L14"/>
    <mergeCell ref="M13:M14"/>
    <mergeCell ref="A13:A14"/>
    <mergeCell ref="B13:B14"/>
    <mergeCell ref="C13:C14"/>
    <mergeCell ref="D13:D14"/>
    <mergeCell ref="E13:E14"/>
    <mergeCell ref="F13:F14"/>
    <mergeCell ref="G13:G14"/>
    <mergeCell ref="H11:H12"/>
    <mergeCell ref="I11:I12"/>
    <mergeCell ref="J11:J12"/>
    <mergeCell ref="L11:L12"/>
    <mergeCell ref="M11:M12"/>
    <mergeCell ref="Q13:Q14"/>
    <mergeCell ref="R13:R14"/>
    <mergeCell ref="S13:S14"/>
    <mergeCell ref="T13:T14"/>
    <mergeCell ref="N13:N14"/>
    <mergeCell ref="O13:O14"/>
    <mergeCell ref="P13:P14"/>
    <mergeCell ref="H13:H14"/>
    <mergeCell ref="I13:I14"/>
    <mergeCell ref="Q9:Q10"/>
    <mergeCell ref="R9:R10"/>
    <mergeCell ref="S9:S10"/>
    <mergeCell ref="T9:T10"/>
    <mergeCell ref="A11:A12"/>
    <mergeCell ref="B11:B12"/>
    <mergeCell ref="C11:C12"/>
    <mergeCell ref="D11:D12"/>
    <mergeCell ref="E11:E12"/>
    <mergeCell ref="F11:F12"/>
    <mergeCell ref="J9:J10"/>
    <mergeCell ref="L9:L10"/>
    <mergeCell ref="M9:M10"/>
    <mergeCell ref="N9:N10"/>
    <mergeCell ref="O9:O10"/>
    <mergeCell ref="P9:P10"/>
    <mergeCell ref="T11:T12"/>
    <mergeCell ref="N11:N12"/>
    <mergeCell ref="O11:O12"/>
    <mergeCell ref="P11:P12"/>
    <mergeCell ref="Q11:Q12"/>
    <mergeCell ref="R11:R12"/>
    <mergeCell ref="S11:S12"/>
    <mergeCell ref="G11:G12"/>
    <mergeCell ref="T7:T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N7:N8"/>
    <mergeCell ref="O7:O8"/>
    <mergeCell ref="P7:P8"/>
    <mergeCell ref="Q7:Q8"/>
    <mergeCell ref="R7:R8"/>
    <mergeCell ref="S7:S8"/>
    <mergeCell ref="G7:G8"/>
    <mergeCell ref="H7:H8"/>
    <mergeCell ref="I7:I8"/>
    <mergeCell ref="J7:J8"/>
    <mergeCell ref="L7:L8"/>
    <mergeCell ref="M7:M8"/>
    <mergeCell ref="A7:A8"/>
    <mergeCell ref="B7:B8"/>
    <mergeCell ref="C7:C8"/>
    <mergeCell ref="D7:D8"/>
    <mergeCell ref="E7:E8"/>
    <mergeCell ref="F7:F8"/>
    <mergeCell ref="O5:O6"/>
    <mergeCell ref="P5:P6"/>
    <mergeCell ref="Q5:Q6"/>
    <mergeCell ref="R5:R6"/>
    <mergeCell ref="S5:S6"/>
    <mergeCell ref="L1:M1"/>
    <mergeCell ref="A5:A6"/>
    <mergeCell ref="B5:B6"/>
    <mergeCell ref="C5:C6"/>
    <mergeCell ref="D5:D6"/>
    <mergeCell ref="E5:E6"/>
    <mergeCell ref="F5:F6"/>
    <mergeCell ref="G5:G6"/>
    <mergeCell ref="J3:J4"/>
    <mergeCell ref="L3:L4"/>
    <mergeCell ref="A3:A4"/>
    <mergeCell ref="B3:B4"/>
    <mergeCell ref="C3:C4"/>
    <mergeCell ref="D3:D4"/>
    <mergeCell ref="E3:F4"/>
    <mergeCell ref="G3:G4"/>
    <mergeCell ref="B1:C1"/>
    <mergeCell ref="F1:J1"/>
    <mergeCell ref="T5:T6"/>
    <mergeCell ref="H5:H6"/>
    <mergeCell ref="I5:I6"/>
    <mergeCell ref="J5:J6"/>
    <mergeCell ref="L5:L6"/>
    <mergeCell ref="M5:M6"/>
    <mergeCell ref="N5:N6"/>
    <mergeCell ref="R3:R4"/>
    <mergeCell ref="S3:S4"/>
    <mergeCell ref="T3:T4"/>
    <mergeCell ref="M3:M4"/>
    <mergeCell ref="N3:N4"/>
    <mergeCell ref="O3:P4"/>
    <mergeCell ref="H3:H4"/>
    <mergeCell ref="I3:I4"/>
    <mergeCell ref="Q3:Q4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34"/>
  </sheetPr>
  <dimension ref="A1:J38"/>
  <sheetViews>
    <sheetView topLeftCell="A16" workbookViewId="0">
      <selection activeCell="N11" sqref="N11"/>
    </sheetView>
  </sheetViews>
  <sheetFormatPr defaultRowHeight="12.5"/>
  <cols>
    <col min="1" max="1" width="4.1796875" customWidth="1"/>
    <col min="2" max="2" width="5.453125" customWidth="1"/>
    <col min="3" max="3" width="22.1796875" customWidth="1"/>
    <col min="5" max="5" width="6.1796875" customWidth="1"/>
    <col min="6" max="6" width="13.1796875" customWidth="1"/>
    <col min="7" max="7" width="18.1796875" customWidth="1"/>
    <col min="8" max="8" width="6.1796875" customWidth="1"/>
    <col min="9" max="9" width="6.81640625" customWidth="1"/>
    <col min="10" max="10" width="7.81640625" customWidth="1"/>
  </cols>
  <sheetData>
    <row r="1" spans="1:10" ht="15.5">
      <c r="A1" s="602" t="str">
        <f>пр.взв!$D$4</f>
        <v>В.к. 52 кг.</v>
      </c>
      <c r="B1" s="602"/>
      <c r="C1" s="602"/>
      <c r="D1" s="602"/>
      <c r="E1" s="602"/>
      <c r="F1" s="602"/>
      <c r="G1" s="602"/>
      <c r="H1" s="602"/>
      <c r="I1" s="602"/>
      <c r="J1" s="602"/>
    </row>
    <row r="2" spans="1:10" ht="13">
      <c r="C2" s="4" t="s">
        <v>187</v>
      </c>
    </row>
    <row r="3" spans="1:10" ht="13">
      <c r="C3" s="5" t="s">
        <v>29</v>
      </c>
    </row>
    <row r="4" spans="1:10" ht="12.75" customHeight="1">
      <c r="A4" s="587" t="s">
        <v>30</v>
      </c>
      <c r="B4" s="587" t="s">
        <v>5</v>
      </c>
      <c r="C4" s="596" t="s">
        <v>2</v>
      </c>
      <c r="D4" s="587" t="s">
        <v>23</v>
      </c>
      <c r="E4" s="597" t="s">
        <v>24</v>
      </c>
      <c r="F4" s="598"/>
      <c r="G4" s="587" t="s">
        <v>25</v>
      </c>
      <c r="H4" s="587" t="s">
        <v>26</v>
      </c>
      <c r="I4" s="587" t="s">
        <v>27</v>
      </c>
      <c r="J4" s="587" t="s">
        <v>28</v>
      </c>
    </row>
    <row r="5" spans="1:10">
      <c r="A5" s="593"/>
      <c r="B5" s="593"/>
      <c r="C5" s="593"/>
      <c r="D5" s="593"/>
      <c r="E5" s="599"/>
      <c r="F5" s="600"/>
      <c r="G5" s="593"/>
      <c r="H5" s="593"/>
      <c r="I5" s="593"/>
      <c r="J5" s="593"/>
    </row>
    <row r="6" spans="1:10">
      <c r="A6" s="591"/>
      <c r="B6" s="601">
        <v>3</v>
      </c>
      <c r="C6" s="592" t="str">
        <f>IFERROR(VLOOKUP(B6,пр.взв!$B$7:$H$76,2,0),"")</f>
        <v>ВИНИЧЕНКО Екатерина Константиновна</v>
      </c>
      <c r="D6" s="592" t="str">
        <f>IFERROR(VLOOKUP(B6,пр.взв!$B$7:$H$76,3,0),"")</f>
        <v>16.02.97, КМС</v>
      </c>
      <c r="E6" s="592" t="str">
        <f>IFERROR(VLOOKUP(B6,пр.взв!$B$7:$H$76,4,0),"")</f>
        <v>УФО</v>
      </c>
      <c r="F6" s="592" t="str">
        <f>IFERROR(VLOOKUP(B6,пр.взв!$B$7:$H$76,5,0),"")</f>
        <v>Свердловская, Екатеринбург, СШОР ПО САМБО И ДЗЮДО</v>
      </c>
      <c r="G6" s="590"/>
      <c r="H6" s="594"/>
      <c r="I6" s="595"/>
      <c r="J6" s="587"/>
    </row>
    <row r="7" spans="1:10">
      <c r="A7" s="591"/>
      <c r="B7" s="587"/>
      <c r="C7" s="592"/>
      <c r="D7" s="592"/>
      <c r="E7" s="592"/>
      <c r="F7" s="592"/>
      <c r="G7" s="590"/>
      <c r="H7" s="590"/>
      <c r="I7" s="595"/>
      <c r="J7" s="587"/>
    </row>
    <row r="8" spans="1:10" ht="12.75" customHeight="1">
      <c r="A8" s="586"/>
      <c r="B8" s="601">
        <v>1</v>
      </c>
      <c r="C8" s="588" t="str">
        <f>IFERROR(VLOOKUP(B8,пр.взв!$B$7:$H$76,2,0),"")</f>
        <v>ГАВРИЛОВА Полина Сергеевна</v>
      </c>
      <c r="D8" s="588" t="str">
        <f>IFERROR(VLOOKUP(B8,пр.взв!$B$7:$H$76,3,0),"")</f>
        <v>23.06.96, КМС</v>
      </c>
      <c r="E8" s="588" t="str">
        <f>IFERROR(VLOOKUP(B8,пр.взв!$B$7:$H$76,4,0),"")</f>
        <v>УФО</v>
      </c>
      <c r="F8" s="588" t="str">
        <f>IFERROR(VLOOKUP(B8,пр.взв!$B$7:$H$76,5,0),"")</f>
        <v>Свердловская, Серов</v>
      </c>
      <c r="G8" s="590"/>
      <c r="H8" s="590"/>
      <c r="I8" s="587"/>
      <c r="J8" s="587"/>
    </row>
    <row r="9" spans="1:10">
      <c r="A9" s="586"/>
      <c r="B9" s="587"/>
      <c r="C9" s="589"/>
      <c r="D9" s="589"/>
      <c r="E9" s="589"/>
      <c r="F9" s="589"/>
      <c r="G9" s="590"/>
      <c r="H9" s="590"/>
      <c r="I9" s="587"/>
      <c r="J9" s="587"/>
    </row>
    <row r="10" spans="1:10" ht="25.4" customHeight="1">
      <c r="F10" s="6" t="s">
        <v>31</v>
      </c>
    </row>
    <row r="11" spans="1:10" ht="25.4" customHeight="1">
      <c r="F11" s="6" t="s">
        <v>0</v>
      </c>
      <c r="G11" s="7"/>
      <c r="H11" s="7"/>
      <c r="I11" s="7"/>
      <c r="J11" s="7"/>
    </row>
    <row r="12" spans="1:10" ht="25.4" customHeight="1">
      <c r="F12" s="6" t="s">
        <v>32</v>
      </c>
    </row>
    <row r="13" spans="1:10" ht="25.4" customHeight="1">
      <c r="F13" s="6"/>
      <c r="G13" s="8"/>
      <c r="H13" s="8"/>
      <c r="I13" s="8"/>
      <c r="J13" s="8"/>
    </row>
    <row r="14" spans="1:10" ht="15.5">
      <c r="A14" s="603" t="str">
        <f>пр.взв!$D$4</f>
        <v>В.к. 52 кг.</v>
      </c>
      <c r="B14" s="603"/>
      <c r="C14" s="603"/>
      <c r="D14" s="603"/>
      <c r="E14" s="603"/>
      <c r="F14" s="603"/>
      <c r="G14" s="603"/>
      <c r="H14" s="603"/>
      <c r="I14" s="603"/>
      <c r="J14" s="603"/>
    </row>
    <row r="15" spans="1:10" ht="15.5">
      <c r="C15" s="5" t="s">
        <v>33</v>
      </c>
      <c r="F15" s="6"/>
      <c r="G15" s="25"/>
    </row>
    <row r="16" spans="1:10" ht="12.75" customHeight="1">
      <c r="A16" s="587" t="s">
        <v>30</v>
      </c>
      <c r="B16" s="587" t="s">
        <v>5</v>
      </c>
      <c r="C16" s="596" t="s">
        <v>2</v>
      </c>
      <c r="D16" s="587" t="s">
        <v>23</v>
      </c>
      <c r="E16" s="597" t="s">
        <v>24</v>
      </c>
      <c r="F16" s="598"/>
      <c r="G16" s="587" t="s">
        <v>25</v>
      </c>
      <c r="H16" s="587" t="s">
        <v>26</v>
      </c>
      <c r="I16" s="587" t="s">
        <v>27</v>
      </c>
      <c r="J16" s="587" t="s">
        <v>28</v>
      </c>
    </row>
    <row r="17" spans="1:10">
      <c r="A17" s="593"/>
      <c r="B17" s="593"/>
      <c r="C17" s="593"/>
      <c r="D17" s="593"/>
      <c r="E17" s="599"/>
      <c r="F17" s="600"/>
      <c r="G17" s="593"/>
      <c r="H17" s="593"/>
      <c r="I17" s="593"/>
      <c r="J17" s="593"/>
    </row>
    <row r="18" spans="1:10">
      <c r="A18" s="591"/>
      <c r="B18" s="601">
        <f>пр.хода!AY6</f>
        <v>4</v>
      </c>
      <c r="C18" s="592" t="str">
        <f>IFERROR(VLOOKUP(B18,пр.взв!$B$7:$H$76,2,0),"")</f>
        <v>ГАСПАРЯН Наре Петросовна</v>
      </c>
      <c r="D18" s="592" t="str">
        <f>IFERROR(VLOOKUP(B18,пр.взв!$B$7:$H$76,3,0),"")</f>
        <v>26.02.97, КМС</v>
      </c>
      <c r="E18" s="592" t="str">
        <f>IFERROR(VLOOKUP(B18,пр.взв!$B$7:$H$76,4,0),"")</f>
        <v>УФО</v>
      </c>
      <c r="F18" s="592" t="str">
        <f>IFERROR(VLOOKUP(B18,пр.взв!$B$7:$H$76,5,0),"")</f>
        <v>Челябинская, Челябинск</v>
      </c>
      <c r="G18" s="590"/>
      <c r="H18" s="594"/>
      <c r="I18" s="595"/>
      <c r="J18" s="587"/>
    </row>
    <row r="19" spans="1:10">
      <c r="A19" s="591"/>
      <c r="B19" s="587"/>
      <c r="C19" s="592"/>
      <c r="D19" s="592"/>
      <c r="E19" s="592"/>
      <c r="F19" s="592"/>
      <c r="G19" s="590"/>
      <c r="H19" s="590"/>
      <c r="I19" s="595"/>
      <c r="J19" s="587"/>
    </row>
    <row r="20" spans="1:10">
      <c r="A20" s="586"/>
      <c r="B20" s="601">
        <f>пр.хода!AY7</f>
        <v>1</v>
      </c>
      <c r="C20" s="588" t="str">
        <f>IFERROR(VLOOKUP(B20,пр.взв!$B$7:$H$76,2,0),"")</f>
        <v>ГАВРИЛОВА Полина Сергеевна</v>
      </c>
      <c r="D20" s="588" t="str">
        <f>IFERROR(VLOOKUP(B20,пр.взв!$B$7:$H$76,3,0),"")</f>
        <v>23.06.96, КМС</v>
      </c>
      <c r="E20" s="588" t="str">
        <f>IFERROR(VLOOKUP(B20,пр.взв!$B$7:$H$76,4,0),"")</f>
        <v>УФО</v>
      </c>
      <c r="F20" s="588" t="str">
        <f>IFERROR(VLOOKUP(B20,пр.взв!$B$7:$H$76,5,0),"")</f>
        <v>Свердловская, Серов</v>
      </c>
      <c r="G20" s="590"/>
      <c r="H20" s="590"/>
      <c r="I20" s="587"/>
      <c r="J20" s="587"/>
    </row>
    <row r="21" spans="1:10">
      <c r="A21" s="586"/>
      <c r="B21" s="587"/>
      <c r="C21" s="589"/>
      <c r="D21" s="589"/>
      <c r="E21" s="589"/>
      <c r="F21" s="589"/>
      <c r="G21" s="590"/>
      <c r="H21" s="590"/>
      <c r="I21" s="587"/>
      <c r="J21" s="587"/>
    </row>
    <row r="22" spans="1:10" ht="25.4" customHeight="1">
      <c r="F22" s="6" t="s">
        <v>31</v>
      </c>
    </row>
    <row r="23" spans="1:10" ht="25.4" customHeight="1">
      <c r="F23" s="6" t="s">
        <v>0</v>
      </c>
      <c r="G23" s="7"/>
      <c r="H23" s="7"/>
      <c r="I23" s="7"/>
      <c r="J23" s="7"/>
    </row>
    <row r="24" spans="1:10" ht="25.4" customHeight="1">
      <c r="F24" s="6" t="s">
        <v>32</v>
      </c>
    </row>
    <row r="25" spans="1:10" ht="25.4" customHeight="1">
      <c r="F25" s="6"/>
      <c r="G25" s="8"/>
      <c r="H25" s="8"/>
      <c r="I25" s="8"/>
      <c r="J25" s="8"/>
    </row>
    <row r="26" spans="1:10">
      <c r="G26" s="2"/>
      <c r="H26" s="2"/>
      <c r="I26" s="2"/>
      <c r="J26" s="2"/>
    </row>
    <row r="27" spans="1:10" ht="15.5">
      <c r="A27" s="518" t="str">
        <f>пр.взв!$D$4</f>
        <v>В.к. 52 кг.</v>
      </c>
      <c r="B27" s="518"/>
      <c r="C27" s="518"/>
      <c r="D27" s="518"/>
      <c r="E27" s="518"/>
      <c r="F27" s="518"/>
      <c r="G27" s="518"/>
      <c r="H27" s="518"/>
      <c r="I27" s="518"/>
      <c r="J27" s="518"/>
    </row>
    <row r="28" spans="1:10" ht="15.65" customHeight="1">
      <c r="C28" s="9" t="s">
        <v>34</v>
      </c>
      <c r="G28" s="25"/>
    </row>
    <row r="29" spans="1:10" ht="12.75" customHeight="1">
      <c r="A29" s="587" t="s">
        <v>30</v>
      </c>
      <c r="B29" s="587" t="s">
        <v>5</v>
      </c>
      <c r="C29" s="596" t="s">
        <v>2</v>
      </c>
      <c r="D29" s="587" t="s">
        <v>23</v>
      </c>
      <c r="E29" s="597" t="s">
        <v>24</v>
      </c>
      <c r="F29" s="598"/>
      <c r="G29" s="587" t="s">
        <v>25</v>
      </c>
      <c r="H29" s="587" t="s">
        <v>26</v>
      </c>
      <c r="I29" s="587" t="s">
        <v>27</v>
      </c>
      <c r="J29" s="587" t="s">
        <v>28</v>
      </c>
    </row>
    <row r="30" spans="1:10">
      <c r="A30" s="593"/>
      <c r="B30" s="593"/>
      <c r="C30" s="593"/>
      <c r="D30" s="593"/>
      <c r="E30" s="599"/>
      <c r="F30" s="600"/>
      <c r="G30" s="593"/>
      <c r="H30" s="593"/>
      <c r="I30" s="593"/>
      <c r="J30" s="593"/>
    </row>
    <row r="31" spans="1:10" ht="12.75" customHeight="1">
      <c r="A31" s="591"/>
      <c r="B31" s="587">
        <f>пр.хода!AZ6</f>
        <v>2</v>
      </c>
      <c r="C31" s="592" t="str">
        <f>IFERROR(VLOOKUP(B31,пр.взв!$B$7:$H$76,2,0),"")</f>
        <v>ШКЕТ Ольга Владимировна</v>
      </c>
      <c r="D31" s="592" t="str">
        <f>IFERROR(VLOOKUP(B31,пр.взв!$B$7:$H$76,3,0),"")</f>
        <v>11.05.96, МС</v>
      </c>
      <c r="E31" s="592" t="str">
        <f>IFERROR(VLOOKUP(B31,пр.взв!$B$7:$H$76,4,0),"")</f>
        <v>УФО</v>
      </c>
      <c r="F31" s="592" t="str">
        <f>IFERROR(VLOOKUP(B31,пр.взв!$B$7:$H$76,5,0),"")</f>
        <v>Курганская, Курган, СШОР№1</v>
      </c>
      <c r="G31" s="590"/>
      <c r="H31" s="594"/>
      <c r="I31" s="595"/>
      <c r="J31" s="587"/>
    </row>
    <row r="32" spans="1:10">
      <c r="A32" s="591"/>
      <c r="B32" s="587"/>
      <c r="C32" s="592"/>
      <c r="D32" s="592"/>
      <c r="E32" s="592"/>
      <c r="F32" s="592"/>
      <c r="G32" s="590"/>
      <c r="H32" s="590"/>
      <c r="I32" s="595"/>
      <c r="J32" s="587"/>
    </row>
    <row r="33" spans="1:10" ht="12.75" customHeight="1">
      <c r="A33" s="586"/>
      <c r="B33" s="587">
        <f>пр.хода!AZ7</f>
        <v>4</v>
      </c>
      <c r="C33" s="588" t="str">
        <f>IFERROR(VLOOKUP(B33,пр.взв!$B$7:$H$76,2,0),"")</f>
        <v>ГАСПАРЯН Наре Петросовна</v>
      </c>
      <c r="D33" s="588" t="str">
        <f>IFERROR(VLOOKUP(B33,пр.взв!$B$7:$H$76,3,0),"")</f>
        <v>26.02.97, КМС</v>
      </c>
      <c r="E33" s="588" t="str">
        <f>IFERROR(VLOOKUP(B33,пр.взв!$B$7:$H$76,4,0),"")</f>
        <v>УФО</v>
      </c>
      <c r="F33" s="588" t="str">
        <f>IFERROR(VLOOKUP(B33,пр.взв!$B$7:$H$76,5,0),"")</f>
        <v>Челябинская, Челябинск</v>
      </c>
      <c r="G33" s="590"/>
      <c r="H33" s="590"/>
      <c r="I33" s="587"/>
      <c r="J33" s="587"/>
    </row>
    <row r="34" spans="1:10">
      <c r="A34" s="586"/>
      <c r="B34" s="587"/>
      <c r="C34" s="589"/>
      <c r="D34" s="589"/>
      <c r="E34" s="589"/>
      <c r="F34" s="589"/>
      <c r="G34" s="590"/>
      <c r="H34" s="590"/>
      <c r="I34" s="587"/>
      <c r="J34" s="587"/>
    </row>
    <row r="35" spans="1:10" ht="25.4" customHeight="1">
      <c r="F35" s="6" t="s">
        <v>31</v>
      </c>
    </row>
    <row r="36" spans="1:10" ht="25.4" customHeight="1">
      <c r="F36" s="6" t="s">
        <v>0</v>
      </c>
      <c r="G36" s="7"/>
      <c r="H36" s="7"/>
      <c r="I36" s="7"/>
      <c r="J36" s="7"/>
    </row>
    <row r="37" spans="1:10" ht="25.4" customHeight="1">
      <c r="F37" s="6" t="s">
        <v>32</v>
      </c>
    </row>
    <row r="38" spans="1:10" ht="25.4" customHeight="1">
      <c r="F38" s="6"/>
      <c r="G38" s="8"/>
      <c r="H38" s="8"/>
      <c r="I38" s="8"/>
      <c r="J38" s="8"/>
    </row>
  </sheetData>
  <mergeCells count="90">
    <mergeCell ref="A1:J1"/>
    <mergeCell ref="A14:J14"/>
    <mergeCell ref="A27:J27"/>
    <mergeCell ref="H4:H5"/>
    <mergeCell ref="H16:H17"/>
    <mergeCell ref="G20:G21"/>
    <mergeCell ref="H20:H21"/>
    <mergeCell ref="G18:G19"/>
    <mergeCell ref="I4:I5"/>
    <mergeCell ref="J4:J5"/>
    <mergeCell ref="A6:A7"/>
    <mergeCell ref="B6:B7"/>
    <mergeCell ref="C6:C7"/>
    <mergeCell ref="D6:D7"/>
    <mergeCell ref="F6:F7"/>
    <mergeCell ref="G6:G7"/>
    <mergeCell ref="A4:A5"/>
    <mergeCell ref="B4:B5"/>
    <mergeCell ref="C4:C5"/>
    <mergeCell ref="D4:D5"/>
    <mergeCell ref="G4:G5"/>
    <mergeCell ref="E4:F5"/>
    <mergeCell ref="I6:I7"/>
    <mergeCell ref="J6:J7"/>
    <mergeCell ref="A8:A9"/>
    <mergeCell ref="B8:B9"/>
    <mergeCell ref="C8:C9"/>
    <mergeCell ref="D8:D9"/>
    <mergeCell ref="F8:F9"/>
    <mergeCell ref="G8:G9"/>
    <mergeCell ref="H8:H9"/>
    <mergeCell ref="I8:I9"/>
    <mergeCell ref="E6:E7"/>
    <mergeCell ref="E8:E9"/>
    <mergeCell ref="J8:J9"/>
    <mergeCell ref="H6:H7"/>
    <mergeCell ref="A16:A17"/>
    <mergeCell ref="B16:B17"/>
    <mergeCell ref="C16:C17"/>
    <mergeCell ref="D16:D17"/>
    <mergeCell ref="G16:G17"/>
    <mergeCell ref="E16:F17"/>
    <mergeCell ref="I16:I17"/>
    <mergeCell ref="J16:J17"/>
    <mergeCell ref="H18:H19"/>
    <mergeCell ref="I18:I19"/>
    <mergeCell ref="J18:J19"/>
    <mergeCell ref="A20:A21"/>
    <mergeCell ref="B20:B21"/>
    <mergeCell ref="C20:C21"/>
    <mergeCell ref="D20:D21"/>
    <mergeCell ref="F20:F21"/>
    <mergeCell ref="E20:E21"/>
    <mergeCell ref="A18:A19"/>
    <mergeCell ref="B18:B19"/>
    <mergeCell ref="C18:C19"/>
    <mergeCell ref="D18:D19"/>
    <mergeCell ref="F18:F19"/>
    <mergeCell ref="E18:E19"/>
    <mergeCell ref="A29:A30"/>
    <mergeCell ref="B29:B30"/>
    <mergeCell ref="C29:C30"/>
    <mergeCell ref="D29:D30"/>
    <mergeCell ref="G29:G30"/>
    <mergeCell ref="E29:F30"/>
    <mergeCell ref="G31:G32"/>
    <mergeCell ref="E31:E32"/>
    <mergeCell ref="E33:E34"/>
    <mergeCell ref="I20:I21"/>
    <mergeCell ref="J20:J21"/>
    <mergeCell ref="H29:H30"/>
    <mergeCell ref="I29:I30"/>
    <mergeCell ref="J29:J30"/>
    <mergeCell ref="H31:H32"/>
    <mergeCell ref="I31:I32"/>
    <mergeCell ref="J31:J32"/>
    <mergeCell ref="A31:A32"/>
    <mergeCell ref="B31:B32"/>
    <mergeCell ref="C31:C32"/>
    <mergeCell ref="D31:D32"/>
    <mergeCell ref="F31:F32"/>
    <mergeCell ref="A33:A34"/>
    <mergeCell ref="B33:B34"/>
    <mergeCell ref="C33:C34"/>
    <mergeCell ref="D33:D34"/>
    <mergeCell ref="J33:J34"/>
    <mergeCell ref="F33:F34"/>
    <mergeCell ref="G33:G34"/>
    <mergeCell ref="H33:H34"/>
    <mergeCell ref="I33:I34"/>
  </mergeCells>
  <phoneticPr fontId="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tabColor theme="2" tint="-0.249977111117893"/>
  </sheetPr>
  <dimension ref="A1:P39"/>
  <sheetViews>
    <sheetView topLeftCell="A7" workbookViewId="0">
      <selection activeCell="B18" sqref="B18:J19"/>
    </sheetView>
  </sheetViews>
  <sheetFormatPr defaultColWidth="8.81640625" defaultRowHeight="12.5"/>
  <cols>
    <col min="1" max="1" width="12.81640625" style="131" customWidth="1"/>
    <col min="2" max="6" width="8.81640625" style="131"/>
    <col min="7" max="7" width="5.81640625" style="131" customWidth="1"/>
    <col min="8" max="8" width="7.453125" style="131" customWidth="1"/>
    <col min="9" max="16384" width="8.81640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605"/>
      <c r="D12" s="605"/>
      <c r="E12" s="605"/>
      <c r="F12" s="605"/>
      <c r="G12" s="605"/>
      <c r="H12" s="605"/>
    </row>
    <row r="13" spans="1:8" ht="45.65" customHeight="1">
      <c r="A13" s="235"/>
      <c r="C13" s="605"/>
      <c r="D13" s="605"/>
      <c r="E13" s="605"/>
      <c r="F13" s="605"/>
      <c r="G13" s="605"/>
      <c r="H13" s="605"/>
    </row>
    <row r="14" spans="1:8" ht="18" customHeight="1">
      <c r="A14" s="235"/>
    </row>
    <row r="15" spans="1:8">
      <c r="A15" s="235"/>
    </row>
    <row r="16" spans="1:8" ht="18" customHeight="1">
      <c r="A16" s="230"/>
      <c r="C16" s="606" t="s">
        <v>154</v>
      </c>
      <c r="D16" s="606"/>
      <c r="E16" s="606"/>
      <c r="F16" s="606"/>
      <c r="G16" s="606"/>
      <c r="H16" s="606"/>
    </row>
    <row r="17" spans="1:16" ht="18" customHeight="1">
      <c r="A17" s="235"/>
    </row>
    <row r="18" spans="1:16" ht="17.5" customHeight="1">
      <c r="A18" s="235"/>
      <c r="B18" s="607" t="str">
        <f>'НАГР ЛИСТ'!B6</f>
        <v>ШКЕТ Ольга Владимировна</v>
      </c>
      <c r="C18" s="607"/>
      <c r="D18" s="607"/>
      <c r="E18" s="607"/>
      <c r="F18" s="607"/>
      <c r="G18" s="607"/>
      <c r="H18" s="607"/>
      <c r="I18" s="607"/>
      <c r="J18" s="607"/>
    </row>
    <row r="19" spans="1:16" ht="18" customHeight="1">
      <c r="A19" s="235"/>
      <c r="B19" s="607"/>
      <c r="C19" s="607"/>
      <c r="D19" s="607"/>
      <c r="E19" s="607"/>
      <c r="F19" s="607"/>
      <c r="G19" s="607"/>
      <c r="H19" s="607"/>
      <c r="I19" s="607"/>
      <c r="J19" s="607"/>
    </row>
    <row r="20" spans="1:16" ht="17.5" customHeight="1">
      <c r="A20" s="235"/>
    </row>
    <row r="21" spans="1:16" ht="18" customHeight="1">
      <c r="A21" s="230"/>
      <c r="B21" s="234"/>
      <c r="C21" s="608" t="s">
        <v>153</v>
      </c>
      <c r="D21" s="608"/>
      <c r="E21" s="608"/>
      <c r="F21" s="608"/>
      <c r="G21" s="608"/>
      <c r="H21" s="608"/>
      <c r="I21" s="608"/>
      <c r="J21" s="608"/>
      <c r="M21" s="261" t="s">
        <v>153</v>
      </c>
      <c r="N21" s="261"/>
      <c r="O21" s="261"/>
      <c r="P21" s="261"/>
    </row>
    <row r="22" spans="1:16" ht="18" customHeight="1">
      <c r="A22" s="235"/>
      <c r="B22" s="234"/>
      <c r="C22" s="608"/>
      <c r="D22" s="608"/>
      <c r="E22" s="608"/>
      <c r="F22" s="608"/>
      <c r="G22" s="608"/>
      <c r="H22" s="608"/>
      <c r="I22" s="608"/>
      <c r="J22" s="608"/>
      <c r="M22" s="261"/>
      <c r="N22" s="261"/>
      <c r="O22" s="261"/>
      <c r="P22" s="261"/>
    </row>
    <row r="23" spans="1:16" ht="17.5" customHeight="1">
      <c r="B23" s="234"/>
      <c r="C23" s="608"/>
      <c r="D23" s="608"/>
      <c r="E23" s="608"/>
      <c r="F23" s="608"/>
      <c r="G23" s="608"/>
      <c r="H23" s="608"/>
      <c r="I23" s="608"/>
      <c r="J23" s="608"/>
      <c r="M23" s="261"/>
      <c r="N23" s="261"/>
      <c r="O23" s="261"/>
      <c r="P23" s="261"/>
    </row>
    <row r="24" spans="1:16" ht="18" customHeight="1">
      <c r="B24" s="234"/>
      <c r="C24" s="608"/>
      <c r="D24" s="608"/>
      <c r="E24" s="608"/>
      <c r="F24" s="608"/>
      <c r="G24" s="608"/>
      <c r="H24" s="608"/>
      <c r="I24" s="608"/>
      <c r="J24" s="608"/>
      <c r="M24" s="261"/>
      <c r="N24" s="261"/>
      <c r="O24" s="261"/>
      <c r="P24" s="261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604" t="s">
        <v>152</v>
      </c>
      <c r="D27" s="604"/>
      <c r="E27" s="604"/>
      <c r="F27" s="604"/>
      <c r="G27" s="604"/>
      <c r="H27" s="604"/>
      <c r="I27" s="232">
        <v>40</v>
      </c>
      <c r="J27" s="231" t="s">
        <v>151</v>
      </c>
    </row>
    <row r="28" spans="1:16" ht="12.65" customHeight="1">
      <c r="A28" s="230"/>
    </row>
    <row r="29" spans="1:16" ht="13" customHeight="1"/>
    <row r="30" spans="1:16" ht="15.5">
      <c r="B30" s="229" t="s">
        <v>150</v>
      </c>
      <c r="H30" s="229" t="s">
        <v>149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tabColor theme="2" tint="-0.249977111117893"/>
  </sheetPr>
  <dimension ref="A1:P39"/>
  <sheetViews>
    <sheetView topLeftCell="A14" workbookViewId="0">
      <selection activeCell="B20" sqref="B20"/>
    </sheetView>
  </sheetViews>
  <sheetFormatPr defaultColWidth="8.81640625" defaultRowHeight="12.5"/>
  <cols>
    <col min="1" max="1" width="12.81640625" style="131" customWidth="1"/>
    <col min="2" max="6" width="8.81640625" style="131"/>
    <col min="7" max="7" width="5.81640625" style="131" customWidth="1"/>
    <col min="8" max="8" width="7.453125" style="131" customWidth="1"/>
    <col min="9" max="16384" width="8.81640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605"/>
      <c r="D12" s="605"/>
      <c r="E12" s="605"/>
      <c r="F12" s="605"/>
      <c r="G12" s="605"/>
      <c r="H12" s="605"/>
    </row>
    <row r="13" spans="1:8" ht="45.65" customHeight="1">
      <c r="A13" s="235"/>
      <c r="C13" s="605"/>
      <c r="D13" s="605"/>
      <c r="E13" s="605"/>
      <c r="F13" s="605"/>
      <c r="G13" s="605"/>
      <c r="H13" s="605"/>
    </row>
    <row r="14" spans="1:8" ht="18" customHeight="1">
      <c r="A14" s="235"/>
    </row>
    <row r="15" spans="1:8">
      <c r="A15" s="235"/>
    </row>
    <row r="16" spans="1:8" ht="18" customHeight="1">
      <c r="A16" s="230"/>
      <c r="C16" s="606" t="s">
        <v>154</v>
      </c>
      <c r="D16" s="606"/>
      <c r="E16" s="606"/>
      <c r="F16" s="606"/>
      <c r="G16" s="606"/>
      <c r="H16" s="606"/>
    </row>
    <row r="17" spans="1:16" ht="18" customHeight="1">
      <c r="A17" s="235"/>
    </row>
    <row r="18" spans="1:16" ht="17.5" customHeight="1">
      <c r="A18" s="237"/>
      <c r="B18" s="609" t="str">
        <f>'НАГР ЛИСТ'!B11</f>
        <v>ГАСПАРЯН Наре Петросовна</v>
      </c>
      <c r="C18" s="609"/>
      <c r="D18" s="609"/>
      <c r="E18" s="609"/>
      <c r="F18" s="609"/>
      <c r="G18" s="609"/>
      <c r="H18" s="609"/>
      <c r="I18" s="609"/>
      <c r="J18" s="609"/>
    </row>
    <row r="19" spans="1:16" ht="18" customHeight="1">
      <c r="A19" s="237"/>
      <c r="B19" s="609"/>
      <c r="C19" s="609"/>
      <c r="D19" s="609"/>
      <c r="E19" s="609"/>
      <c r="F19" s="609"/>
      <c r="G19" s="609"/>
      <c r="H19" s="609"/>
      <c r="I19" s="609"/>
      <c r="J19" s="609"/>
    </row>
    <row r="20" spans="1:16">
      <c r="A20" s="235"/>
    </row>
    <row r="21" spans="1:16" ht="18" customHeight="1">
      <c r="A21" s="230"/>
      <c r="B21" s="234"/>
      <c r="C21" s="608" t="s">
        <v>155</v>
      </c>
      <c r="D21" s="608"/>
      <c r="E21" s="608"/>
      <c r="F21" s="608"/>
      <c r="G21" s="608"/>
      <c r="H21" s="608"/>
      <c r="I21" s="608"/>
      <c r="J21" s="608"/>
      <c r="M21" s="261" t="s">
        <v>153</v>
      </c>
      <c r="N21" s="261"/>
      <c r="O21" s="261"/>
      <c r="P21" s="261"/>
    </row>
    <row r="22" spans="1:16" ht="18" customHeight="1">
      <c r="A22" s="235"/>
      <c r="B22" s="234"/>
      <c r="C22" s="608"/>
      <c r="D22" s="608"/>
      <c r="E22" s="608"/>
      <c r="F22" s="608"/>
      <c r="G22" s="608"/>
      <c r="H22" s="608"/>
      <c r="I22" s="608"/>
      <c r="J22" s="608"/>
      <c r="M22" s="261"/>
      <c r="N22" s="261"/>
      <c r="O22" s="261"/>
      <c r="P22" s="261"/>
    </row>
    <row r="23" spans="1:16" ht="17.5" customHeight="1">
      <c r="B23" s="234"/>
      <c r="C23" s="608"/>
      <c r="D23" s="608"/>
      <c r="E23" s="608"/>
      <c r="F23" s="608"/>
      <c r="G23" s="608"/>
      <c r="H23" s="608"/>
      <c r="I23" s="608"/>
      <c r="J23" s="608"/>
      <c r="M23" s="261"/>
      <c r="N23" s="261"/>
      <c r="O23" s="261"/>
      <c r="P23" s="261"/>
    </row>
    <row r="24" spans="1:16" ht="18" customHeight="1">
      <c r="B24" s="234"/>
      <c r="C24" s="608"/>
      <c r="D24" s="608"/>
      <c r="E24" s="608"/>
      <c r="F24" s="608"/>
      <c r="G24" s="608"/>
      <c r="H24" s="608"/>
      <c r="I24" s="608"/>
      <c r="J24" s="608"/>
      <c r="M24" s="261"/>
      <c r="N24" s="261"/>
      <c r="O24" s="261"/>
      <c r="P24" s="261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604" t="s">
        <v>152</v>
      </c>
      <c r="D27" s="604"/>
      <c r="E27" s="604"/>
      <c r="F27" s="604"/>
      <c r="G27" s="604"/>
      <c r="H27" s="604"/>
      <c r="I27" s="232">
        <f>'1м'!I27</f>
        <v>40</v>
      </c>
      <c r="J27" s="231" t="s">
        <v>151</v>
      </c>
    </row>
    <row r="28" spans="1:16" ht="12.65" customHeight="1">
      <c r="A28" s="230"/>
    </row>
    <row r="29" spans="1:16" ht="13" customHeight="1"/>
    <row r="30" spans="1:16" ht="15.5">
      <c r="B30" s="229" t="s">
        <v>150</v>
      </c>
      <c r="H30" s="229" t="s">
        <v>149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tabColor theme="2" tint="-0.249977111117893"/>
  </sheetPr>
  <dimension ref="A1:P39"/>
  <sheetViews>
    <sheetView topLeftCell="A14" workbookViewId="0">
      <selection activeCell="B20" sqref="B20"/>
    </sheetView>
  </sheetViews>
  <sheetFormatPr defaultColWidth="8.81640625" defaultRowHeight="12.5"/>
  <cols>
    <col min="1" max="1" width="12.81640625" style="131" customWidth="1"/>
    <col min="2" max="6" width="8.81640625" style="131"/>
    <col min="7" max="7" width="5.81640625" style="131" customWidth="1"/>
    <col min="8" max="8" width="7.453125" style="131" customWidth="1"/>
    <col min="9" max="16384" width="8.81640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605"/>
      <c r="D12" s="605"/>
      <c r="E12" s="605"/>
      <c r="F12" s="605"/>
      <c r="G12" s="605"/>
      <c r="H12" s="605"/>
    </row>
    <row r="13" spans="1:8" ht="45.65" customHeight="1">
      <c r="A13" s="235"/>
      <c r="C13" s="605"/>
      <c r="D13" s="605"/>
      <c r="E13" s="605"/>
      <c r="F13" s="605"/>
      <c r="G13" s="605"/>
      <c r="H13" s="605"/>
    </row>
    <row r="14" spans="1:8" ht="18" customHeight="1">
      <c r="A14" s="235"/>
    </row>
    <row r="15" spans="1:8">
      <c r="A15" s="235"/>
    </row>
    <row r="16" spans="1:8" ht="18" customHeight="1">
      <c r="A16" s="230"/>
      <c r="C16" s="606" t="s">
        <v>154</v>
      </c>
      <c r="D16" s="606"/>
      <c r="E16" s="606"/>
      <c r="F16" s="606"/>
      <c r="G16" s="606"/>
      <c r="H16" s="606"/>
    </row>
    <row r="17" spans="1:16" ht="18" customHeight="1">
      <c r="A17" s="235"/>
    </row>
    <row r="18" spans="1:16" ht="17.5" customHeight="1">
      <c r="A18" s="235"/>
      <c r="B18" s="607" t="str">
        <f>'НАГР ЛИСТ'!B16</f>
        <v>ГАВРИЛОВА Полина Сергеевна</v>
      </c>
      <c r="C18" s="607"/>
      <c r="D18" s="607"/>
      <c r="E18" s="607"/>
      <c r="F18" s="607"/>
      <c r="G18" s="607"/>
      <c r="H18" s="607"/>
      <c r="I18" s="607"/>
      <c r="J18" s="607"/>
    </row>
    <row r="19" spans="1:16" ht="18" customHeight="1">
      <c r="A19" s="235"/>
      <c r="B19" s="607"/>
      <c r="C19" s="607"/>
      <c r="D19" s="607"/>
      <c r="E19" s="607"/>
      <c r="F19" s="607"/>
      <c r="G19" s="607"/>
      <c r="H19" s="607"/>
      <c r="I19" s="607"/>
      <c r="J19" s="607"/>
    </row>
    <row r="20" spans="1:16">
      <c r="A20" s="235"/>
    </row>
    <row r="21" spans="1:16" ht="18" customHeight="1">
      <c r="A21" s="230"/>
      <c r="B21" s="234"/>
      <c r="C21" s="608" t="s">
        <v>156</v>
      </c>
      <c r="D21" s="608"/>
      <c r="E21" s="608"/>
      <c r="F21" s="608"/>
      <c r="G21" s="608"/>
      <c r="H21" s="608"/>
      <c r="I21" s="608"/>
      <c r="J21" s="608"/>
      <c r="M21" s="261" t="s">
        <v>153</v>
      </c>
      <c r="N21" s="261"/>
      <c r="O21" s="261"/>
      <c r="P21" s="261"/>
    </row>
    <row r="22" spans="1:16" ht="18" customHeight="1">
      <c r="A22" s="235"/>
      <c r="B22" s="234"/>
      <c r="C22" s="608"/>
      <c r="D22" s="608"/>
      <c r="E22" s="608"/>
      <c r="F22" s="608"/>
      <c r="G22" s="608"/>
      <c r="H22" s="608"/>
      <c r="I22" s="608"/>
      <c r="J22" s="608"/>
      <c r="M22" s="261"/>
      <c r="N22" s="261"/>
      <c r="O22" s="261"/>
      <c r="P22" s="261"/>
    </row>
    <row r="23" spans="1:16" ht="17.5" customHeight="1">
      <c r="B23" s="234"/>
      <c r="C23" s="608"/>
      <c r="D23" s="608"/>
      <c r="E23" s="608"/>
      <c r="F23" s="608"/>
      <c r="G23" s="608"/>
      <c r="H23" s="608"/>
      <c r="I23" s="608"/>
      <c r="J23" s="608"/>
      <c r="M23" s="261"/>
      <c r="N23" s="261"/>
      <c r="O23" s="261"/>
      <c r="P23" s="261"/>
    </row>
    <row r="24" spans="1:16" ht="18" customHeight="1">
      <c r="B24" s="234"/>
      <c r="C24" s="608"/>
      <c r="D24" s="608"/>
      <c r="E24" s="608"/>
      <c r="F24" s="608"/>
      <c r="G24" s="608"/>
      <c r="H24" s="608"/>
      <c r="I24" s="608"/>
      <c r="J24" s="608"/>
      <c r="M24" s="261"/>
      <c r="N24" s="261"/>
      <c r="O24" s="261"/>
      <c r="P24" s="261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604" t="s">
        <v>152</v>
      </c>
      <c r="D27" s="604"/>
      <c r="E27" s="604"/>
      <c r="F27" s="604"/>
      <c r="G27" s="604"/>
      <c r="H27" s="604"/>
      <c r="I27" s="232">
        <f>'1м'!I27</f>
        <v>40</v>
      </c>
      <c r="J27" s="231" t="s">
        <v>151</v>
      </c>
    </row>
    <row r="28" spans="1:16" ht="12.65" customHeight="1">
      <c r="A28" s="230"/>
    </row>
    <row r="29" spans="1:16" ht="13" customHeight="1"/>
    <row r="30" spans="1:16" ht="15.5">
      <c r="B30" s="229" t="s">
        <v>150</v>
      </c>
      <c r="H30" s="229" t="s">
        <v>149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tabColor theme="2" tint="-0.249977111117893"/>
  </sheetPr>
  <dimension ref="A1:P39"/>
  <sheetViews>
    <sheetView topLeftCell="A10" workbookViewId="0">
      <selection activeCell="L23" sqref="L23"/>
    </sheetView>
  </sheetViews>
  <sheetFormatPr defaultColWidth="8.81640625" defaultRowHeight="12.5"/>
  <cols>
    <col min="1" max="1" width="12.81640625" style="131" customWidth="1"/>
    <col min="2" max="6" width="8.81640625" style="131"/>
    <col min="7" max="7" width="5.81640625" style="131" customWidth="1"/>
    <col min="8" max="8" width="7.453125" style="131" customWidth="1"/>
    <col min="9" max="16384" width="8.81640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605"/>
      <c r="D12" s="605"/>
      <c r="E12" s="605"/>
      <c r="F12" s="605"/>
      <c r="G12" s="605"/>
      <c r="H12" s="605"/>
    </row>
    <row r="13" spans="1:8" ht="45.65" customHeight="1">
      <c r="A13" s="235"/>
      <c r="C13" s="605"/>
      <c r="D13" s="605"/>
      <c r="E13" s="605"/>
      <c r="F13" s="605"/>
      <c r="G13" s="605"/>
      <c r="H13" s="605"/>
    </row>
    <row r="14" spans="1:8" ht="18" customHeight="1">
      <c r="A14" s="235"/>
    </row>
    <row r="15" spans="1:8">
      <c r="A15" s="235"/>
    </row>
    <row r="16" spans="1:8" ht="18" customHeight="1">
      <c r="A16" s="230"/>
      <c r="C16" s="606" t="s">
        <v>154</v>
      </c>
      <c r="D16" s="606"/>
      <c r="E16" s="606"/>
      <c r="F16" s="606"/>
      <c r="G16" s="606"/>
      <c r="H16" s="606"/>
    </row>
    <row r="17" spans="1:16" ht="18" customHeight="1">
      <c r="A17" s="235"/>
    </row>
    <row r="18" spans="1:16" ht="17.5" customHeight="1">
      <c r="A18" s="235"/>
      <c r="B18" s="607" t="str">
        <f>'НАГР ЛИСТ'!B21</f>
        <v>ВИНИЧЕНКО Екатерина Константиновна</v>
      </c>
      <c r="C18" s="607"/>
      <c r="D18" s="607"/>
      <c r="E18" s="607"/>
      <c r="F18" s="607"/>
      <c r="G18" s="607"/>
      <c r="H18" s="607"/>
      <c r="I18" s="607"/>
      <c r="J18" s="607"/>
    </row>
    <row r="19" spans="1:16" ht="18" customHeight="1">
      <c r="A19" s="235"/>
      <c r="B19" s="607"/>
      <c r="C19" s="607"/>
      <c r="D19" s="607"/>
      <c r="E19" s="607"/>
      <c r="F19" s="607"/>
      <c r="G19" s="607"/>
      <c r="H19" s="607"/>
      <c r="I19" s="607"/>
      <c r="J19" s="607"/>
    </row>
    <row r="20" spans="1:16">
      <c r="A20" s="235"/>
    </row>
    <row r="21" spans="1:16" ht="18" customHeight="1">
      <c r="A21" s="230"/>
      <c r="B21" s="234"/>
      <c r="C21" s="608" t="s">
        <v>156</v>
      </c>
      <c r="D21" s="608"/>
      <c r="E21" s="608"/>
      <c r="F21" s="608"/>
      <c r="G21" s="608"/>
      <c r="H21" s="608"/>
      <c r="I21" s="608"/>
      <c r="J21" s="608"/>
      <c r="M21" s="261" t="s">
        <v>153</v>
      </c>
      <c r="N21" s="261"/>
      <c r="O21" s="261"/>
      <c r="P21" s="261"/>
    </row>
    <row r="22" spans="1:16" ht="18" customHeight="1">
      <c r="A22" s="235"/>
      <c r="B22" s="234"/>
      <c r="C22" s="608"/>
      <c r="D22" s="608"/>
      <c r="E22" s="608"/>
      <c r="F22" s="608"/>
      <c r="G22" s="608"/>
      <c r="H22" s="608"/>
      <c r="I22" s="608"/>
      <c r="J22" s="608"/>
      <c r="M22" s="261"/>
      <c r="N22" s="261"/>
      <c r="O22" s="261"/>
      <c r="P22" s="261"/>
    </row>
    <row r="23" spans="1:16" ht="17.5" customHeight="1">
      <c r="B23" s="234"/>
      <c r="C23" s="608"/>
      <c r="D23" s="608"/>
      <c r="E23" s="608"/>
      <c r="F23" s="608"/>
      <c r="G23" s="608"/>
      <c r="H23" s="608"/>
      <c r="I23" s="608"/>
      <c r="J23" s="608"/>
      <c r="M23" s="261"/>
      <c r="N23" s="261"/>
      <c r="O23" s="261"/>
      <c r="P23" s="261"/>
    </row>
    <row r="24" spans="1:16" ht="18" customHeight="1">
      <c r="B24" s="234"/>
      <c r="C24" s="608"/>
      <c r="D24" s="608"/>
      <c r="E24" s="608"/>
      <c r="F24" s="608"/>
      <c r="G24" s="608"/>
      <c r="H24" s="608"/>
      <c r="I24" s="608"/>
      <c r="J24" s="608"/>
      <c r="M24" s="261"/>
      <c r="N24" s="261"/>
      <c r="O24" s="261"/>
      <c r="P24" s="261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604" t="s">
        <v>152</v>
      </c>
      <c r="D27" s="604"/>
      <c r="E27" s="604"/>
      <c r="F27" s="604"/>
      <c r="G27" s="604"/>
      <c r="H27" s="604"/>
      <c r="I27" s="232">
        <f>'1м'!I27</f>
        <v>40</v>
      </c>
      <c r="J27" s="231" t="s">
        <v>151</v>
      </c>
    </row>
    <row r="28" spans="1:16" ht="12.65" customHeight="1">
      <c r="A28" s="230"/>
    </row>
    <row r="29" spans="1:16" ht="13" customHeight="1"/>
    <row r="30" spans="1:16" ht="15.5">
      <c r="B30" s="229" t="s">
        <v>150</v>
      </c>
      <c r="H30" s="229" t="s">
        <v>149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16</vt:i4>
      </vt:variant>
      <vt:variant>
        <vt:lpstr>Именованные диапазоны</vt:lpstr>
      </vt:variant>
      <vt:variant>
        <vt:i4>12</vt:i4>
      </vt:variant>
    </vt:vector>
  </HeadingPairs>
  <TitlesOfParts>
    <vt:vector size="28" baseType="lpstr">
      <vt:lpstr>пр.взв</vt:lpstr>
      <vt:lpstr>кр1</vt:lpstr>
      <vt:lpstr>кр2</vt:lpstr>
      <vt:lpstr>НАГР ЛИСТ</vt:lpstr>
      <vt:lpstr>пр.хода</vt:lpstr>
      <vt:lpstr>ит.пр</vt:lpstr>
      <vt:lpstr>кр3</vt:lpstr>
      <vt:lpstr>кр4</vt:lpstr>
      <vt:lpstr>кр5</vt:lpstr>
      <vt:lpstr>кр6</vt:lpstr>
      <vt:lpstr>кр7</vt:lpstr>
      <vt:lpstr>пф</vt:lpstr>
      <vt:lpstr>1м</vt:lpstr>
      <vt:lpstr>2м</vt:lpstr>
      <vt:lpstr>3м</vt:lpstr>
      <vt:lpstr>4м</vt:lpstr>
      <vt:lpstr>Е4кр</vt:lpstr>
      <vt:lpstr>Е5кр</vt:lpstr>
      <vt:lpstr>Е6кр</vt:lpstr>
      <vt:lpstr>Е7кр</vt:lpstr>
      <vt:lpstr>ЕстьПустые</vt:lpstr>
      <vt:lpstr>Н4кр</vt:lpstr>
      <vt:lpstr>Н5кр</vt:lpstr>
      <vt:lpstr>Н6кр</vt:lpstr>
      <vt:lpstr>Н7кр</vt:lpstr>
      <vt:lpstr>НетПустых</vt:lpstr>
      <vt:lpstr>пр.взв!разряд</vt:lpstr>
      <vt:lpstr>пр.взв!субъект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Денис</cp:lastModifiedBy>
  <cp:lastPrinted>2019-03-31T10:37:44Z</cp:lastPrinted>
  <dcterms:created xsi:type="dcterms:W3CDTF">1996-10-08T23:32:33Z</dcterms:created>
  <dcterms:modified xsi:type="dcterms:W3CDTF">2019-04-01T13:20:29Z</dcterms:modified>
</cp:coreProperties>
</file>