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Т Метелица19г\Муж — бс\"/>
    </mc:Choice>
  </mc:AlternateContent>
  <bookViews>
    <workbookView xWindow="120" yWindow="120" windowWidth="9720" windowHeight="7320"/>
  </bookViews>
  <sheets>
    <sheet name="пр.взв" sheetId="2" r:id="rId1"/>
    <sheet name="пр.хода" sheetId="3" r:id="rId2"/>
    <sheet name="Ит.пр" sheetId="1" r:id="rId3"/>
  </sheets>
  <externalReferences>
    <externalReference r:id="rId4"/>
  </externalReferences>
  <definedNames>
    <definedName name="разряд">пр.взв!$K$7:$K$22</definedName>
    <definedName name="субъект">пр.взв!$L$7:$L$22</definedName>
  </definedNames>
  <calcPr calcId="162913"/>
</workbook>
</file>

<file path=xl/calcChain.xml><?xml version="1.0" encoding="utf-8"?>
<calcChain xmlns="http://schemas.openxmlformats.org/spreadsheetml/2006/main">
  <c r="A3" i="2" l="1"/>
  <c r="B2" i="2"/>
  <c r="Y34" i="3" l="1"/>
  <c r="Y33" i="3"/>
  <c r="Z32" i="3"/>
  <c r="Y32" i="3"/>
  <c r="Z31" i="3"/>
  <c r="Y31" i="3"/>
  <c r="Z30" i="3"/>
  <c r="Y30" i="3"/>
  <c r="Z26" i="3" s="1"/>
  <c r="AA29" i="3"/>
  <c r="Z29" i="3"/>
  <c r="Y29" i="3"/>
  <c r="AA28" i="3"/>
  <c r="Y28" i="3"/>
  <c r="AA27" i="3"/>
  <c r="Y27" i="3"/>
  <c r="Y26" i="3"/>
  <c r="Y25" i="3"/>
  <c r="AA25" i="3" l="1"/>
  <c r="Z25" i="3"/>
  <c r="AA26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J12" i="1" l="1"/>
  <c r="V1" i="1" s="1"/>
  <c r="J10" i="1"/>
  <c r="J14" i="1"/>
  <c r="J8" i="1"/>
  <c r="O12" i="1" s="1"/>
  <c r="N7" i="2" a="1"/>
  <c r="N7" i="2" s="1"/>
  <c r="Q6" i="2" s="1"/>
  <c r="Z6" i="2" s="1"/>
  <c r="M7" i="2" a="1"/>
  <c r="M7" i="2" s="1"/>
  <c r="P7" i="2" s="1"/>
  <c r="Y7" i="2" s="1"/>
  <c r="J16" i="1"/>
  <c r="J4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6" i="2"/>
  <c r="S7" i="2"/>
  <c r="AB7" i="2" s="1"/>
  <c r="S9" i="2"/>
  <c r="AB9" i="2" s="1"/>
  <c r="AB8" i="1"/>
  <c r="T6" i="2"/>
  <c r="U8" i="2"/>
  <c r="AD8" i="2" s="1"/>
  <c r="S8" i="2"/>
  <c r="AB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R11" i="2" l="1"/>
  <c r="AA11" i="2" s="1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Z11" i="2"/>
  <c r="T11" i="2"/>
  <c r="AC11" i="2" s="1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Y12" i="2" l="1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Z12" i="2" s="1"/>
  <c r="U12" i="2"/>
  <c r="AD12" i="2" s="1"/>
  <c r="AA12" i="2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AB12" i="2" l="1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AB13" i="2"/>
  <c r="R15" i="2"/>
  <c r="AB14" i="2"/>
  <c r="AC14" i="2"/>
  <c r="Z13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C17" i="2"/>
  <c r="AB17" i="2"/>
  <c r="Z17" i="2" l="1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AB18" i="2" s="1"/>
  <c r="U18" i="2"/>
  <c r="AD18" i="2" s="1"/>
  <c r="AB16" i="2"/>
  <c r="AA16" i="2"/>
  <c r="Z16" i="2"/>
  <c r="AC16" i="2"/>
  <c r="AA17" i="2"/>
  <c r="V18" i="2"/>
  <c r="AE18" i="2" s="1"/>
  <c r="Z18" i="2"/>
  <c r="AA18" i="2" l="1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</calcChain>
</file>

<file path=xl/sharedStrings.xml><?xml version="1.0" encoding="utf-8"?>
<sst xmlns="http://schemas.openxmlformats.org/spreadsheetml/2006/main" count="310" uniqueCount="123">
  <si>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</si>
  <si>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</si>
  <si>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</si>
  <si>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</si>
  <si>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</si>
  <si>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</si>
  <si>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</si>
  <si>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</si>
  <si>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</si>
  <si>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</si>
  <si>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ФИНАЛ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</si>
  <si>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</si>
  <si>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</si>
  <si>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</si>
  <si>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</si>
  <si>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</si>
  <si>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3 место</t>
  </si>
  <si>
    <t>7-8</t>
  </si>
  <si>
    <t xml:space="preserve"> место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</si>
  <si>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</si>
  <si>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</si>
  <si>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</si>
  <si>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</si>
  <si>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</si>
  <si>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</si>
  <si>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</si>
  <si>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</si>
  <si>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</si>
  <si>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</si>
  <si>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</si>
  <si>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</si>
  <si>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</si>
  <si>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</si>
  <si>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</si>
  <si>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</si>
  <si>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</si>
  <si>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</si>
  <si>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</si>
  <si>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</si>
  <si>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</si>
  <si>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</si>
  <si>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</si>
  <si>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</si>
  <si>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</si>
  <si>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</si>
  <si>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</si>
  <si>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</si>
  <si>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</si>
  <si>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</si>
  <si>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</si>
  <si>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</si>
  <si>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</si>
  <si>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</si>
  <si>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</si>
  <si>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</si>
  <si>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</si>
  <si>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</si>
  <si>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</si>
  <si>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</si>
  <si>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</si>
  <si>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</si>
  <si>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</si>
  <si>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</si>
  <si>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</si>
  <si>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В.к. 62 кг.</t>
  </si>
  <si>
    <t>ГАПОЯН Альберт Акопович</t>
  </si>
  <si>
    <t>СФО</t>
  </si>
  <si>
    <t>Алтайский, Барнаул</t>
  </si>
  <si>
    <t>Жданов В.В., Тюкин С.Г.</t>
  </si>
  <si>
    <t>КАРМАНОВ Александр Дмитриевич</t>
  </si>
  <si>
    <t>02.02.00, КМС</t>
  </si>
  <si>
    <t>Кемеровская, Прокопьевск, МС</t>
  </si>
  <si>
    <t>Баглаев В.Г. Вальтеев А.М.</t>
  </si>
  <si>
    <t>ОЛЧОНОВ Амыр Юрьевич</t>
  </si>
  <si>
    <t>08.09.94, КМС</t>
  </si>
  <si>
    <t>Р.Алтай, Горно-Алтайск, Д</t>
  </si>
  <si>
    <t>Яйтаков А.М. Тайпинов В.Л.</t>
  </si>
  <si>
    <t>КЫНЫРАКОВ Борис Константинович</t>
  </si>
  <si>
    <t>24.06.94, КМС</t>
  </si>
  <si>
    <t>КЫНЫРАКОВ Александр Александрович</t>
  </si>
  <si>
    <t>18.02.97, КМС</t>
  </si>
  <si>
    <t>Бакрасов А.М.</t>
  </si>
  <si>
    <t>АРАМЗИН Урсул Амадуеевич</t>
  </si>
  <si>
    <t>21.02.00, КМС</t>
  </si>
  <si>
    <t>Р.Алтай, Горно-Алтайск, МС</t>
  </si>
  <si>
    <t>Чичинов Р.Р.</t>
  </si>
  <si>
    <t>УМЕТКУЛОВ Алишер Белекович</t>
  </si>
  <si>
    <t>01.09.99, КМС</t>
  </si>
  <si>
    <t>Новосибирская, Новосибирск, МС</t>
  </si>
  <si>
    <t>Федосеев М.Н.</t>
  </si>
  <si>
    <t>ДОБЫШ Кирилл Евгеньевич</t>
  </si>
  <si>
    <t>24.06.99, КМС</t>
  </si>
  <si>
    <t>Алтайский, Бийск</t>
  </si>
  <si>
    <t>Дурыманов Н.В. Гуляев А.М.</t>
  </si>
  <si>
    <t>РАХМАТОВ Ахмат Рустамович</t>
  </si>
  <si>
    <t>08.09.94, МС</t>
  </si>
  <si>
    <t>УФО</t>
  </si>
  <si>
    <t>Свердловская, Качканар, МО</t>
  </si>
  <si>
    <t>Сапунов Д.П. Мещерский В.В.</t>
  </si>
  <si>
    <t>ТЫДЫКОВ Дмитрий Васильевич</t>
  </si>
  <si>
    <t>07.08.86, КМС</t>
  </si>
  <si>
    <t>Куликов В.М.</t>
  </si>
  <si>
    <t>МАМЫШЕВ Александр Сергеевич</t>
  </si>
  <si>
    <t>28.05.97, КМС</t>
  </si>
  <si>
    <t>Р.Хакасия, Абакан, МС</t>
  </si>
  <si>
    <t>Дементьев В.П.</t>
  </si>
  <si>
    <t>КЕДЕНОВ Геннадий Эркименович</t>
  </si>
  <si>
    <t>14.10.95, КМС</t>
  </si>
  <si>
    <t>Конунов А.А.</t>
  </si>
  <si>
    <t>4:0</t>
  </si>
  <si>
    <t>31.10.96, КМС</t>
  </si>
  <si>
    <t>3:1</t>
  </si>
  <si>
    <t>БОЕВОЕ САМБО</t>
  </si>
  <si>
    <t xml:space="preserve">ИТОГОВЫЙ ПРОТОКОЛ   БОЕВОЕ САМБО                                                  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</si>
  <si>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</si>
  <si>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</si>
  <si>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Гл. судья, судья ВК</t>
  </si>
  <si>
    <t>А.В.Горбунов</t>
  </si>
  <si>
    <t>/г.Омск/</t>
  </si>
  <si>
    <t>Гл. секретарь, судья ВК</t>
  </si>
  <si>
    <t>Д.П.Сапунов</t>
  </si>
  <si>
    <t>/Свердловская/</t>
  </si>
  <si>
    <t>12 участников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</si>
</sst>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31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1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sz val="13"/>
      <name val="Arial Narrow"/>
      <family val="2"/>
      <charset val="204"/>
    </font>
    <font>
      <b/>
      <i/>
      <sz val="14"/>
      <name val="Arial Narrow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60">
    <xf numFmtId="0" fontId="0" fillId="0" borderId="0" xfId="0"/>
    <xf numFmtId="0" fontId="6" fillId="0" borderId="0" xfId="0" applyFont="1"/>
    <xf numFmtId="0" fontId="0" fillId="0" borderId="0" xfId="0" applyBorder="1"/>
    <xf numFmtId="0" fontId="1" fillId="0" borderId="0" xfId="0" applyFont="1"/>
    <xf numFmtId="0" fontId="6" fillId="0" borderId="0" xfId="0" applyFont="1" applyBorder="1"/>
    <xf numFmtId="0" fontId="6" fillId="0" borderId="0" xfId="1" applyFont="1" applyBorder="1" applyAlignment="1" applyProtection="1"/>
    <xf numFmtId="0" fontId="6" fillId="0" borderId="0" xfId="0" applyFont="1" applyAlignment="1">
      <alignment horizontal="center" vertical="center"/>
    </xf>
    <xf numFmtId="0" fontId="0" fillId="0" borderId="0" xfId="0" applyNumberFormat="1" applyBorder="1"/>
    <xf numFmtId="0" fontId="0" fillId="0" borderId="0" xfId="0" applyNumberFormat="1"/>
    <xf numFmtId="0" fontId="12" fillId="0" borderId="0" xfId="1" applyFont="1" applyAlignment="1" applyProtection="1"/>
    <xf numFmtId="0" fontId="12" fillId="0" borderId="0" xfId="0" applyFont="1"/>
    <xf numFmtId="0" fontId="12" fillId="0" borderId="0" xfId="0" applyFont="1" applyBorder="1"/>
    <xf numFmtId="0" fontId="13" fillId="0" borderId="0" xfId="1" applyFont="1" applyAlignment="1" applyProtection="1"/>
    <xf numFmtId="0" fontId="1" fillId="0" borderId="0" xfId="0" applyFont="1" applyBorder="1"/>
    <xf numFmtId="0" fontId="1" fillId="0" borderId="0" xfId="1" applyFont="1" applyBorder="1" applyAlignment="1" applyProtection="1">
      <alignment horizontal="left"/>
    </xf>
    <xf numFmtId="0" fontId="13" fillId="0" borderId="0" xfId="1" applyFont="1" applyBorder="1" applyAlignment="1" applyProtection="1"/>
    <xf numFmtId="0" fontId="7" fillId="0" borderId="0" xfId="0" applyFont="1"/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/>
      <protection locked="0" hidden="1"/>
    </xf>
    <xf numFmtId="0" fontId="2" fillId="0" borderId="17" xfId="0" applyFont="1" applyBorder="1" applyAlignment="1">
      <alignment horizontal="left" vertical="center"/>
    </xf>
    <xf numFmtId="0" fontId="2" fillId="0" borderId="18" xfId="0" applyNumberFormat="1" applyFont="1" applyFill="1" applyBorder="1" applyAlignment="1" applyProtection="1">
      <alignment horizontal="center"/>
      <protection locked="0" hidden="1"/>
    </xf>
    <xf numFmtId="0" fontId="2" fillId="4" borderId="18" xfId="0" applyNumberFormat="1" applyFont="1" applyFill="1" applyBorder="1" applyAlignment="1" applyProtection="1">
      <alignment horizontal="center"/>
      <protection locked="0" hidden="1"/>
    </xf>
    <xf numFmtId="0" fontId="2" fillId="0" borderId="19" xfId="0" applyFont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4" fillId="0" borderId="20" xfId="0" applyFont="1" applyBorder="1" applyAlignment="1" applyProtection="1">
      <alignment horizontal="center"/>
      <protection locked="0" hidden="1"/>
    </xf>
    <xf numFmtId="0" fontId="24" fillId="0" borderId="18" xfId="0" applyNumberFormat="1" applyFont="1" applyFill="1" applyBorder="1" applyAlignment="1" applyProtection="1">
      <alignment horizontal="center"/>
      <protection locked="0" hidden="1"/>
    </xf>
    <xf numFmtId="0" fontId="24" fillId="4" borderId="18" xfId="0" applyNumberFormat="1" applyFont="1" applyFill="1" applyBorder="1" applyAlignment="1" applyProtection="1">
      <alignment horizontal="center"/>
      <protection locked="0" hidden="1"/>
    </xf>
    <xf numFmtId="0" fontId="24" fillId="0" borderId="19" xfId="0" applyFont="1" applyBorder="1" applyAlignment="1" applyProtection="1">
      <alignment horizontal="center"/>
      <protection locked="0" hidden="1"/>
    </xf>
    <xf numFmtId="0" fontId="24" fillId="0" borderId="17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4" fillId="0" borderId="19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4" borderId="0" xfId="0" applyFill="1" applyBorder="1" applyProtection="1"/>
    <xf numFmtId="0" fontId="25" fillId="4" borderId="0" xfId="0" applyFont="1" applyFill="1" applyBorder="1" applyProtection="1"/>
    <xf numFmtId="0" fontId="25" fillId="0" borderId="0" xfId="0" applyFont="1" applyBorder="1" applyProtection="1"/>
    <xf numFmtId="0" fontId="0" fillId="5" borderId="0" xfId="0" applyFill="1" applyProtection="1"/>
    <xf numFmtId="0" fontId="0" fillId="0" borderId="0" xfId="0" applyProtection="1">
      <protection locked="0" hidden="1"/>
    </xf>
    <xf numFmtId="0" fontId="0" fillId="5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4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20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5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8" xfId="0" applyNumberFormat="1" applyFont="1" applyBorder="1" applyAlignment="1" applyProtection="1">
      <alignment horizontal="center" vertical="center"/>
      <protection locked="0"/>
    </xf>
    <xf numFmtId="0" fontId="11" fillId="0" borderId="0" xfId="0" applyNumberFormat="1" applyFont="1" applyBorder="1" applyAlignment="1" applyProtection="1">
      <alignment horizontal="right" vertical="center" wrapText="1"/>
      <protection locked="0"/>
    </xf>
    <xf numFmtId="0" fontId="11" fillId="0" borderId="0" xfId="0" applyNumberFormat="1" applyFont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4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6" xfId="0" applyBorder="1" applyProtection="1">
      <protection locked="0" hidden="1"/>
    </xf>
    <xf numFmtId="0" fontId="7" fillId="0" borderId="26" xfId="0" applyFont="1" applyBorder="1" applyProtection="1">
      <protection locked="0" hidden="1"/>
    </xf>
    <xf numFmtId="0" fontId="0" fillId="0" borderId="26" xfId="0" applyBorder="1" applyProtection="1">
      <protection hidden="1"/>
    </xf>
    <xf numFmtId="0" fontId="7" fillId="4" borderId="26" xfId="0" applyFont="1" applyFill="1" applyBorder="1" applyProtection="1">
      <protection locked="0" hidden="1"/>
    </xf>
    <xf numFmtId="0" fontId="7" fillId="4" borderId="0" xfId="0" applyFont="1" applyFill="1" applyProtection="1">
      <protection locked="0" hidden="1"/>
    </xf>
    <xf numFmtId="0" fontId="7" fillId="0" borderId="26" xfId="0" applyFont="1" applyFill="1" applyBorder="1" applyProtection="1">
      <protection hidden="1"/>
    </xf>
    <xf numFmtId="0" fontId="0" fillId="4" borderId="0" xfId="0" applyFill="1" applyProtection="1">
      <protection locked="0" hidden="1"/>
    </xf>
    <xf numFmtId="0" fontId="7" fillId="4" borderId="26" xfId="2" applyNumberFormat="1" applyFont="1" applyFill="1" applyBorder="1" applyProtection="1">
      <protection locked="0" hidden="1"/>
    </xf>
    <xf numFmtId="0" fontId="14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5" xfId="0" applyFont="1" applyFill="1" applyBorder="1" applyAlignment="1" applyProtection="1">
      <alignment horizontal="center" vertical="center"/>
      <protection locked="0"/>
    </xf>
    <xf numFmtId="0" fontId="3" fillId="0" borderId="27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/>
      <protection locked="0" hidden="1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2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26" xfId="0" applyBorder="1"/>
    <xf numFmtId="0" fontId="0" fillId="0" borderId="35" xfId="0" applyBorder="1"/>
    <xf numFmtId="0" fontId="2" fillId="0" borderId="36" xfId="0" applyFont="1" applyBorder="1" applyAlignment="1" applyProtection="1">
      <alignment horizontal="center"/>
      <protection locked="0" hidden="1"/>
    </xf>
    <xf numFmtId="0" fontId="2" fillId="0" borderId="37" xfId="0" applyFont="1" applyBorder="1" applyAlignment="1" applyProtection="1">
      <alignment horizontal="center"/>
      <protection locked="0" hidden="1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3" fillId="2" borderId="13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20" fillId="0" borderId="0" xfId="1" applyFont="1" applyBorder="1" applyAlignment="1" applyProtection="1"/>
    <xf numFmtId="0" fontId="12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23" fillId="0" borderId="0" xfId="0" applyFont="1" applyProtection="1">
      <protection locked="0" hidden="1"/>
    </xf>
    <xf numFmtId="0" fontId="0" fillId="0" borderId="12" xfId="0" applyBorder="1" applyProtection="1">
      <protection hidden="1"/>
    </xf>
    <xf numFmtId="0" fontId="7" fillId="0" borderId="12" xfId="0" applyFont="1" applyBorder="1" applyProtection="1">
      <protection hidden="1"/>
    </xf>
    <xf numFmtId="0" fontId="0" fillId="0" borderId="41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2" xfId="0" applyBorder="1" applyProtection="1">
      <protection hidden="1"/>
    </xf>
    <xf numFmtId="0" fontId="0" fillId="4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6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49" fontId="0" fillId="0" borderId="26" xfId="0" applyNumberFormat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vertical="center" wrapText="1"/>
    </xf>
    <xf numFmtId="0" fontId="8" fillId="4" borderId="26" xfId="0" applyFont="1" applyFill="1" applyBorder="1" applyAlignment="1">
      <alignment vertical="center" wrapText="1"/>
    </xf>
    <xf numFmtId="14" fontId="7" fillId="4" borderId="26" xfId="0" applyNumberFormat="1" applyFont="1" applyFill="1" applyBorder="1" applyAlignment="1">
      <alignment vertical="center" wrapText="1"/>
    </xf>
    <xf numFmtId="49" fontId="7" fillId="4" borderId="26" xfId="0" applyNumberFormat="1" applyFont="1" applyFill="1" applyBorder="1" applyAlignment="1">
      <alignment vertical="center" wrapText="1"/>
    </xf>
    <xf numFmtId="0" fontId="8" fillId="4" borderId="43" xfId="0" applyFont="1" applyFill="1" applyBorder="1" applyAlignment="1">
      <alignment vertical="center" wrapText="1"/>
    </xf>
    <xf numFmtId="0" fontId="0" fillId="0" borderId="8" xfId="0" applyBorder="1"/>
    <xf numFmtId="0" fontId="0" fillId="0" borderId="41" xfId="0" applyBorder="1" applyAlignment="1" applyProtection="1">
      <protection hidden="1"/>
    </xf>
    <xf numFmtId="0" fontId="8" fillId="0" borderId="26" xfId="0" applyFont="1" applyBorder="1" applyAlignment="1" applyProtection="1">
      <alignment horizontal="center" vertical="center" wrapText="1"/>
      <protection hidden="1"/>
    </xf>
    <xf numFmtId="0" fontId="27" fillId="4" borderId="26" xfId="0" applyFont="1" applyFill="1" applyBorder="1" applyProtection="1">
      <protection hidden="1"/>
    </xf>
    <xf numFmtId="0" fontId="7" fillId="4" borderId="41" xfId="2" applyNumberFormat="1" applyFont="1" applyFill="1" applyBorder="1" applyProtection="1">
      <protection locked="0" hidden="1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2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28" fillId="0" borderId="0" xfId="1" applyFont="1" applyAlignment="1" applyProtection="1"/>
    <xf numFmtId="0" fontId="20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17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39" xfId="0" applyNumberFormat="1" applyFont="1" applyBorder="1" applyAlignment="1">
      <alignment vertical="center" wrapText="1"/>
    </xf>
    <xf numFmtId="0" fontId="8" fillId="0" borderId="40" xfId="0" applyNumberFormat="1" applyFont="1" applyBorder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8" fillId="0" borderId="26" xfId="0" applyNumberFormat="1" applyFont="1" applyBorder="1" applyAlignment="1">
      <alignment vertical="center" wrapText="1"/>
    </xf>
    <xf numFmtId="0" fontId="8" fillId="0" borderId="26" xfId="1" applyFont="1" applyFill="1" applyBorder="1" applyAlignment="1" applyProtection="1">
      <alignment vertical="center" wrapText="1"/>
    </xf>
    <xf numFmtId="0" fontId="18" fillId="0" borderId="31" xfId="0" applyFont="1" applyBorder="1" applyAlignment="1">
      <alignment vertical="center" wrapText="1"/>
    </xf>
    <xf numFmtId="0" fontId="8" fillId="0" borderId="31" xfId="0" applyNumberFormat="1" applyFont="1" applyBorder="1" applyAlignment="1">
      <alignment vertical="center" wrapText="1"/>
    </xf>
    <xf numFmtId="0" fontId="8" fillId="0" borderId="31" xfId="1" applyFont="1" applyFill="1" applyBorder="1" applyAlignment="1" applyProtection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5" xfId="0" applyNumberFormat="1" applyFont="1" applyBorder="1" applyAlignment="1">
      <alignment vertical="center" wrapText="1"/>
    </xf>
    <xf numFmtId="0" fontId="18" fillId="0" borderId="39" xfId="0" applyFont="1" applyBorder="1" applyAlignment="1">
      <alignment vertical="center" wrapText="1"/>
    </xf>
    <xf numFmtId="0" fontId="8" fillId="0" borderId="39" xfId="1" applyFont="1" applyFill="1" applyBorder="1" applyAlignment="1" applyProtection="1">
      <alignment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49" fontId="9" fillId="0" borderId="34" xfId="0" applyNumberFormat="1" applyFont="1" applyBorder="1" applyAlignment="1">
      <alignment horizontal="center" vertical="center" wrapText="1"/>
    </xf>
    <xf numFmtId="49" fontId="9" fillId="0" borderId="38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49" fontId="9" fillId="0" borderId="18" xfId="0" applyNumberFormat="1" applyFont="1" applyBorder="1" applyAlignment="1">
      <alignment horizontal="center" vertical="center" wrapText="1"/>
    </xf>
    <xf numFmtId="0" fontId="18" fillId="0" borderId="42" xfId="0" applyFont="1" applyBorder="1" applyAlignment="1">
      <alignment vertical="center" wrapText="1"/>
    </xf>
    <xf numFmtId="0" fontId="8" fillId="0" borderId="42" xfId="0" applyNumberFormat="1" applyFont="1" applyBorder="1" applyAlignment="1">
      <alignment vertical="center" wrapText="1"/>
    </xf>
    <xf numFmtId="0" fontId="8" fillId="0" borderId="42" xfId="1" applyFont="1" applyFill="1" applyBorder="1" applyAlignment="1" applyProtection="1">
      <alignment vertical="center" wrapText="1"/>
    </xf>
    <xf numFmtId="0" fontId="8" fillId="0" borderId="24" xfId="0" applyNumberFormat="1" applyFont="1" applyBorder="1" applyAlignment="1">
      <alignment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22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 wrapText="1"/>
    </xf>
    <xf numFmtId="0" fontId="12" fillId="0" borderId="0" xfId="1" applyFont="1" applyBorder="1" applyAlignment="1" applyProtection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2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26" fillId="0" borderId="4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20" fillId="0" borderId="0" xfId="1" applyFont="1" applyAlignment="1" applyProtection="1">
      <alignment horizontal="left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4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 applyProtection="1">
      <alignment horizontal="center" vertical="center" wrapText="1"/>
      <protection locked="0"/>
    </xf>
    <xf numFmtId="0" fontId="8" fillId="0" borderId="16" xfId="1" applyFont="1" applyBorder="1" applyAlignment="1" applyProtection="1">
      <alignment horizontal="left" vertical="top" wrapText="1"/>
      <protection locked="0"/>
    </xf>
    <xf numFmtId="0" fontId="8" fillId="0" borderId="19" xfId="0" applyFont="1" applyBorder="1" applyAlignment="1" applyProtection="1">
      <alignment horizontal="left" vertical="top" wrapText="1"/>
      <protection locked="0"/>
    </xf>
    <xf numFmtId="0" fontId="8" fillId="0" borderId="16" xfId="1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8" fillId="0" borderId="48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8" fillId="0" borderId="20" xfId="1" applyFont="1" applyBorder="1" applyAlignment="1" applyProtection="1">
      <alignment horizontal="left" vertical="center" wrapText="1"/>
      <protection locked="0"/>
    </xf>
    <xf numFmtId="0" fontId="8" fillId="0" borderId="47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4" borderId="4" xfId="1" applyFont="1" applyFill="1" applyBorder="1" applyAlignment="1" applyProtection="1">
      <alignment horizontal="left" vertical="center" wrapText="1"/>
      <protection locked="0"/>
    </xf>
    <xf numFmtId="0" fontId="8" fillId="4" borderId="20" xfId="1" applyFont="1" applyFill="1" applyBorder="1" applyAlignment="1" applyProtection="1">
      <alignment horizontal="left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4" borderId="16" xfId="1" applyFont="1" applyFill="1" applyBorder="1" applyAlignment="1" applyProtection="1">
      <alignment horizontal="left" vertical="top" wrapText="1"/>
      <protection locked="0"/>
    </xf>
    <xf numFmtId="0" fontId="8" fillId="4" borderId="19" xfId="0" applyFont="1" applyFill="1" applyBorder="1" applyAlignment="1" applyProtection="1">
      <alignment horizontal="left" vertical="top" wrapText="1"/>
      <protection locked="0"/>
    </xf>
    <xf numFmtId="0" fontId="10" fillId="0" borderId="49" xfId="0" applyNumberFormat="1" applyFont="1" applyBorder="1" applyAlignment="1" applyProtection="1">
      <alignment horizontal="center" vertical="center" wrapText="1"/>
      <protection locked="0"/>
    </xf>
    <xf numFmtId="0" fontId="10" fillId="0" borderId="50" xfId="0" applyNumberFormat="1" applyFont="1" applyBorder="1" applyAlignment="1" applyProtection="1">
      <alignment horizontal="center" vertical="center" wrapText="1"/>
      <protection locked="0"/>
    </xf>
    <xf numFmtId="0" fontId="10" fillId="0" borderId="51" xfId="0" applyNumberFormat="1" applyFont="1" applyBorder="1" applyAlignment="1" applyProtection="1">
      <alignment horizontal="center" vertical="center" wrapText="1"/>
      <protection locked="0"/>
    </xf>
    <xf numFmtId="0" fontId="10" fillId="0" borderId="52" xfId="0" applyNumberFormat="1" applyFont="1" applyBorder="1" applyAlignment="1" applyProtection="1">
      <alignment horizontal="center" vertical="center" wrapText="1"/>
      <protection locked="0"/>
    </xf>
    <xf numFmtId="0" fontId="10" fillId="0" borderId="53" xfId="0" applyNumberFormat="1" applyFont="1" applyBorder="1" applyAlignment="1" applyProtection="1">
      <alignment horizontal="center" vertical="center" wrapText="1"/>
      <protection locked="0"/>
    </xf>
    <xf numFmtId="0" fontId="10" fillId="0" borderId="54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29" fillId="2" borderId="56" xfId="1" applyFont="1" applyFill="1" applyBorder="1" applyAlignment="1" applyProtection="1">
      <alignment horizontal="center" vertical="center" wrapText="1"/>
      <protection locked="0"/>
    </xf>
    <xf numFmtId="0" fontId="29" fillId="2" borderId="57" xfId="1" applyFont="1" applyFill="1" applyBorder="1" applyAlignment="1" applyProtection="1">
      <alignment horizontal="center" vertical="center" wrapText="1"/>
      <protection locked="0"/>
    </xf>
    <xf numFmtId="0" fontId="29" fillId="2" borderId="58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4" fillId="0" borderId="56" xfId="1" applyFont="1" applyBorder="1" applyAlignment="1" applyProtection="1">
      <alignment horizontal="center" vertical="center"/>
      <protection locked="0"/>
    </xf>
    <xf numFmtId="0" fontId="4" fillId="0" borderId="57" xfId="0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7" fillId="0" borderId="56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17" fillId="0" borderId="0" xfId="1" applyFont="1" applyAlignment="1" applyProtection="1">
      <alignment horizontal="left"/>
      <protection locked="0"/>
    </xf>
    <xf numFmtId="0" fontId="8" fillId="0" borderId="45" xfId="1" applyFont="1" applyBorder="1" applyAlignment="1" applyProtection="1">
      <alignment horizontal="center" vertical="center" wrapText="1"/>
      <protection locked="0"/>
    </xf>
    <xf numFmtId="0" fontId="0" fillId="0" borderId="59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6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8" fillId="0" borderId="16" xfId="1" applyFont="1" applyBorder="1" applyAlignment="1" applyProtection="1">
      <alignment horizontal="center" vertical="center" wrapText="1"/>
      <protection locked="0"/>
    </xf>
    <xf numFmtId="0" fontId="8" fillId="0" borderId="47" xfId="0" applyFont="1" applyBorder="1" applyAlignment="1" applyProtection="1">
      <alignment horizontal="center" vertical="center" wrapText="1"/>
      <protection locked="0"/>
    </xf>
    <xf numFmtId="0" fontId="8" fillId="0" borderId="19" xfId="0" applyFont="1" applyBorder="1" applyAlignment="1" applyProtection="1">
      <alignment horizontal="center" vertical="center" wrapText="1"/>
      <protection locked="0"/>
    </xf>
    <xf numFmtId="0" fontId="8" fillId="0" borderId="48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16" xfId="1" applyFont="1" applyBorder="1" applyAlignment="1" applyProtection="1">
      <alignment horizontal="center" vertical="top" wrapText="1"/>
      <protection locked="0"/>
    </xf>
    <xf numFmtId="0" fontId="8" fillId="0" borderId="19" xfId="0" applyFont="1" applyBorder="1" applyAlignment="1" applyProtection="1">
      <alignment horizontal="center" vertical="top" wrapText="1"/>
      <protection locked="0"/>
    </xf>
    <xf numFmtId="0" fontId="8" fillId="0" borderId="48" xfId="1" applyFont="1" applyBorder="1" applyAlignment="1" applyProtection="1">
      <alignment horizontal="center" vertical="top" wrapText="1"/>
      <protection locked="0"/>
    </xf>
    <xf numFmtId="0" fontId="8" fillId="0" borderId="3" xfId="1" applyFont="1" applyBorder="1" applyAlignment="1" applyProtection="1">
      <alignment horizontal="center" vertical="top" wrapText="1"/>
      <protection locked="0"/>
    </xf>
    <xf numFmtId="0" fontId="8" fillId="0" borderId="59" xfId="1" applyFont="1" applyBorder="1" applyAlignment="1" applyProtection="1">
      <alignment horizontal="center" vertical="center" wrapText="1"/>
      <protection locked="0"/>
    </xf>
    <xf numFmtId="0" fontId="8" fillId="0" borderId="10" xfId="1" applyFont="1" applyBorder="1" applyAlignment="1" applyProtection="1">
      <alignment horizontal="center" vertical="center" wrapText="1"/>
      <protection locked="0"/>
    </xf>
    <xf numFmtId="0" fontId="8" fillId="0" borderId="36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15" fillId="0" borderId="61" xfId="0" applyNumberFormat="1" applyFont="1" applyBorder="1" applyAlignment="1" applyProtection="1">
      <alignment horizontal="center" vertical="top" wrapText="1"/>
      <protection locked="0"/>
    </xf>
    <xf numFmtId="0" fontId="15" fillId="0" borderId="62" xfId="0" applyNumberFormat="1" applyFont="1" applyBorder="1" applyAlignment="1" applyProtection="1">
      <alignment horizontal="center" vertical="top" wrapText="1"/>
      <protection locked="0"/>
    </xf>
    <xf numFmtId="0" fontId="15" fillId="0" borderId="63" xfId="0" applyNumberFormat="1" applyFont="1" applyBorder="1" applyAlignment="1" applyProtection="1">
      <alignment horizontal="center" vertical="top" wrapText="1"/>
      <protection locked="0"/>
    </xf>
    <xf numFmtId="0" fontId="15" fillId="0" borderId="64" xfId="0" applyNumberFormat="1" applyFont="1" applyBorder="1" applyAlignment="1" applyProtection="1">
      <alignment horizontal="center" vertical="top" wrapText="1"/>
      <protection locked="0"/>
    </xf>
    <xf numFmtId="0" fontId="15" fillId="0" borderId="65" xfId="0" applyNumberFormat="1" applyFont="1" applyBorder="1" applyAlignment="1" applyProtection="1">
      <alignment horizontal="center" vertical="top" wrapText="1"/>
      <protection locked="0"/>
    </xf>
    <xf numFmtId="0" fontId="15" fillId="0" borderId="66" xfId="0" applyNumberFormat="1" applyFont="1" applyBorder="1" applyAlignment="1" applyProtection="1">
      <alignment horizontal="center" vertical="top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15" fillId="0" borderId="67" xfId="0" applyNumberFormat="1" applyFont="1" applyBorder="1" applyAlignment="1" applyProtection="1">
      <alignment horizontal="center" vertical="center" wrapText="1"/>
      <protection locked="0"/>
    </xf>
    <xf numFmtId="0" fontId="15" fillId="0" borderId="68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69" xfId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45" xfId="1" applyFont="1" applyBorder="1" applyAlignment="1" applyProtection="1">
      <alignment horizontal="center" vertical="top" wrapText="1"/>
      <protection locked="0"/>
    </xf>
    <xf numFmtId="0" fontId="8" fillId="0" borderId="59" xfId="1" applyFont="1" applyBorder="1" applyAlignment="1" applyProtection="1">
      <alignment horizontal="center" vertical="top" wrapText="1"/>
      <protection locked="0"/>
    </xf>
    <xf numFmtId="0" fontId="8" fillId="0" borderId="10" xfId="1" applyFont="1" applyBorder="1" applyAlignment="1" applyProtection="1">
      <alignment horizontal="center" vertical="top" wrapText="1"/>
      <protection locked="0"/>
    </xf>
    <xf numFmtId="0" fontId="8" fillId="0" borderId="36" xfId="1" applyFont="1" applyBorder="1" applyAlignment="1" applyProtection="1">
      <alignment horizontal="center" vertical="top" wrapText="1"/>
      <protection locked="0"/>
    </xf>
    <xf numFmtId="0" fontId="8" fillId="0" borderId="1" xfId="1" applyFont="1" applyBorder="1" applyAlignment="1" applyProtection="1">
      <alignment horizontal="center" vertical="top" wrapText="1"/>
      <protection locked="0"/>
    </xf>
    <xf numFmtId="0" fontId="8" fillId="0" borderId="60" xfId="1" applyFont="1" applyBorder="1" applyAlignment="1" applyProtection="1">
      <alignment horizontal="center" vertical="top" wrapText="1"/>
      <protection locked="0"/>
    </xf>
    <xf numFmtId="0" fontId="16" fillId="0" borderId="70" xfId="0" applyNumberFormat="1" applyFont="1" applyBorder="1" applyAlignment="1" applyProtection="1">
      <alignment horizontal="center" vertical="center" wrapText="1"/>
      <protection locked="0"/>
    </xf>
    <xf numFmtId="0" fontId="16" fillId="0" borderId="71" xfId="0" applyNumberFormat="1" applyFont="1" applyBorder="1" applyAlignment="1" applyProtection="1">
      <alignment horizontal="center" vertical="center" wrapText="1"/>
      <protection locked="0"/>
    </xf>
    <xf numFmtId="0" fontId="16" fillId="0" borderId="72" xfId="0" applyNumberFormat="1" applyFont="1" applyBorder="1" applyAlignment="1" applyProtection="1">
      <alignment horizontal="center" vertical="center" wrapText="1"/>
      <protection locked="0"/>
    </xf>
    <xf numFmtId="0" fontId="16" fillId="0" borderId="73" xfId="0" applyNumberFormat="1" applyFont="1" applyBorder="1" applyAlignment="1" applyProtection="1">
      <alignment horizontal="center" vertical="center" wrapText="1"/>
      <protection locked="0"/>
    </xf>
    <xf numFmtId="0" fontId="16" fillId="0" borderId="74" xfId="0" applyNumberFormat="1" applyFont="1" applyBorder="1" applyAlignment="1" applyProtection="1">
      <alignment horizontal="center" vertical="center" wrapText="1"/>
      <protection locked="0"/>
    </xf>
    <xf numFmtId="0" fontId="16" fillId="0" borderId="75" xfId="0" applyNumberFormat="1" applyFont="1" applyBorder="1" applyAlignment="1" applyProtection="1">
      <alignment horizontal="center" vertical="center" wrapText="1"/>
      <protection locked="0"/>
    </xf>
    <xf numFmtId="0" fontId="8" fillId="0" borderId="76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3" borderId="21" xfId="0" applyFont="1" applyFill="1" applyBorder="1" applyAlignment="1" applyProtection="1">
      <alignment horizontal="center" vertical="center"/>
      <protection locked="0" hidden="1"/>
    </xf>
    <xf numFmtId="0" fontId="3" fillId="3" borderId="79" xfId="0" applyFont="1" applyFill="1" applyBorder="1" applyAlignment="1" applyProtection="1">
      <alignment horizontal="center" vertical="center"/>
      <protection locked="0" hidden="1"/>
    </xf>
    <xf numFmtId="0" fontId="3" fillId="3" borderId="80" xfId="0" applyFont="1" applyFill="1" applyBorder="1" applyAlignment="1" applyProtection="1">
      <alignment horizontal="center" vertical="center"/>
      <protection locked="0" hidden="1"/>
    </xf>
    <xf numFmtId="0" fontId="21" fillId="0" borderId="4" xfId="0" applyFont="1" applyBorder="1" applyAlignment="1" applyProtection="1">
      <alignment horizontal="center" vertical="center" textRotation="90" wrapText="1"/>
    </xf>
    <xf numFmtId="0" fontId="21" fillId="0" borderId="3" xfId="0" applyFont="1" applyBorder="1" applyAlignment="1" applyProtection="1">
      <alignment horizontal="center" vertical="center" textRotation="90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55" xfId="0" applyFont="1" applyBorder="1" applyAlignment="1" applyProtection="1">
      <alignment horizontal="center" vertical="center" wrapText="1"/>
    </xf>
    <xf numFmtId="0" fontId="21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1" fillId="0" borderId="4" xfId="0" applyFont="1" applyBorder="1" applyAlignment="1" applyProtection="1">
      <alignment vertical="center" textRotation="90" wrapText="1"/>
    </xf>
    <xf numFmtId="0" fontId="21" fillId="0" borderId="3" xfId="0" applyFont="1" applyBorder="1" applyAlignment="1" applyProtection="1">
      <alignment vertical="center" textRotation="90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30" fillId="2" borderId="56" xfId="1" applyFont="1" applyFill="1" applyBorder="1" applyAlignment="1" applyProtection="1">
      <alignment horizontal="center" vertical="center" wrapText="1"/>
      <protection locked="0"/>
    </xf>
    <xf numFmtId="0" fontId="30" fillId="2" borderId="57" xfId="1" applyFont="1" applyFill="1" applyBorder="1" applyAlignment="1" applyProtection="1">
      <alignment horizontal="center" vertical="center" wrapText="1"/>
      <protection locked="0"/>
    </xf>
    <xf numFmtId="0" fontId="30" fillId="2" borderId="58" xfId="1" applyFont="1" applyFill="1" applyBorder="1" applyAlignment="1" applyProtection="1">
      <alignment horizontal="center" vertical="center" wrapText="1"/>
      <protection locked="0"/>
    </xf>
    <xf numFmtId="0" fontId="8" fillId="0" borderId="81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19" fillId="0" borderId="59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42;&#1058;%20&#1052;&#1077;&#1090;&#1077;&#1083;&#1080;&#1094;&#1072;18&#1075;/&#1052;&#1091;&#1078;/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 (2)"/>
      <sheetName val="реквизиты (2)"/>
      <sheetName val="рег.раб."/>
      <sheetName val="1дн"/>
      <sheetName val="Лист1"/>
      <sheetName val="Лист2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Всероссийские соревнования по самбо "Памяти Заслуженного тренера СССР, Почетного гражданина г.Барнаула В.А.Метелицы"</v>
          </cell>
        </row>
        <row r="3">
          <cell r="A3" t="str">
            <v>08-11 февраля 2019г.                                              г.Барнаул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AI153"/>
  <sheetViews>
    <sheetView tabSelected="1" topLeftCell="A16" workbookViewId="0">
      <selection activeCell="C9" sqref="C9:D9"/>
    </sheetView>
  </sheetViews>
  <sheetFormatPr defaultRowHeight="12.5"/>
  <cols>
    <col min="1" max="1" width="5.26953125" customWidth="1"/>
    <col min="2" max="2" width="4.81640625" customWidth="1"/>
    <col min="3" max="3" width="25.81640625" customWidth="1"/>
    <col min="4" max="4" width="12.26953125" customWidth="1"/>
    <col min="5" max="5" width="6.54296875" customWidth="1"/>
    <col min="6" max="6" width="19.26953125" customWidth="1"/>
    <col min="7" max="7" width="8" customWidth="1"/>
    <col min="8" max="8" width="17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4" width="4.26953125" hidden="1" customWidth="1"/>
    <col min="25" max="25" width="14.54296875" customWidth="1"/>
    <col min="26" max="27" width="4.2695312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9.25" customHeight="1">
      <c r="A1" s="220" t="s">
        <v>44</v>
      </c>
      <c r="B1" s="220"/>
      <c r="C1" s="220"/>
      <c r="D1" s="220"/>
      <c r="E1" s="220"/>
      <c r="F1" s="220"/>
      <c r="G1" s="220"/>
      <c r="H1" s="220"/>
    </row>
    <row r="2" spans="1:35" ht="54" customHeight="1">
      <c r="A2" s="149"/>
      <c r="B2" s="221" t="str">
        <f>[1]реквизиты!$A$2</f>
        <v>Всероссийские соревнования по самбо "Памяти Заслуженного тренера СССР, Почетного гражданина г.Барнаула В.А.Метелицы"</v>
      </c>
      <c r="C2" s="221"/>
      <c r="D2" s="221"/>
      <c r="E2" s="221"/>
      <c r="F2" s="221"/>
      <c r="G2" s="221"/>
      <c r="H2" s="150"/>
      <c r="I2" s="137"/>
      <c r="J2" s="137"/>
      <c r="K2" s="137"/>
    </row>
    <row r="3" spans="1:35" ht="12.75" customHeight="1">
      <c r="A3" s="222" t="str">
        <f>[1]реквизиты!$A$3</f>
        <v>08-11 февраля 2019г.                                              г.Барнаул</v>
      </c>
      <c r="B3" s="222"/>
      <c r="C3" s="222"/>
      <c r="D3" s="222"/>
      <c r="E3" s="222"/>
      <c r="F3" s="222"/>
      <c r="G3" s="222"/>
      <c r="H3" s="222"/>
    </row>
    <row r="4" spans="1:35" ht="12.75" customHeight="1">
      <c r="D4" s="1" t="s">
        <v>64</v>
      </c>
      <c r="E4" s="1"/>
      <c r="Y4" s="224" t="s">
        <v>42</v>
      </c>
      <c r="Z4" s="224"/>
      <c r="AA4" s="224"/>
      <c r="AB4" s="224"/>
      <c r="AC4" s="224"/>
      <c r="AD4" s="224"/>
      <c r="AE4" s="224"/>
    </row>
    <row r="5" spans="1:35" ht="12.75" customHeight="1" thickBot="1">
      <c r="A5" s="214" t="s">
        <v>45</v>
      </c>
      <c r="B5" s="223" t="s">
        <v>4</v>
      </c>
      <c r="C5" s="214" t="s">
        <v>5</v>
      </c>
      <c r="D5" s="214" t="s">
        <v>6</v>
      </c>
      <c r="E5" s="216" t="s">
        <v>7</v>
      </c>
      <c r="F5" s="217"/>
      <c r="G5" s="214" t="s">
        <v>9</v>
      </c>
      <c r="H5" s="214" t="s">
        <v>8</v>
      </c>
      <c r="Q5" s="225"/>
      <c r="R5" s="225"/>
      <c r="S5" s="225"/>
      <c r="T5" s="105"/>
      <c r="U5" s="105"/>
      <c r="V5" s="105"/>
      <c r="W5" s="105"/>
      <c r="X5" s="105"/>
      <c r="Y5" s="138"/>
      <c r="Z5" s="36"/>
      <c r="AA5" s="36"/>
      <c r="AB5" s="36"/>
      <c r="AC5" s="36"/>
      <c r="AD5" s="36"/>
      <c r="AE5" s="36"/>
    </row>
    <row r="6" spans="1:35" ht="13.5" thickBot="1">
      <c r="A6" s="215"/>
      <c r="B6" s="215"/>
      <c r="C6" s="215"/>
      <c r="D6" s="215"/>
      <c r="E6" s="218"/>
      <c r="F6" s="219"/>
      <c r="G6" s="215"/>
      <c r="H6" s="215"/>
      <c r="J6" s="106"/>
      <c r="K6" s="106"/>
      <c r="L6" s="106"/>
      <c r="M6" s="106"/>
      <c r="N6" s="106"/>
      <c r="O6" s="106"/>
      <c r="P6" s="151"/>
      <c r="Q6" s="151" t="str">
        <f>N7</f>
        <v>КМС</v>
      </c>
      <c r="R6" s="151" t="str">
        <f>N8</f>
        <v>МС</v>
      </c>
      <c r="S6" s="108" t="str">
        <f>N9</f>
        <v/>
      </c>
      <c r="T6" s="108" t="str">
        <f>N10</f>
        <v/>
      </c>
      <c r="U6" s="108" t="str">
        <f>N11</f>
        <v/>
      </c>
      <c r="V6" s="108" t="str">
        <f>N12</f>
        <v/>
      </c>
      <c r="W6" s="108" t="str">
        <f>N13</f>
        <v/>
      </c>
      <c r="X6" s="43"/>
      <c r="Y6" s="139" t="s">
        <v>43</v>
      </c>
      <c r="Z6" s="140" t="str">
        <f t="shared" ref="Z6:AF6" si="0">Q6</f>
        <v>КМС</v>
      </c>
      <c r="AA6" s="140" t="str">
        <f t="shared" si="0"/>
        <v>МС</v>
      </c>
      <c r="AB6" s="141" t="str">
        <f t="shared" si="0"/>
        <v/>
      </c>
      <c r="AC6" s="141" t="str">
        <f t="shared" si="0"/>
        <v/>
      </c>
      <c r="AD6" s="140" t="str">
        <f t="shared" si="0"/>
        <v/>
      </c>
      <c r="AE6" s="142" t="str">
        <f t="shared" si="0"/>
        <v/>
      </c>
      <c r="AF6" s="143" t="str">
        <f t="shared" si="0"/>
        <v/>
      </c>
    </row>
    <row r="7" spans="1:35" ht="22" customHeight="1">
      <c r="A7" s="152" t="s">
        <v>46</v>
      </c>
      <c r="B7" s="153">
        <v>1</v>
      </c>
      <c r="C7" s="154" t="s">
        <v>65</v>
      </c>
      <c r="D7" s="155" t="s">
        <v>110</v>
      </c>
      <c r="E7" s="156" t="s">
        <v>66</v>
      </c>
      <c r="F7" s="155" t="s">
        <v>67</v>
      </c>
      <c r="G7" s="157"/>
      <c r="H7" s="158" t="s">
        <v>68</v>
      </c>
      <c r="I7" s="159"/>
      <c r="J7" s="160">
        <v>1</v>
      </c>
      <c r="K7" s="148" t="str">
        <f>IFERROR(RIGHT(D7,LEN(D7)-FIND("*",SUBSTITUTE(D7," ","*",LEN(D7)-LEN(SUBSTITUTE(D7," ",""))))),D7)</f>
        <v>КМС</v>
      </c>
      <c r="L7" s="148" t="str">
        <f>IFERROR(LEFT(F7,FIND(",",F7)-1),F7)</f>
        <v>Алтайский</v>
      </c>
      <c r="M7" s="161" t="str">
        <f t="array" ref="M7">IFERROR(INDEX(субъект,MATCH(SUM(COUNTIF(M$6:M6,субъект)),COUNTIF(субъект,"&lt;"&amp;субъект),0)),"")</f>
        <v>Алтайский</v>
      </c>
      <c r="N7" s="161" t="str">
        <f t="array" ref="N7">IFERROR(INDEX(разряд,MATCH(SUM(COUNTIF(N$6:N6,разряд)),COUNTIF(разряд,"&lt;"&amp;разряд),0)),"")</f>
        <v>КМС</v>
      </c>
      <c r="O7" s="162">
        <v>1</v>
      </c>
      <c r="P7" s="107" t="str">
        <f t="shared" ref="P7:P22" si="1">M7</f>
        <v>Алтайский</v>
      </c>
      <c r="Q7" s="110">
        <f t="shared" ref="Q7:Q22" si="2">SUMIFS($J$7:$J$38,$L$7:$L$38,P7,$K$7:$K$38,Q$6)</f>
        <v>2</v>
      </c>
      <c r="R7" s="110">
        <f t="shared" ref="R7:R22" si="3">SUMIFS($J$7:$J$38,$L$7:$L$38,P7,$K$7:$K$38,R$6)</f>
        <v>0</v>
      </c>
      <c r="S7" s="163">
        <f t="shared" ref="S7:S22" si="4">SUMIFS($J$7:$J$38,$L$7:$L$38,P7,$K$7:$K$38,S$6)</f>
        <v>0</v>
      </c>
      <c r="T7" s="114">
        <f t="shared" ref="T7:T22" si="5">SUMIFS($J$7:$J$38,$L$7:$L$38,P7,$K$7:$K$38,T$6)</f>
        <v>0</v>
      </c>
      <c r="U7" s="114">
        <f t="shared" ref="U7:U22" si="6">SUMIFS($J$7:$J$38,$L$7:$L$38,P7,$K$7:$K$38,U$6)</f>
        <v>0</v>
      </c>
      <c r="V7" s="114">
        <f t="shared" ref="V7:V22" si="7">SUMIFS($J$7:$J$38,$L$7:$L$38,P7,$K$7:$K$38,V$6)</f>
        <v>0</v>
      </c>
      <c r="W7" s="114">
        <f t="shared" ref="W7:W22" si="8">SUMIFS($J$7:$J$38,$L$7:$L$38,P7,$K$7:$K$38,W$6)</f>
        <v>0</v>
      </c>
      <c r="X7" s="111"/>
      <c r="Y7" s="112" t="str">
        <f>P7</f>
        <v>Алтайский</v>
      </c>
      <c r="Z7" s="145">
        <f>IF(Q7=0," ",Q7)</f>
        <v>2</v>
      </c>
      <c r="AA7" s="145" t="str">
        <f>IF(R7=0," ",R7)</f>
        <v xml:space="preserve"> </v>
      </c>
      <c r="AB7" s="145" t="str">
        <f>IF(S7=0," ",S7)</f>
        <v xml:space="preserve"> </v>
      </c>
      <c r="AC7" s="145" t="str">
        <f>IF(T7=0," ",T7)</f>
        <v xml:space="preserve"> </v>
      </c>
      <c r="AD7" s="145" t="str">
        <f t="shared" ref="AD7:AF22" si="9">IF(U7=0," ",U7)</f>
        <v xml:space="preserve"> </v>
      </c>
      <c r="AE7" s="109" t="str">
        <f t="shared" si="9"/>
        <v xml:space="preserve"> </v>
      </c>
      <c r="AF7" s="109" t="str">
        <f t="shared" si="9"/>
        <v xml:space="preserve"> </v>
      </c>
      <c r="AH7" s="226">
        <f>SUM(Z7:AF22)</f>
        <v>12</v>
      </c>
      <c r="AI7" s="227"/>
    </row>
    <row r="8" spans="1:35" ht="22" customHeight="1" thickBot="1">
      <c r="A8" s="152" t="s">
        <v>47</v>
      </c>
      <c r="B8" s="153">
        <v>2</v>
      </c>
      <c r="C8" s="154" t="s">
        <v>69</v>
      </c>
      <c r="D8" s="155" t="s">
        <v>70</v>
      </c>
      <c r="E8" s="156" t="s">
        <v>66</v>
      </c>
      <c r="F8" s="155" t="s">
        <v>71</v>
      </c>
      <c r="G8" s="157"/>
      <c r="H8" s="158" t="s">
        <v>72</v>
      </c>
      <c r="I8" s="159"/>
      <c r="J8" s="160">
        <v>1</v>
      </c>
      <c r="K8" s="148" t="str">
        <f t="shared" ref="K8:K22" si="10">IFERROR(RIGHT(D8,LEN(D8)-FIND("*",SUBSTITUTE(D8," ","*",LEN(D8)-LEN(SUBSTITUTE(D8," ",""))))),D8)</f>
        <v>КМС</v>
      </c>
      <c r="L8" s="148" t="str">
        <f t="shared" ref="L8:L22" si="11">IFERROR(LEFT(F8,FIND(",",F8)-1),F8)</f>
        <v>Кемеровская</v>
      </c>
      <c r="M8" s="161" t="str">
        <f t="array" ref="M8">IFERROR(INDEX(субъект,MATCH(SUM(COUNTIF(M$6:M7,субъект)),COUNTIF(субъект,"&lt;"&amp;субъект),0)),"")</f>
        <v>Кемеровская</v>
      </c>
      <c r="N8" s="161" t="str">
        <f t="array" ref="N8">IFERROR(INDEX(разряд,MATCH(SUM(COUNTIF(N$6:N7,разряд)),COUNTIF(разряд,"&lt;"&amp;разряд),0)),"")</f>
        <v>МС</v>
      </c>
      <c r="O8" s="162">
        <v>2</v>
      </c>
      <c r="P8" s="107" t="str">
        <f t="shared" si="1"/>
        <v>Кемеровская</v>
      </c>
      <c r="Q8" s="110">
        <f t="shared" si="2"/>
        <v>1</v>
      </c>
      <c r="R8" s="110">
        <f t="shared" si="3"/>
        <v>0</v>
      </c>
      <c r="S8" s="163">
        <f t="shared" si="4"/>
        <v>0</v>
      </c>
      <c r="T8" s="114">
        <f t="shared" si="5"/>
        <v>0</v>
      </c>
      <c r="U8" s="114">
        <f t="shared" si="6"/>
        <v>0</v>
      </c>
      <c r="V8" s="114">
        <f t="shared" si="7"/>
        <v>0</v>
      </c>
      <c r="W8" s="114">
        <f t="shared" si="8"/>
        <v>0</v>
      </c>
      <c r="X8" s="113"/>
      <c r="Y8" s="109" t="str">
        <f t="shared" ref="Y8:Y22" si="12">P8</f>
        <v>Кемеровская</v>
      </c>
      <c r="Z8" s="109">
        <f>IF($Y$8=$Y$7," ",IF(Q8=0," ",Q8))</f>
        <v>1</v>
      </c>
      <c r="AA8" s="109" t="str">
        <f>IF($Y$8=$Y$7," ",IF(R8=0," ",R8))</f>
        <v xml:space="preserve"> </v>
      </c>
      <c r="AB8" s="109" t="str">
        <f>IF($Y$8=$Y$7," ",IF(S8=0," ",S8))</f>
        <v xml:space="preserve"> </v>
      </c>
      <c r="AC8" s="109" t="str">
        <f>IF($Y$8=$Y$7," ",IF(T8=0," ",T8))</f>
        <v xml:space="preserve"> </v>
      </c>
      <c r="AD8" s="109" t="str">
        <f t="shared" si="9"/>
        <v xml:space="preserve"> </v>
      </c>
      <c r="AE8" s="109" t="str">
        <f t="shared" si="9"/>
        <v xml:space="preserve"> </v>
      </c>
      <c r="AF8" s="109" t="str">
        <f t="shared" si="9"/>
        <v xml:space="preserve"> </v>
      </c>
      <c r="AH8" s="228"/>
      <c r="AI8" s="229"/>
    </row>
    <row r="9" spans="1:35" ht="22" customHeight="1">
      <c r="A9" s="152" t="s">
        <v>48</v>
      </c>
      <c r="B9" s="153">
        <v>3</v>
      </c>
      <c r="C9" s="154" t="s">
        <v>73</v>
      </c>
      <c r="D9" s="155" t="s">
        <v>74</v>
      </c>
      <c r="E9" s="156" t="s">
        <v>66</v>
      </c>
      <c r="F9" s="155" t="s">
        <v>75</v>
      </c>
      <c r="G9" s="157"/>
      <c r="H9" s="158" t="s">
        <v>76</v>
      </c>
      <c r="I9" s="159"/>
      <c r="J9" s="160">
        <v>1</v>
      </c>
      <c r="K9" s="148" t="str">
        <f t="shared" si="10"/>
        <v>КМС</v>
      </c>
      <c r="L9" s="148" t="str">
        <f t="shared" si="11"/>
        <v>Р.Алтай</v>
      </c>
      <c r="M9" s="161" t="str">
        <f t="array" ref="M9">IFERROR(INDEX(субъект,MATCH(SUM(COUNTIF(M$6:M8,субъект)),COUNTIF(субъект,"&lt;"&amp;субъект),0)),"")</f>
        <v>Новосибирская</v>
      </c>
      <c r="N9" s="161" t="str">
        <f t="array" ref="N9">IFERROR(INDEX(разряд,MATCH(SUM(COUNTIF(N$6:N8,разряд)),COUNTIF(разряд,"&lt;"&amp;разряд),0)),"")</f>
        <v/>
      </c>
      <c r="O9" s="162">
        <v>3</v>
      </c>
      <c r="P9" s="107" t="str">
        <f t="shared" si="1"/>
        <v>Новосибирская</v>
      </c>
      <c r="Q9" s="110">
        <f t="shared" si="2"/>
        <v>2</v>
      </c>
      <c r="R9" s="110">
        <f t="shared" si="3"/>
        <v>0</v>
      </c>
      <c r="S9" s="163">
        <f t="shared" si="4"/>
        <v>0</v>
      </c>
      <c r="T9" s="114">
        <f t="shared" si="5"/>
        <v>0</v>
      </c>
      <c r="U9" s="114">
        <f t="shared" si="6"/>
        <v>0</v>
      </c>
      <c r="V9" s="114">
        <f t="shared" si="7"/>
        <v>0</v>
      </c>
      <c r="W9" s="114">
        <f t="shared" si="8"/>
        <v>0</v>
      </c>
      <c r="X9" s="113"/>
      <c r="Y9" s="109" t="str">
        <f t="shared" si="12"/>
        <v>Новосибирская</v>
      </c>
      <c r="Z9" s="109">
        <f>IF(OR($Y9=$Y7,$Y9=$Y8)," ",IF(Q9=0," ",Q9))</f>
        <v>2</v>
      </c>
      <c r="AA9" s="109" t="str">
        <f>IF(OR($Y9=$Y7,$Y9=$Y8)," ",IF(R9=0," ",R9))</f>
        <v xml:space="preserve"> </v>
      </c>
      <c r="AB9" s="109" t="str">
        <f>IF(OR($Y9=$Y7,$Y9=$Y8)," ",IF(S9=0," ",S9))</f>
        <v xml:space="preserve"> </v>
      </c>
      <c r="AC9" s="109" t="str">
        <f>IF(OR($Y9=$Y7,$Y9=$Y8)," ",IF(T9=0," ",T9))</f>
        <v xml:space="preserve"> </v>
      </c>
      <c r="AD9" s="109" t="str">
        <f t="shared" si="9"/>
        <v xml:space="preserve"> </v>
      </c>
      <c r="AE9" s="109" t="str">
        <f t="shared" si="9"/>
        <v xml:space="preserve"> </v>
      </c>
      <c r="AF9" s="109" t="str">
        <f t="shared" si="9"/>
        <v xml:space="preserve"> </v>
      </c>
    </row>
    <row r="10" spans="1:35" ht="22" customHeight="1">
      <c r="A10" s="152" t="s">
        <v>49</v>
      </c>
      <c r="B10" s="153">
        <v>4</v>
      </c>
      <c r="C10" s="154" t="s">
        <v>77</v>
      </c>
      <c r="D10" s="155" t="s">
        <v>78</v>
      </c>
      <c r="E10" s="156" t="s">
        <v>66</v>
      </c>
      <c r="F10" s="155" t="s">
        <v>75</v>
      </c>
      <c r="G10" s="157"/>
      <c r="H10" s="158" t="s">
        <v>76</v>
      </c>
      <c r="I10" s="159"/>
      <c r="J10" s="160">
        <v>1</v>
      </c>
      <c r="K10" s="148" t="str">
        <f t="shared" si="10"/>
        <v>КМС</v>
      </c>
      <c r="L10" s="148" t="str">
        <f t="shared" si="11"/>
        <v>Р.Алтай</v>
      </c>
      <c r="M10" s="161" t="str">
        <f t="array" ref="M10">IFERROR(INDEX(субъект,MATCH(SUM(COUNTIF(M$6:M9,субъект)),COUNTIF(субъект,"&lt;"&amp;субъект),0)),"")</f>
        <v>Р.Алтай</v>
      </c>
      <c r="N10" s="161" t="str">
        <f t="array" ref="N10">IFERROR(INDEX(разряд,MATCH(SUM(COUNTIF(N$6:N9,разряд)),COUNTIF(разряд,"&lt;"&amp;разряд),0)),"")</f>
        <v/>
      </c>
      <c r="O10" s="162">
        <v>4</v>
      </c>
      <c r="P10" s="107" t="str">
        <f t="shared" si="1"/>
        <v>Р.Алтай</v>
      </c>
      <c r="Q10" s="110">
        <f t="shared" si="2"/>
        <v>5</v>
      </c>
      <c r="R10" s="110">
        <f t="shared" si="3"/>
        <v>0</v>
      </c>
      <c r="S10" s="163">
        <f t="shared" si="4"/>
        <v>0</v>
      </c>
      <c r="T10" s="114">
        <f t="shared" si="5"/>
        <v>0</v>
      </c>
      <c r="U10" s="114">
        <f t="shared" si="6"/>
        <v>0</v>
      </c>
      <c r="V10" s="114">
        <f t="shared" si="7"/>
        <v>0</v>
      </c>
      <c r="W10" s="114">
        <f t="shared" si="8"/>
        <v>0</v>
      </c>
      <c r="X10" s="43"/>
      <c r="Y10" s="109" t="str">
        <f t="shared" si="12"/>
        <v>Р.Алтай</v>
      </c>
      <c r="Z10" s="109">
        <f>IF(OR($Y10=$Y8,$Y10=$Y9,$Y10=$Y7)," ",IF(Q10=0," ",Q10))</f>
        <v>5</v>
      </c>
      <c r="AA10" s="109" t="str">
        <f>IF(OR($Y10=$Y8,$Y10=$Y9,$Y10=$Y7)," ",IF(R10=0," ",R10))</f>
        <v xml:space="preserve"> </v>
      </c>
      <c r="AB10" s="109" t="str">
        <f>IF(OR($Y10=$Y8,$Y10=$Y9,$Y10=$Y7)," ",IF(S10=0," ",S10))</f>
        <v xml:space="preserve"> </v>
      </c>
      <c r="AC10" s="109" t="str">
        <f>IF(OR($Y10=$Y8,$Y10=$Y9,$Y10=$Y7)," ",IF(T10=0," ",T10))</f>
        <v xml:space="preserve"> </v>
      </c>
      <c r="AD10" s="109" t="str">
        <f t="shared" si="9"/>
        <v xml:space="preserve"> </v>
      </c>
      <c r="AE10" s="109" t="str">
        <f t="shared" si="9"/>
        <v xml:space="preserve"> </v>
      </c>
      <c r="AF10" s="109" t="str">
        <f t="shared" si="9"/>
        <v xml:space="preserve"> </v>
      </c>
    </row>
    <row r="11" spans="1:35" ht="22" customHeight="1">
      <c r="A11" s="152" t="s">
        <v>50</v>
      </c>
      <c r="B11" s="153">
        <v>5</v>
      </c>
      <c r="C11" s="154" t="s">
        <v>79</v>
      </c>
      <c r="D11" s="155" t="s">
        <v>80</v>
      </c>
      <c r="E11" s="156" t="s">
        <v>66</v>
      </c>
      <c r="F11" s="155" t="s">
        <v>75</v>
      </c>
      <c r="G11" s="157"/>
      <c r="H11" s="158" t="s">
        <v>81</v>
      </c>
      <c r="I11" s="159"/>
      <c r="J11" s="160">
        <v>1</v>
      </c>
      <c r="K11" s="148" t="str">
        <f t="shared" si="10"/>
        <v>КМС</v>
      </c>
      <c r="L11" s="148" t="str">
        <f t="shared" si="11"/>
        <v>Р.Алтай</v>
      </c>
      <c r="M11" s="161" t="str">
        <f t="array" ref="M11">IFERROR(INDEX(субъект,MATCH(SUM(COUNTIF(M$6:M10,субъект)),COUNTIF(субъект,"&lt;"&amp;субъект),0)),"")</f>
        <v>Р.Хакасия</v>
      </c>
      <c r="N11" s="161" t="str">
        <f t="array" ref="N11">IFERROR(INDEX(разряд,MATCH(SUM(COUNTIF(N$6:N10,разряд)),COUNTIF(разряд,"&lt;"&amp;разряд),0)),"")</f>
        <v/>
      </c>
      <c r="O11" s="162">
        <v>5</v>
      </c>
      <c r="P11" s="107" t="str">
        <f t="shared" si="1"/>
        <v>Р.Хакасия</v>
      </c>
      <c r="Q11" s="110">
        <f t="shared" si="2"/>
        <v>1</v>
      </c>
      <c r="R11" s="110">
        <f t="shared" si="3"/>
        <v>0</v>
      </c>
      <c r="S11" s="163">
        <f t="shared" si="4"/>
        <v>0</v>
      </c>
      <c r="T11" s="114">
        <f t="shared" si="5"/>
        <v>0</v>
      </c>
      <c r="U11" s="114">
        <f t="shared" si="6"/>
        <v>0</v>
      </c>
      <c r="V11" s="114">
        <f t="shared" si="7"/>
        <v>0</v>
      </c>
      <c r="W11" s="114">
        <f t="shared" si="8"/>
        <v>0</v>
      </c>
      <c r="X11" s="113"/>
      <c r="Y11" s="109" t="str">
        <f t="shared" si="12"/>
        <v>Р.Хакасия</v>
      </c>
      <c r="Z11" s="109">
        <f>IF(OR($Y11=$Y9,$Y11=$Y10,$Y11=$Y8,$Y11=$Y7)," ",IF(Q11=0," ",Q11))</f>
        <v>1</v>
      </c>
      <c r="AA11" s="109" t="str">
        <f>IF(OR($Y11=$Y9,$Y11=$Y10,$Y11=$Y8,$Y11=$Y7)," ",IF(R11=0," ",R11))</f>
        <v xml:space="preserve"> </v>
      </c>
      <c r="AB11" s="109" t="str">
        <f>IF(OR($Y11=$Y9,$Y11=$Y10,$Y11=$Y8,$Y11=$Y7)," ",IF(S11=0," ",S11))</f>
        <v xml:space="preserve"> </v>
      </c>
      <c r="AC11" s="109" t="str">
        <f>IF(OR($Y11=$Y9,$Y11=$Y10,$Y11=$Y8,$Y11=$Y7)," ",IF(T11=0," ",T11))</f>
        <v xml:space="preserve"> </v>
      </c>
      <c r="AD11" s="109" t="str">
        <f t="shared" si="9"/>
        <v xml:space="preserve"> </v>
      </c>
      <c r="AE11" s="109" t="str">
        <f t="shared" si="9"/>
        <v xml:space="preserve"> </v>
      </c>
      <c r="AF11" s="109" t="str">
        <f t="shared" si="9"/>
        <v xml:space="preserve"> </v>
      </c>
    </row>
    <row r="12" spans="1:35" ht="22" customHeight="1">
      <c r="A12" s="152" t="s">
        <v>51</v>
      </c>
      <c r="B12" s="153">
        <v>6</v>
      </c>
      <c r="C12" s="154" t="s">
        <v>82</v>
      </c>
      <c r="D12" s="155" t="s">
        <v>83</v>
      </c>
      <c r="E12" s="156" t="s">
        <v>66</v>
      </c>
      <c r="F12" s="155" t="s">
        <v>84</v>
      </c>
      <c r="G12" s="157"/>
      <c r="H12" s="158" t="s">
        <v>85</v>
      </c>
      <c r="I12" s="159"/>
      <c r="J12" s="160">
        <v>1</v>
      </c>
      <c r="K12" s="148" t="str">
        <f t="shared" si="10"/>
        <v>КМС</v>
      </c>
      <c r="L12" s="148" t="str">
        <f t="shared" si="11"/>
        <v>Р.Алтай</v>
      </c>
      <c r="M12" s="161" t="str">
        <f t="array" ref="M12">IFERROR(INDEX(субъект,MATCH(SUM(COUNTIF(M$6:M11,субъект)),COUNTIF(субъект,"&lt;"&amp;субъект),0)),"")</f>
        <v>Свердловская</v>
      </c>
      <c r="N12" s="161" t="str">
        <f t="array" ref="N12">IFERROR(INDEX(разряд,MATCH(SUM(COUNTIF(N$6:N11,разряд)),COUNTIF(разряд,"&lt;"&amp;разряд),0)),"")</f>
        <v/>
      </c>
      <c r="O12" s="162">
        <v>6</v>
      </c>
      <c r="P12" s="107" t="str">
        <f t="shared" si="1"/>
        <v>Свердловская</v>
      </c>
      <c r="Q12" s="110">
        <f t="shared" si="2"/>
        <v>0</v>
      </c>
      <c r="R12" s="110">
        <f t="shared" si="3"/>
        <v>1</v>
      </c>
      <c r="S12" s="163">
        <f t="shared" si="4"/>
        <v>0</v>
      </c>
      <c r="T12" s="114">
        <f t="shared" si="5"/>
        <v>0</v>
      </c>
      <c r="U12" s="114">
        <f t="shared" si="6"/>
        <v>0</v>
      </c>
      <c r="V12" s="114">
        <f t="shared" si="7"/>
        <v>0</v>
      </c>
      <c r="W12" s="114">
        <f t="shared" si="8"/>
        <v>0</v>
      </c>
      <c r="X12" s="43"/>
      <c r="Y12" s="109" t="str">
        <f t="shared" si="12"/>
        <v>Свердловская</v>
      </c>
      <c r="Z12" s="109" t="str">
        <f>IF(OR($Y12=$Y10,$Y12=$Y11,$Y12=$Y9,$Y12=$Y8,$Y12=$Y7)," ",IF(Q12=0," ",Q12))</f>
        <v xml:space="preserve"> </v>
      </c>
      <c r="AA12" s="109">
        <f>IF(OR($Y12=$Y10,$Y12=$Y11,$Y12=$Y9,$Y12=$Y8,$Y12=$Y7)," ",IF(R12=0," ",R12))</f>
        <v>1</v>
      </c>
      <c r="AB12" s="109" t="str">
        <f>IF(OR($Y12=$Y10,$Y12=$Y11,$Y12=$Y9,$Y12=$Y8,$Y12=$Y7)," ",IF(S12=0," ",S12))</f>
        <v xml:space="preserve"> </v>
      </c>
      <c r="AC12" s="109" t="str">
        <f>IF(OR($Y12=$Y10,$Y12=$Y11,$Y12=$Y9,$Y12=$Y8,$Y12=$Y7)," ",IF(T12=0," ",T12))</f>
        <v xml:space="preserve"> </v>
      </c>
      <c r="AD12" s="109" t="str">
        <f t="shared" si="9"/>
        <v xml:space="preserve"> </v>
      </c>
      <c r="AE12" s="109" t="str">
        <f t="shared" si="9"/>
        <v xml:space="preserve"> </v>
      </c>
      <c r="AF12" s="109" t="str">
        <f t="shared" si="9"/>
        <v xml:space="preserve"> </v>
      </c>
    </row>
    <row r="13" spans="1:35" ht="22" customHeight="1">
      <c r="A13" s="152" t="s">
        <v>52</v>
      </c>
      <c r="B13" s="153">
        <v>7</v>
      </c>
      <c r="C13" s="154" t="s">
        <v>86</v>
      </c>
      <c r="D13" s="155" t="s">
        <v>87</v>
      </c>
      <c r="E13" s="156" t="s">
        <v>66</v>
      </c>
      <c r="F13" s="155" t="s">
        <v>88</v>
      </c>
      <c r="G13" s="157"/>
      <c r="H13" s="158" t="s">
        <v>89</v>
      </c>
      <c r="I13" s="159"/>
      <c r="J13" s="160">
        <v>1</v>
      </c>
      <c r="K13" s="148" t="str">
        <f t="shared" si="10"/>
        <v>КМС</v>
      </c>
      <c r="L13" s="148" t="str">
        <f t="shared" si="11"/>
        <v>Новосибирская</v>
      </c>
      <c r="M13" s="161" t="str">
        <f t="array" ref="M13">IFERROR(INDEX(субъект,MATCH(SUM(COUNTIF(M$6:M12,субъект)),COUNTIF(субъект,"&lt;"&amp;субъект),0)),"")</f>
        <v/>
      </c>
      <c r="N13" s="161" t="str">
        <f t="array" ref="N13">IFERROR(INDEX(разряд,MATCH(SUM(COUNTIF(N$6:N12,разряд)),COUNTIF(разряд,"&lt;"&amp;разряд),0)),"")</f>
        <v/>
      </c>
      <c r="O13" s="162">
        <v>7</v>
      </c>
      <c r="P13" s="107" t="str">
        <f t="shared" si="1"/>
        <v/>
      </c>
      <c r="Q13" s="110">
        <f t="shared" si="2"/>
        <v>0</v>
      </c>
      <c r="R13" s="110">
        <f t="shared" si="3"/>
        <v>0</v>
      </c>
      <c r="S13" s="163">
        <f t="shared" si="4"/>
        <v>0</v>
      </c>
      <c r="T13" s="114">
        <f t="shared" si="5"/>
        <v>0</v>
      </c>
      <c r="U13" s="114">
        <f t="shared" si="6"/>
        <v>0</v>
      </c>
      <c r="V13" s="114">
        <f t="shared" si="7"/>
        <v>0</v>
      </c>
      <c r="W13" s="114">
        <f t="shared" si="8"/>
        <v>0</v>
      </c>
      <c r="X13" s="113"/>
      <c r="Y13" s="109" t="str">
        <f t="shared" si="12"/>
        <v/>
      </c>
      <c r="Z13" s="109" t="str">
        <f>IF(OR($Y13=$Y11,$Y13=$Y12,$Y13=$Y10,$Y13=$Y9,$Y13=$Y8,$Y13=$Y7)," ",IF(Q13=0," ",Q13))</f>
        <v xml:space="preserve"> </v>
      </c>
      <c r="AA13" s="109" t="str">
        <f>IF(OR($Y13=$Y11,$Y13=$Y12,$Y13=$Y10,$Y13=$Y9,$Y13=$Y8,$Y13=$Y7)," ",IF(R13=0," ",R13))</f>
        <v xml:space="preserve"> </v>
      </c>
      <c r="AB13" s="109" t="str">
        <f>IF(OR($Y13=$Y11,$Y13=$Y12,$Y13=$Y10,$Y13=$Y9,$Y13=$Y8,$Y13=$Y7)," ",IF(S13=0," ",S13))</f>
        <v xml:space="preserve"> </v>
      </c>
      <c r="AC13" s="109" t="str">
        <f>IF(OR($Y13=$Y11,$Y13=$Y12,$Y13=$Y10,$Y13=$Y9,$Y13=$Y8,$Y13=$Y7)," ",IF(T13=0," ",T13))</f>
        <v xml:space="preserve"> </v>
      </c>
      <c r="AD13" s="109" t="str">
        <f t="shared" si="9"/>
        <v xml:space="preserve"> </v>
      </c>
      <c r="AE13" s="109" t="str">
        <f t="shared" si="9"/>
        <v xml:space="preserve"> </v>
      </c>
      <c r="AF13" s="109" t="str">
        <f t="shared" si="9"/>
        <v xml:space="preserve"> </v>
      </c>
    </row>
    <row r="14" spans="1:35" ht="22" customHeight="1">
      <c r="A14" s="152" t="s">
        <v>53</v>
      </c>
      <c r="B14" s="153">
        <v>8</v>
      </c>
      <c r="C14" s="154" t="s">
        <v>90</v>
      </c>
      <c r="D14" s="155" t="s">
        <v>91</v>
      </c>
      <c r="E14" s="156" t="s">
        <v>66</v>
      </c>
      <c r="F14" s="155" t="s">
        <v>92</v>
      </c>
      <c r="G14" s="157"/>
      <c r="H14" s="158" t="s">
        <v>93</v>
      </c>
      <c r="I14" s="159"/>
      <c r="J14" s="160">
        <v>1</v>
      </c>
      <c r="K14" s="148" t="str">
        <f t="shared" si="10"/>
        <v>КМС</v>
      </c>
      <c r="L14" s="148" t="str">
        <f t="shared" si="11"/>
        <v>Алтайский</v>
      </c>
      <c r="M14" s="161" t="str">
        <f t="array" ref="M14">IFERROR(INDEX(субъект,MATCH(SUM(COUNTIF(M$6:M13,субъект)),COUNTIF(субъект,"&lt;"&amp;субъект),0)),"")</f>
        <v/>
      </c>
      <c r="N14" s="161" t="str">
        <f t="array" ref="N14">IFERROR(INDEX(разряд,MATCH(SUM(COUNTIF(N$6:N13,разряд)),COUNTIF(разряд,"&lt;"&amp;разряд),0)),"")</f>
        <v/>
      </c>
      <c r="O14" s="162">
        <v>8</v>
      </c>
      <c r="P14" s="107" t="str">
        <f t="shared" si="1"/>
        <v/>
      </c>
      <c r="Q14" s="110">
        <f t="shared" si="2"/>
        <v>0</v>
      </c>
      <c r="R14" s="110">
        <f t="shared" si="3"/>
        <v>0</v>
      </c>
      <c r="S14" s="163">
        <f t="shared" si="4"/>
        <v>0</v>
      </c>
      <c r="T14" s="114">
        <f t="shared" si="5"/>
        <v>0</v>
      </c>
      <c r="U14" s="114">
        <f t="shared" si="6"/>
        <v>0</v>
      </c>
      <c r="V14" s="114">
        <f t="shared" si="7"/>
        <v>0</v>
      </c>
      <c r="W14" s="114">
        <f t="shared" si="8"/>
        <v>0</v>
      </c>
      <c r="X14" s="113"/>
      <c r="Y14" s="109" t="str">
        <f t="shared" si="12"/>
        <v/>
      </c>
      <c r="Z14" s="109" t="str">
        <f>IF(OR($Y14=$Y12,$Y14=$Y13,$Y14=$Y11,$Y14=$Y10,$Y14=$Y9,$Y14=$Y7)," ",IF(Q14=0," ",Q14))</f>
        <v xml:space="preserve"> </v>
      </c>
      <c r="AA14" s="109" t="str">
        <f>IF(OR($Y14=$Y12,$Y14=$Y13,$Y14=$Y11,$Y14=$Y10,$Y14=$Y9,$Y14=$Y7)," ",IF(R14=0," ",R14))</f>
        <v xml:space="preserve"> </v>
      </c>
      <c r="AB14" s="109" t="str">
        <f>IF(OR($Y14=$Y12,$Y14=$Y13,$Y14=$Y11,$Y14=$Y10,$Y14=$Y9,$Y14=$Y7)," ",IF(S14=0," ",S14))</f>
        <v xml:space="preserve"> </v>
      </c>
      <c r="AC14" s="109" t="str">
        <f>IF(OR($Y14=$Y12,$Y14=$Y13,$Y14=$Y11,$Y14=$Y10,$Y14=$Y9,$Y14=$Y7)," ",IF(T14=0," ",T14))</f>
        <v xml:space="preserve"> </v>
      </c>
      <c r="AD14" s="109" t="str">
        <f t="shared" si="9"/>
        <v xml:space="preserve"> </v>
      </c>
      <c r="AE14" s="109" t="str">
        <f t="shared" si="9"/>
        <v xml:space="preserve"> </v>
      </c>
      <c r="AF14" s="109" t="str">
        <f t="shared" si="9"/>
        <v xml:space="preserve"> </v>
      </c>
    </row>
    <row r="15" spans="1:35" ht="22" customHeight="1">
      <c r="A15" s="152" t="s">
        <v>54</v>
      </c>
      <c r="B15" s="153">
        <v>9</v>
      </c>
      <c r="C15" s="154" t="s">
        <v>94</v>
      </c>
      <c r="D15" s="155" t="s">
        <v>95</v>
      </c>
      <c r="E15" s="156" t="s">
        <v>96</v>
      </c>
      <c r="F15" s="155" t="s">
        <v>97</v>
      </c>
      <c r="G15" s="157"/>
      <c r="H15" s="158" t="s">
        <v>98</v>
      </c>
      <c r="I15" s="159"/>
      <c r="J15" s="160">
        <v>1</v>
      </c>
      <c r="K15" s="148" t="str">
        <f t="shared" si="10"/>
        <v>МС</v>
      </c>
      <c r="L15" s="148" t="str">
        <f t="shared" si="11"/>
        <v>Свердловская</v>
      </c>
      <c r="M15" s="161" t="str">
        <f t="array" ref="M15">IFERROR(INDEX(субъект,MATCH(SUM(COUNTIF(M$6:M14,субъект)),COUNTIF(субъект,"&lt;"&amp;субъект),0)),"")</f>
        <v/>
      </c>
      <c r="N15" s="161" t="str">
        <f t="array" ref="N15">IFERROR(INDEX(разряд,MATCH(SUM(COUNTIF(N$6:N14,разряд)),COUNTIF(разряд,"&lt;"&amp;разряд),0)),"")</f>
        <v/>
      </c>
      <c r="O15" s="162">
        <v>9</v>
      </c>
      <c r="P15" s="107" t="str">
        <f t="shared" si="1"/>
        <v/>
      </c>
      <c r="Q15" s="110">
        <f t="shared" si="2"/>
        <v>0</v>
      </c>
      <c r="R15" s="110">
        <f t="shared" si="3"/>
        <v>0</v>
      </c>
      <c r="S15" s="163">
        <f t="shared" si="4"/>
        <v>0</v>
      </c>
      <c r="T15" s="114">
        <f t="shared" si="5"/>
        <v>0</v>
      </c>
      <c r="U15" s="114">
        <f t="shared" si="6"/>
        <v>0</v>
      </c>
      <c r="V15" s="114">
        <f t="shared" si="7"/>
        <v>0</v>
      </c>
      <c r="W15" s="114">
        <f t="shared" si="8"/>
        <v>0</v>
      </c>
      <c r="X15" s="146"/>
      <c r="Y15" s="109" t="str">
        <f t="shared" si="12"/>
        <v/>
      </c>
      <c r="Z15" s="109" t="str">
        <f>IF(OR($Y15=$Y13,$Y15=$Y14,$Y15=$Y12,$Y15=$Y11,$Y15=$Y10,$Y15=$Y8,$Y15=$Y7)," ",IF(Q15=0," ",Q15))</f>
        <v xml:space="preserve"> </v>
      </c>
      <c r="AA15" s="109" t="str">
        <f>IF(OR($Y15=$Y13,$Y15=$Y14,$Y15=$Y12,$Y15=$Y11,$Y15=$Y10,$Y15=$Y8,$Y15=$Y7)," ",IF(R15=0," ",R15))</f>
        <v xml:space="preserve"> </v>
      </c>
      <c r="AB15" s="109" t="str">
        <f>IF(OR($Y15=$Y13,$Y15=$Y14,$Y15=$Y12,$Y15=$Y11,$Y15=$Y10,$Y15=$Y8,$Y15=$Y7)," ",IF(S15=0," ",S15))</f>
        <v xml:space="preserve"> </v>
      </c>
      <c r="AC15" s="109" t="str">
        <f>IF(OR($Y15=$Y13,$Y15=$Y14,$Y15=$Y12,$Y15=$Y11,$Y15=$Y10,$Y15=$Y8,$Y15=$Y7)," ",IF(T15=0," ",T15))</f>
        <v xml:space="preserve"> </v>
      </c>
      <c r="AD15" s="109" t="str">
        <f t="shared" si="9"/>
        <v xml:space="preserve"> </v>
      </c>
      <c r="AE15" s="109" t="str">
        <f t="shared" si="9"/>
        <v xml:space="preserve"> </v>
      </c>
      <c r="AF15" s="109" t="str">
        <f t="shared" si="9"/>
        <v xml:space="preserve"> </v>
      </c>
    </row>
    <row r="16" spans="1:35" ht="22" customHeight="1">
      <c r="A16" s="152" t="s">
        <v>55</v>
      </c>
      <c r="B16" s="153">
        <v>10</v>
      </c>
      <c r="C16" s="154" t="s">
        <v>99</v>
      </c>
      <c r="D16" s="155" t="s">
        <v>100</v>
      </c>
      <c r="E16" s="156" t="s">
        <v>66</v>
      </c>
      <c r="F16" s="155" t="s">
        <v>88</v>
      </c>
      <c r="G16" s="157"/>
      <c r="H16" s="158" t="s">
        <v>101</v>
      </c>
      <c r="I16" s="159"/>
      <c r="J16" s="160">
        <v>1</v>
      </c>
      <c r="K16" s="148" t="str">
        <f t="shared" si="10"/>
        <v>КМС</v>
      </c>
      <c r="L16" s="148" t="str">
        <f t="shared" si="11"/>
        <v>Новосибирская</v>
      </c>
      <c r="M16" s="161" t="str">
        <f t="array" ref="M16">IFERROR(INDEX(субъект,MATCH(SUM(COUNTIF(M$6:M15,субъект)),COUNTIF(субъект,"&lt;"&amp;субъект),0)),"")</f>
        <v/>
      </c>
      <c r="N16" s="161" t="str">
        <f t="array" ref="N16">IFERROR(INDEX(разряд,MATCH(SUM(COUNTIF(N$6:N15,разряд)),COUNTIF(разряд,"&lt;"&amp;разряд),0)),"")</f>
        <v/>
      </c>
      <c r="O16" s="162">
        <v>10</v>
      </c>
      <c r="P16" s="107" t="str">
        <f t="shared" si="1"/>
        <v/>
      </c>
      <c r="Q16" s="110">
        <f t="shared" si="2"/>
        <v>0</v>
      </c>
      <c r="R16" s="110">
        <f t="shared" si="3"/>
        <v>0</v>
      </c>
      <c r="S16" s="163">
        <f t="shared" si="4"/>
        <v>0</v>
      </c>
      <c r="T16" s="114">
        <f t="shared" si="5"/>
        <v>0</v>
      </c>
      <c r="U16" s="114">
        <f t="shared" si="6"/>
        <v>0</v>
      </c>
      <c r="V16" s="114">
        <f t="shared" si="7"/>
        <v>0</v>
      </c>
      <c r="W16" s="114">
        <f t="shared" si="8"/>
        <v>0</v>
      </c>
      <c r="X16" s="106"/>
      <c r="Y16" s="109" t="str">
        <f t="shared" si="12"/>
        <v/>
      </c>
      <c r="Z16" s="109" t="str">
        <f>IF(OR($Y16=$Y14,$Y16=$Y15,$Y16=$Y13,$Y16=$Y12,$Y16=$Y11,$Y16=$Y9,$Y16=$Y8,$Y16=$Y7)," ",IF(Q16=0," ",Q16))</f>
        <v xml:space="preserve"> </v>
      </c>
      <c r="AA16" s="109" t="str">
        <f>IF(OR($Y16=$Y14,$Y16=$Y15,$Y16=$Y13,$Y16=$Y12,$Y16=$Y11,$Y16=$Y9,$Y16=$Y8,$Y16=$Y7)," ",IF(R16=0," ",R16))</f>
        <v xml:space="preserve"> </v>
      </c>
      <c r="AB16" s="109" t="str">
        <f>IF(OR($Y16=$Y14,$Y16=$Y15,$Y16=$Y13,$Y16=$Y12,$Y16=$Y11,$Y16=$Y9,$Y16=$Y8,$Y16=$Y7)," ",IF(S16=0," ",S16))</f>
        <v xml:space="preserve"> </v>
      </c>
      <c r="AC16" s="109" t="str">
        <f>IF(OR($Y16=$Y14,$Y16=$Y15,$Y16=$Y13,$Y16=$Y12,$Y16=$Y11,$Y16=$Y9,$Y16=$Y8,$Y16=$Y7)," ",IF(T16=0," ",T16))</f>
        <v xml:space="preserve"> </v>
      </c>
      <c r="AD16" s="109" t="str">
        <f t="shared" si="9"/>
        <v xml:space="preserve"> </v>
      </c>
      <c r="AE16" s="109" t="str">
        <f t="shared" si="9"/>
        <v xml:space="preserve"> </v>
      </c>
      <c r="AF16" s="109" t="str">
        <f t="shared" si="9"/>
        <v xml:space="preserve"> </v>
      </c>
    </row>
    <row r="17" spans="1:32" ht="22" customHeight="1">
      <c r="A17" s="152" t="s">
        <v>56</v>
      </c>
      <c r="B17" s="153">
        <v>11</v>
      </c>
      <c r="C17" s="154" t="s">
        <v>102</v>
      </c>
      <c r="D17" s="155" t="s">
        <v>103</v>
      </c>
      <c r="E17" s="156" t="s">
        <v>66</v>
      </c>
      <c r="F17" s="155" t="s">
        <v>104</v>
      </c>
      <c r="G17" s="157"/>
      <c r="H17" s="158" t="s">
        <v>105</v>
      </c>
      <c r="I17" s="159"/>
      <c r="J17" s="160">
        <v>1</v>
      </c>
      <c r="K17" s="148" t="str">
        <f t="shared" si="10"/>
        <v>КМС</v>
      </c>
      <c r="L17" s="148" t="str">
        <f t="shared" si="11"/>
        <v>Р.Хакасия</v>
      </c>
      <c r="M17" s="161" t="str">
        <f t="array" ref="M17">IFERROR(INDEX(субъект,MATCH(SUM(COUNTIF(M$6:M16,субъект)),COUNTIF(субъект,"&lt;"&amp;субъект),0)),"")</f>
        <v/>
      </c>
      <c r="N17" s="161" t="str">
        <f t="array" ref="N17">IFERROR(INDEX(разряд,MATCH(SUM(COUNTIF(N$6:N16,разряд)),COUNTIF(разряд,"&lt;"&amp;разряд),0)),"")</f>
        <v/>
      </c>
      <c r="O17" s="162">
        <v>11</v>
      </c>
      <c r="P17" s="107" t="str">
        <f t="shared" si="1"/>
        <v/>
      </c>
      <c r="Q17" s="110">
        <f t="shared" si="2"/>
        <v>0</v>
      </c>
      <c r="R17" s="110">
        <f t="shared" si="3"/>
        <v>0</v>
      </c>
      <c r="S17" s="163">
        <f t="shared" si="4"/>
        <v>0</v>
      </c>
      <c r="T17" s="114">
        <f t="shared" si="5"/>
        <v>0</v>
      </c>
      <c r="U17" s="114">
        <f t="shared" si="6"/>
        <v>0</v>
      </c>
      <c r="V17" s="114">
        <f t="shared" si="7"/>
        <v>0</v>
      </c>
      <c r="W17" s="114">
        <f t="shared" si="8"/>
        <v>0</v>
      </c>
      <c r="X17" s="106"/>
      <c r="Y17" s="109" t="str">
        <f t="shared" si="12"/>
        <v/>
      </c>
      <c r="Z17" s="109" t="str">
        <f>IF(OR($Y17=$Y15,$Y17=$Y16,$Y17=$Y14,$Y17=$Y13,$Y17=$Y12,$Y17=$Y10,$Y17=$Y9,$Y17=$Y8,$Y17=$Y7)," ",IF(Q17=0," ",Q17))</f>
        <v xml:space="preserve"> </v>
      </c>
      <c r="AA17" s="109" t="str">
        <f>IF(OR($Y17=$Y15,$Y17=$Y16,$Y17=$Y14,$Y17=$Y13,$Y17=$Y12,$Y17=$Y10,$Y17=$Y9,$Y17=$Y8,$Y17=$Y7)," ",IF(R17=0," ",R17))</f>
        <v xml:space="preserve"> </v>
      </c>
      <c r="AB17" s="109" t="str">
        <f>IF(OR($Y17=$Y15,$Y17=$Y16,$Y17=$Y14,$Y17=$Y13,$Y17=$Y12,$Y17=$Y10,$Y17=$Y9,$Y17=$Y8,$Y17=$Y7)," ",IF(S17=0," ",S17))</f>
        <v xml:space="preserve"> </v>
      </c>
      <c r="AC17" s="109" t="str">
        <f>IF(OR($Y17=$Y15,$Y17=$Y16,$Y17=$Y14,$Y17=$Y13,$Y17=$Y12,$Y17=$Y10,$Y17=$Y9,$Y17=$Y8,$Y17=$Y7)," ",IF(T17=0," ",T17))</f>
        <v xml:space="preserve"> </v>
      </c>
      <c r="AD17" s="109" t="str">
        <f t="shared" si="9"/>
        <v xml:space="preserve"> </v>
      </c>
      <c r="AE17" s="109" t="str">
        <f t="shared" si="9"/>
        <v xml:space="preserve"> </v>
      </c>
      <c r="AF17" s="109" t="str">
        <f t="shared" si="9"/>
        <v xml:space="preserve"> </v>
      </c>
    </row>
    <row r="18" spans="1:32" ht="22" customHeight="1">
      <c r="A18" s="152" t="s">
        <v>57</v>
      </c>
      <c r="B18" s="153">
        <v>12</v>
      </c>
      <c r="C18" s="154" t="s">
        <v>106</v>
      </c>
      <c r="D18" s="155" t="s">
        <v>107</v>
      </c>
      <c r="E18" s="156" t="s">
        <v>66</v>
      </c>
      <c r="F18" s="155" t="s">
        <v>84</v>
      </c>
      <c r="G18" s="157"/>
      <c r="H18" s="158" t="s">
        <v>108</v>
      </c>
      <c r="I18" s="159"/>
      <c r="J18" s="160">
        <v>1</v>
      </c>
      <c r="K18" s="148" t="str">
        <f t="shared" si="10"/>
        <v>КМС</v>
      </c>
      <c r="L18" s="148" t="str">
        <f t="shared" si="11"/>
        <v>Р.Алтай</v>
      </c>
      <c r="M18" s="161" t="str">
        <f t="array" ref="M18">IFERROR(INDEX(субъект,MATCH(SUM(COUNTIF(M$6:M17,субъект)),COUNTIF(субъект,"&lt;"&amp;субъект),0)),"")</f>
        <v/>
      </c>
      <c r="N18" s="161" t="str">
        <f t="array" ref="N18">IFERROR(INDEX(разряд,MATCH(SUM(COUNTIF(N$6:N17,разряд)),COUNTIF(разряд,"&lt;"&amp;разряд),0)),"")</f>
        <v/>
      </c>
      <c r="O18" s="162">
        <v>12</v>
      </c>
      <c r="P18" s="107" t="str">
        <f t="shared" si="1"/>
        <v/>
      </c>
      <c r="Q18" s="110">
        <f t="shared" si="2"/>
        <v>0</v>
      </c>
      <c r="R18" s="110">
        <f t="shared" si="3"/>
        <v>0</v>
      </c>
      <c r="S18" s="163">
        <f t="shared" si="4"/>
        <v>0</v>
      </c>
      <c r="T18" s="114">
        <f t="shared" si="5"/>
        <v>0</v>
      </c>
      <c r="U18" s="114">
        <f t="shared" si="6"/>
        <v>0</v>
      </c>
      <c r="V18" s="114">
        <f t="shared" si="7"/>
        <v>0</v>
      </c>
      <c r="W18" s="114">
        <f t="shared" si="8"/>
        <v>0</v>
      </c>
      <c r="X18" s="106"/>
      <c r="Y18" s="109" t="str">
        <f t="shared" si="12"/>
        <v/>
      </c>
      <c r="Z18" s="109" t="str">
        <f>IF(OR($Y18=$Y16,$Y18=$Y17,$Y18=$Y15,$Y18=$Y14,$Y18=$Y13,$Y18=$Y11,$Y18=$Y10,$Y18=$Y9,$Y18=$Y8,$Y18=$Y7)," ",IF(Q18=0," ",Q18))</f>
        <v xml:space="preserve"> </v>
      </c>
      <c r="AA18" s="109" t="str">
        <f>IF(OR($Y18=$Y16,$Y18=$Y17,$Y18=$Y15,$Y18=$Y14,$Y18=$Y13,$Y18=$Y11,$Y18=$Y10,$Y18=$Y9,$Y18=$Y8,$Y18=$Y7)," ",IF(R18=0," ",R18))</f>
        <v xml:space="preserve"> </v>
      </c>
      <c r="AB18" s="109" t="str">
        <f>IF(OR($Y18=$Y16,$Y18=$Y17,$Y18=$Y15,$Y18=$Y14,$Y18=$Y13,$Y18=$Y11,$Y18=$Y10,$Y18=$Y9,$Y18=$Y8,$Y18=$Y7)," ",IF(S18=0," ",S18))</f>
        <v xml:space="preserve"> </v>
      </c>
      <c r="AC18" s="109" t="str">
        <f>IF(OR($Y18=$Y16,$Y18=$Y17,$Y18=$Y15,$Y18=$Y14,$Y18=$Y13,$Y18=$Y11,$Y18=$Y10,$Y18=$Y9,$Y18=$Y8,$Y18=$Y7)," ",IF(T18=0," ",T18))</f>
        <v xml:space="preserve"> </v>
      </c>
      <c r="AD18" s="109" t="str">
        <f t="shared" si="9"/>
        <v xml:space="preserve"> </v>
      </c>
      <c r="AE18" s="109" t="str">
        <f t="shared" si="9"/>
        <v xml:space="preserve"> </v>
      </c>
      <c r="AF18" s="109" t="str">
        <f t="shared" si="9"/>
        <v xml:space="preserve"> </v>
      </c>
    </row>
    <row r="19" spans="1:32" ht="22" customHeight="1">
      <c r="A19" s="152" t="s">
        <v>58</v>
      </c>
      <c r="B19" s="153"/>
      <c r="C19" s="154"/>
      <c r="D19" s="155"/>
      <c r="E19" s="156"/>
      <c r="F19" s="155"/>
      <c r="G19" s="157"/>
      <c r="H19" s="158"/>
      <c r="I19" s="159"/>
      <c r="J19" s="160">
        <v>1</v>
      </c>
      <c r="K19" s="148">
        <f t="shared" si="10"/>
        <v>0</v>
      </c>
      <c r="L19" s="148">
        <f t="shared" si="11"/>
        <v>0</v>
      </c>
      <c r="M19" s="161" t="str">
        <f t="array" ref="M19">IFERROR(INDEX(субъект,MATCH(SUM(COUNTIF(M$6:M18,субъект)),COUNTIF(субъект,"&lt;"&amp;субъект),0)),"")</f>
        <v/>
      </c>
      <c r="N19" s="161" t="str">
        <f t="array" ref="N19">IFERROR(INDEX(разряд,MATCH(SUM(COUNTIF(N$6:N18,разряд)),COUNTIF(разряд,"&lt;"&amp;разряд),0)),"")</f>
        <v/>
      </c>
      <c r="O19" s="162">
        <v>13</v>
      </c>
      <c r="P19" s="107" t="str">
        <f t="shared" si="1"/>
        <v/>
      </c>
      <c r="Q19" s="110">
        <f t="shared" si="2"/>
        <v>0</v>
      </c>
      <c r="R19" s="110">
        <f t="shared" si="3"/>
        <v>0</v>
      </c>
      <c r="S19" s="163">
        <f t="shared" si="4"/>
        <v>0</v>
      </c>
      <c r="T19" s="114">
        <f t="shared" si="5"/>
        <v>0</v>
      </c>
      <c r="U19" s="114">
        <f t="shared" si="6"/>
        <v>0</v>
      </c>
      <c r="V19" s="114">
        <f t="shared" si="7"/>
        <v>0</v>
      </c>
      <c r="W19" s="114">
        <f t="shared" si="8"/>
        <v>0</v>
      </c>
      <c r="X19" s="106"/>
      <c r="Y19" s="109" t="str">
        <f t="shared" si="12"/>
        <v/>
      </c>
      <c r="Z19" s="109" t="str">
        <f t="shared" ref="Z19:AC22" si="13">IF(Q19=0," ",Q19)</f>
        <v xml:space="preserve"> </v>
      </c>
      <c r="AA19" s="109" t="str">
        <f t="shared" si="13"/>
        <v xml:space="preserve"> </v>
      </c>
      <c r="AB19" s="109" t="str">
        <f t="shared" si="13"/>
        <v xml:space="preserve"> </v>
      </c>
      <c r="AC19" s="109" t="str">
        <f t="shared" si="13"/>
        <v xml:space="preserve"> </v>
      </c>
      <c r="AD19" s="109" t="str">
        <f t="shared" si="9"/>
        <v xml:space="preserve"> </v>
      </c>
      <c r="AE19" s="109" t="str">
        <f t="shared" si="9"/>
        <v xml:space="preserve"> </v>
      </c>
      <c r="AF19" s="109" t="str">
        <f t="shared" si="9"/>
        <v xml:space="preserve"> </v>
      </c>
    </row>
    <row r="20" spans="1:32" ht="22" customHeight="1">
      <c r="A20" s="152" t="s">
        <v>59</v>
      </c>
      <c r="B20" s="153"/>
      <c r="C20" s="154"/>
      <c r="D20" s="155"/>
      <c r="E20" s="156"/>
      <c r="F20" s="155"/>
      <c r="G20" s="157"/>
      <c r="H20" s="158"/>
      <c r="I20" s="159"/>
      <c r="J20" s="160">
        <v>1</v>
      </c>
      <c r="K20" s="148">
        <f t="shared" si="10"/>
        <v>0</v>
      </c>
      <c r="L20" s="148">
        <f t="shared" si="11"/>
        <v>0</v>
      </c>
      <c r="M20" s="161" t="str">
        <f t="array" ref="M20">IFERROR(INDEX(субъект,MATCH(SUM(COUNTIF(M$6:M19,субъект)),COUNTIF(субъект,"&lt;"&amp;субъект),0)),"")</f>
        <v/>
      </c>
      <c r="N20" s="161" t="str">
        <f t="array" ref="N20">IFERROR(INDEX(разряд,MATCH(SUM(COUNTIF(N$6:N19,разряд)),COUNTIF(разряд,"&lt;"&amp;разряд),0)),"")</f>
        <v/>
      </c>
      <c r="O20" s="162">
        <v>14</v>
      </c>
      <c r="P20" s="107" t="str">
        <f t="shared" si="1"/>
        <v/>
      </c>
      <c r="Q20" s="110">
        <f t="shared" si="2"/>
        <v>0</v>
      </c>
      <c r="R20" s="110">
        <f t="shared" si="3"/>
        <v>0</v>
      </c>
      <c r="S20" s="163">
        <f t="shared" si="4"/>
        <v>0</v>
      </c>
      <c r="T20" s="114">
        <f t="shared" si="5"/>
        <v>0</v>
      </c>
      <c r="U20" s="114">
        <f t="shared" si="6"/>
        <v>0</v>
      </c>
      <c r="V20" s="114">
        <f t="shared" si="7"/>
        <v>0</v>
      </c>
      <c r="W20" s="114">
        <f t="shared" si="8"/>
        <v>0</v>
      </c>
      <c r="X20" s="106"/>
      <c r="Y20" s="109" t="str">
        <f t="shared" si="12"/>
        <v/>
      </c>
      <c r="Z20" s="109" t="str">
        <f t="shared" si="13"/>
        <v xml:space="preserve"> </v>
      </c>
      <c r="AA20" s="109" t="str">
        <f t="shared" si="13"/>
        <v xml:space="preserve"> </v>
      </c>
      <c r="AB20" s="109" t="str">
        <f t="shared" si="13"/>
        <v xml:space="preserve"> </v>
      </c>
      <c r="AC20" s="109" t="str">
        <f t="shared" si="13"/>
        <v xml:space="preserve"> </v>
      </c>
      <c r="AD20" s="109" t="str">
        <f t="shared" si="9"/>
        <v xml:space="preserve"> </v>
      </c>
      <c r="AE20" s="109" t="str">
        <f t="shared" si="9"/>
        <v xml:space="preserve"> </v>
      </c>
      <c r="AF20" s="109" t="str">
        <f t="shared" si="9"/>
        <v xml:space="preserve"> </v>
      </c>
    </row>
    <row r="21" spans="1:32" ht="22" customHeight="1">
      <c r="A21" s="152" t="s">
        <v>60</v>
      </c>
      <c r="B21" s="153"/>
      <c r="C21" s="154"/>
      <c r="D21" s="155"/>
      <c r="E21" s="156"/>
      <c r="F21" s="155"/>
      <c r="G21" s="157"/>
      <c r="H21" s="158"/>
      <c r="I21" s="159"/>
      <c r="J21" s="160">
        <v>1</v>
      </c>
      <c r="K21" s="148">
        <f t="shared" si="10"/>
        <v>0</v>
      </c>
      <c r="L21" s="148">
        <f t="shared" si="11"/>
        <v>0</v>
      </c>
      <c r="M21" s="161" t="str">
        <f t="array" ref="M21">IFERROR(INDEX(субъект,MATCH(SUM(COUNTIF(M$6:M20,субъект)),COUNTIF(субъект,"&lt;"&amp;субъект),0)),"")</f>
        <v/>
      </c>
      <c r="N21" s="161" t="str">
        <f t="array" ref="N21">IFERROR(INDEX(разряд,MATCH(SUM(COUNTIF(N$6:N20,разряд)),COUNTIF(разряд,"&lt;"&amp;разряд),0)),"")</f>
        <v/>
      </c>
      <c r="O21" s="162">
        <v>15</v>
      </c>
      <c r="P21" s="107" t="str">
        <f t="shared" si="1"/>
        <v/>
      </c>
      <c r="Q21" s="110">
        <f t="shared" si="2"/>
        <v>0</v>
      </c>
      <c r="R21" s="110">
        <f t="shared" si="3"/>
        <v>0</v>
      </c>
      <c r="S21" s="163">
        <f t="shared" si="4"/>
        <v>0</v>
      </c>
      <c r="T21" s="114">
        <f t="shared" si="5"/>
        <v>0</v>
      </c>
      <c r="U21" s="114">
        <f t="shared" si="6"/>
        <v>0</v>
      </c>
      <c r="V21" s="114">
        <f t="shared" si="7"/>
        <v>0</v>
      </c>
      <c r="W21" s="114">
        <f t="shared" si="8"/>
        <v>0</v>
      </c>
      <c r="X21" s="106"/>
      <c r="Y21" s="109" t="str">
        <f t="shared" si="12"/>
        <v/>
      </c>
      <c r="Z21" s="109" t="str">
        <f t="shared" si="13"/>
        <v xml:space="preserve"> </v>
      </c>
      <c r="AA21" s="109" t="str">
        <f t="shared" si="13"/>
        <v xml:space="preserve"> </v>
      </c>
      <c r="AB21" s="109" t="str">
        <f t="shared" si="13"/>
        <v xml:space="preserve"> </v>
      </c>
      <c r="AC21" s="109" t="str">
        <f t="shared" si="13"/>
        <v xml:space="preserve"> </v>
      </c>
      <c r="AD21" s="109" t="str">
        <f t="shared" si="9"/>
        <v xml:space="preserve"> </v>
      </c>
      <c r="AE21" s="109" t="str">
        <f t="shared" si="9"/>
        <v xml:space="preserve"> </v>
      </c>
      <c r="AF21" s="109" t="str">
        <f t="shared" si="9"/>
        <v xml:space="preserve"> </v>
      </c>
    </row>
    <row r="22" spans="1:32" ht="22" customHeight="1">
      <c r="A22" s="152" t="s">
        <v>61</v>
      </c>
      <c r="B22" s="153"/>
      <c r="C22" s="154"/>
      <c r="D22" s="155"/>
      <c r="E22" s="156"/>
      <c r="F22" s="155"/>
      <c r="G22" s="157"/>
      <c r="H22" s="158"/>
      <c r="I22" s="159"/>
      <c r="J22" s="160">
        <v>1</v>
      </c>
      <c r="K22" s="148">
        <f t="shared" si="10"/>
        <v>0</v>
      </c>
      <c r="L22" s="148">
        <f t="shared" si="11"/>
        <v>0</v>
      </c>
      <c r="M22" s="161" t="str">
        <f t="array" ref="M22">IFERROR(INDEX(субъект,MATCH(SUM(COUNTIF(M$6:M21,субъект)),COUNTIF(субъект,"&lt;"&amp;субъект),0)),"")</f>
        <v/>
      </c>
      <c r="N22" s="161" t="str">
        <f t="array" ref="N22">IFERROR(INDEX(разряд,MATCH(SUM(COUNTIF(N$6:N21,разряд)),COUNTIF(разряд,"&lt;"&amp;разряд),0)),"")</f>
        <v/>
      </c>
      <c r="O22" s="162">
        <v>16</v>
      </c>
      <c r="P22" s="107" t="str">
        <f t="shared" si="1"/>
        <v/>
      </c>
      <c r="Q22" s="110">
        <f t="shared" si="2"/>
        <v>0</v>
      </c>
      <c r="R22" s="110">
        <f t="shared" si="3"/>
        <v>0</v>
      </c>
      <c r="S22" s="163">
        <f t="shared" si="4"/>
        <v>0</v>
      </c>
      <c r="T22" s="114">
        <f t="shared" si="5"/>
        <v>0</v>
      </c>
      <c r="U22" s="114">
        <f t="shared" si="6"/>
        <v>0</v>
      </c>
      <c r="V22" s="114">
        <f t="shared" si="7"/>
        <v>0</v>
      </c>
      <c r="W22" s="114">
        <f t="shared" si="8"/>
        <v>0</v>
      </c>
      <c r="X22" s="106"/>
      <c r="Y22" s="109" t="str">
        <f t="shared" si="12"/>
        <v/>
      </c>
      <c r="Z22" s="109" t="str">
        <f t="shared" si="13"/>
        <v xml:space="preserve"> </v>
      </c>
      <c r="AA22" s="109" t="str">
        <f t="shared" si="13"/>
        <v xml:space="preserve"> </v>
      </c>
      <c r="AB22" s="109" t="str">
        <f t="shared" si="13"/>
        <v xml:space="preserve"> </v>
      </c>
      <c r="AC22" s="109" t="str">
        <f t="shared" si="13"/>
        <v xml:space="preserve"> </v>
      </c>
      <c r="AD22" s="109" t="str">
        <f t="shared" si="9"/>
        <v xml:space="preserve"> </v>
      </c>
      <c r="AE22" s="109" t="str">
        <f t="shared" si="9"/>
        <v xml:space="preserve"> </v>
      </c>
      <c r="AF22" s="109" t="str">
        <f t="shared" si="9"/>
        <v xml:space="preserve"> </v>
      </c>
    </row>
    <row r="23" spans="1:32" ht="13">
      <c r="A23" s="16" t="s">
        <v>19</v>
      </c>
      <c r="D23" s="147"/>
      <c r="E23" s="147"/>
      <c r="F23" s="147"/>
      <c r="G23" s="147"/>
      <c r="H23" s="147"/>
      <c r="I23" s="2"/>
      <c r="J23" s="230"/>
      <c r="K23" s="231"/>
      <c r="L23" s="232"/>
      <c r="M23" s="144"/>
      <c r="N23" s="144"/>
      <c r="O23" s="2"/>
    </row>
    <row r="24" spans="1:32" ht="13">
      <c r="D24" s="147"/>
      <c r="E24" s="147"/>
      <c r="F24" s="147"/>
      <c r="G24" s="147"/>
      <c r="H24" s="147"/>
      <c r="J24" s="230"/>
      <c r="K24" s="231"/>
      <c r="L24" s="232"/>
      <c r="M24" s="144"/>
      <c r="N24" s="144"/>
      <c r="O24" s="2"/>
    </row>
    <row r="25" spans="1:32" ht="13">
      <c r="A25" s="16" t="s">
        <v>20</v>
      </c>
      <c r="D25" s="147"/>
      <c r="E25" s="147"/>
      <c r="F25" s="147"/>
      <c r="G25" s="147"/>
      <c r="H25" s="147"/>
      <c r="J25" s="230"/>
      <c r="K25" s="231"/>
      <c r="L25" s="232"/>
      <c r="M25" s="144"/>
      <c r="N25" s="144"/>
      <c r="O25" s="2"/>
    </row>
    <row r="26" spans="1:32" ht="13">
      <c r="D26" s="147"/>
      <c r="E26" s="147"/>
      <c r="F26" s="147"/>
      <c r="G26" s="147"/>
      <c r="H26" s="147"/>
      <c r="J26" s="230"/>
      <c r="K26" s="231"/>
      <c r="L26" s="232"/>
      <c r="M26" s="144"/>
      <c r="N26" s="144"/>
      <c r="O26" s="2"/>
    </row>
    <row r="27" spans="1:32" ht="13">
      <c r="A27" s="16" t="s">
        <v>21</v>
      </c>
      <c r="D27" s="147"/>
      <c r="E27" s="147"/>
      <c r="F27" s="147"/>
      <c r="G27" s="147"/>
      <c r="H27" s="147"/>
      <c r="J27" s="230"/>
      <c r="K27" s="231"/>
      <c r="L27" s="232"/>
      <c r="M27" s="144"/>
      <c r="N27" s="144"/>
      <c r="O27" s="2"/>
    </row>
    <row r="28" spans="1:32" ht="13">
      <c r="D28" s="147"/>
      <c r="E28" s="147"/>
      <c r="F28" s="147"/>
      <c r="G28" s="147"/>
      <c r="H28" s="147"/>
      <c r="J28" s="230"/>
      <c r="K28" s="231"/>
      <c r="L28" s="232"/>
      <c r="M28" s="144"/>
      <c r="N28" s="144"/>
      <c r="O28" s="2"/>
    </row>
    <row r="29" spans="1:32" ht="13">
      <c r="A29" s="16" t="s">
        <v>22</v>
      </c>
      <c r="D29" s="147"/>
      <c r="E29" s="147"/>
      <c r="F29" s="147"/>
      <c r="G29" s="147"/>
      <c r="H29" s="147"/>
      <c r="J29" s="230"/>
      <c r="K29" s="231"/>
      <c r="L29" s="232"/>
      <c r="M29" s="144"/>
      <c r="N29" s="144"/>
      <c r="O29" s="2"/>
    </row>
    <row r="30" spans="1:32" ht="13">
      <c r="A30" s="147"/>
      <c r="B30" s="147"/>
      <c r="C30" s="147"/>
      <c r="D30" s="147"/>
      <c r="E30" s="147"/>
      <c r="F30" s="147"/>
      <c r="G30" s="147"/>
      <c r="H30" s="147"/>
      <c r="J30" s="230"/>
      <c r="K30" s="231"/>
      <c r="L30" s="232"/>
      <c r="M30" s="144"/>
      <c r="N30" s="144"/>
      <c r="O30" s="2"/>
    </row>
    <row r="81" spans="9:9">
      <c r="I81" s="147"/>
    </row>
    <row r="82" spans="9:9">
      <c r="I82" s="147"/>
    </row>
    <row r="83" spans="9:9">
      <c r="I83" s="147"/>
    </row>
    <row r="84" spans="9:9">
      <c r="I84" s="147"/>
    </row>
    <row r="85" spans="9:9">
      <c r="I85" s="147"/>
    </row>
    <row r="86" spans="9:9">
      <c r="I86" s="147"/>
    </row>
    <row r="87" spans="9:9">
      <c r="I87" s="147"/>
    </row>
    <row r="88" spans="9:9">
      <c r="I88" s="147"/>
    </row>
    <row r="89" spans="9:9">
      <c r="I89" s="147"/>
    </row>
    <row r="90" spans="9:9">
      <c r="I90" s="147"/>
    </row>
    <row r="91" spans="9:9">
      <c r="I91" s="147"/>
    </row>
    <row r="92" spans="9:9">
      <c r="I92" s="147"/>
    </row>
    <row r="93" spans="9:9">
      <c r="I93" s="147"/>
    </row>
    <row r="94" spans="9:9">
      <c r="I94" s="147"/>
    </row>
    <row r="95" spans="9:9">
      <c r="I95" s="147"/>
    </row>
    <row r="96" spans="9:9">
      <c r="I96" s="147"/>
    </row>
    <row r="97" spans="9:9">
      <c r="I97" s="147"/>
    </row>
    <row r="98" spans="9:9">
      <c r="I98" s="147"/>
    </row>
    <row r="99" spans="9:9">
      <c r="I99" s="147"/>
    </row>
    <row r="100" spans="9:9">
      <c r="I100" s="147"/>
    </row>
    <row r="101" spans="9:9">
      <c r="I101" s="147"/>
    </row>
    <row r="102" spans="9:9">
      <c r="I102" s="147"/>
    </row>
    <row r="103" spans="9:9">
      <c r="I103" s="147"/>
    </row>
    <row r="104" spans="9:9">
      <c r="I104" s="147"/>
    </row>
    <row r="105" spans="9:9">
      <c r="I105" s="147"/>
    </row>
    <row r="106" spans="9:9">
      <c r="I106" s="147"/>
    </row>
    <row r="107" spans="9:9">
      <c r="I107" s="147"/>
    </row>
    <row r="108" spans="9:9">
      <c r="I108" s="147"/>
    </row>
    <row r="109" spans="9:9">
      <c r="I109" s="147"/>
    </row>
    <row r="110" spans="9:9">
      <c r="I110" s="147"/>
    </row>
    <row r="111" spans="9:9">
      <c r="I111" s="147"/>
    </row>
    <row r="112" spans="9:9">
      <c r="I112" s="147"/>
    </row>
    <row r="113" spans="9:9">
      <c r="I113" s="147"/>
    </row>
    <row r="114" spans="9:9">
      <c r="I114" s="147"/>
    </row>
    <row r="115" spans="9:9">
      <c r="I115" s="147"/>
    </row>
    <row r="116" spans="9:9">
      <c r="I116" s="147"/>
    </row>
    <row r="117" spans="9:9">
      <c r="I117" s="147"/>
    </row>
    <row r="118" spans="9:9">
      <c r="I118" s="147"/>
    </row>
    <row r="119" spans="9:9">
      <c r="I119" s="147"/>
    </row>
    <row r="120" spans="9:9">
      <c r="I120" s="147"/>
    </row>
    <row r="121" spans="9:9">
      <c r="I121" s="147"/>
    </row>
    <row r="122" spans="9:9">
      <c r="I122" s="147"/>
    </row>
    <row r="123" spans="9:9">
      <c r="I123" s="147"/>
    </row>
    <row r="124" spans="9:9">
      <c r="I124" s="147"/>
    </row>
    <row r="125" spans="9:9">
      <c r="I125" s="147"/>
    </row>
    <row r="126" spans="9:9">
      <c r="I126" s="147"/>
    </row>
    <row r="127" spans="9:9">
      <c r="I127" s="147"/>
    </row>
    <row r="128" spans="9:9">
      <c r="I128" s="147"/>
    </row>
    <row r="129" spans="9:9">
      <c r="I129" s="147"/>
    </row>
    <row r="130" spans="9:9">
      <c r="I130" s="147"/>
    </row>
    <row r="131" spans="9:9">
      <c r="I131" s="147"/>
    </row>
    <row r="132" spans="9:9">
      <c r="I132" s="147"/>
    </row>
    <row r="133" spans="9:9">
      <c r="I133" s="147"/>
    </row>
    <row r="134" spans="9:9">
      <c r="I134" s="147"/>
    </row>
    <row r="135" spans="9:9">
      <c r="I135" s="147"/>
    </row>
    <row r="136" spans="9:9">
      <c r="I136" s="147"/>
    </row>
    <row r="137" spans="9:9">
      <c r="I137" s="147"/>
    </row>
    <row r="138" spans="9:9">
      <c r="I138" s="147"/>
    </row>
    <row r="139" spans="9:9">
      <c r="I139" s="147"/>
    </row>
    <row r="140" spans="9:9">
      <c r="I140" s="147"/>
    </row>
    <row r="141" spans="9:9">
      <c r="I141" s="147"/>
    </row>
    <row r="142" spans="9:9">
      <c r="I142" s="147"/>
    </row>
    <row r="143" spans="9:9">
      <c r="I143" s="2"/>
    </row>
    <row r="144" spans="9:9">
      <c r="I144" s="2"/>
    </row>
    <row r="145" spans="9:9">
      <c r="I145" s="2"/>
    </row>
    <row r="146" spans="9:9">
      <c r="I146" s="2"/>
    </row>
    <row r="147" spans="9:9">
      <c r="I147" s="2"/>
    </row>
    <row r="148" spans="9:9">
      <c r="I148" s="2"/>
    </row>
    <row r="149" spans="9:9">
      <c r="I149" s="2"/>
    </row>
    <row r="150" spans="9:9">
      <c r="I150" s="2"/>
    </row>
    <row r="151" spans="9:9">
      <c r="I151" s="2"/>
    </row>
    <row r="152" spans="9:9">
      <c r="I152" s="2"/>
    </row>
    <row r="153" spans="9:9">
      <c r="I153" s="2"/>
    </row>
  </sheetData>
  <mergeCells count="25"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  <mergeCell ref="Y4:AE4"/>
    <mergeCell ref="Q5:S5"/>
    <mergeCell ref="AH7:AI8"/>
    <mergeCell ref="J23:J24"/>
    <mergeCell ref="K23:K24"/>
    <mergeCell ref="L23:L24"/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AC57"/>
  <sheetViews>
    <sheetView topLeftCell="A28" workbookViewId="0">
      <selection activeCell="U40" sqref="A1:U40"/>
    </sheetView>
  </sheetViews>
  <sheetFormatPr defaultRowHeight="12.5"/>
  <cols>
    <col min="1" max="1" width="4.7265625" customWidth="1"/>
    <col min="2" max="2" width="14" customWidth="1"/>
    <col min="3" max="3" width="7.7265625" customWidth="1"/>
    <col min="4" max="4" width="11.26953125" customWidth="1"/>
    <col min="5" max="17" width="4.7265625" customWidth="1"/>
    <col min="18" max="18" width="14" customWidth="1"/>
    <col min="19" max="19" width="7.7265625" customWidth="1"/>
    <col min="20" max="20" width="11.26953125" customWidth="1"/>
    <col min="21" max="21" width="4.7265625" customWidth="1"/>
    <col min="25" max="26" width="3.1796875" customWidth="1"/>
    <col min="27" max="27" width="3.81640625" customWidth="1"/>
  </cols>
  <sheetData>
    <row r="1" spans="1:29" ht="24" customHeight="1">
      <c r="A1" s="237" t="s">
        <v>11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36"/>
      <c r="W1" s="36"/>
      <c r="X1" s="38"/>
      <c r="Y1" s="36"/>
      <c r="Z1" s="36"/>
      <c r="AA1" s="36"/>
      <c r="AB1" s="36"/>
    </row>
    <row r="2" spans="1:29" ht="27.75" customHeight="1" thickBot="1">
      <c r="A2" s="238" t="s">
        <v>12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36"/>
      <c r="W2" s="36"/>
      <c r="X2" s="38"/>
      <c r="Y2" s="36"/>
      <c r="Z2" s="36"/>
      <c r="AA2" s="36"/>
      <c r="AB2" s="36"/>
    </row>
    <row r="3" spans="1:29" ht="33" customHeight="1" thickBot="1">
      <c r="A3" s="36"/>
      <c r="B3" s="36"/>
      <c r="C3" s="267" t="s">
        <v>114</v>
      </c>
      <c r="D3" s="268"/>
      <c r="E3" s="268"/>
      <c r="F3" s="268"/>
      <c r="G3" s="268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9"/>
      <c r="S3" s="36"/>
      <c r="T3" s="36"/>
      <c r="U3" s="36"/>
      <c r="V3" s="36"/>
      <c r="W3" s="36"/>
      <c r="X3" s="38"/>
      <c r="Y3" s="36"/>
      <c r="Z3" s="36"/>
      <c r="AA3" s="36"/>
      <c r="AB3" s="36"/>
    </row>
    <row r="4" spans="1:29" ht="15.75" customHeight="1" thickBot="1">
      <c r="A4" s="45"/>
      <c r="B4" s="45"/>
      <c r="C4" s="270" t="s">
        <v>115</v>
      </c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45"/>
      <c r="T4" s="36"/>
      <c r="U4" s="36"/>
      <c r="V4" s="36"/>
      <c r="W4" s="36"/>
      <c r="X4" s="38"/>
      <c r="Y4" s="36"/>
      <c r="Z4" s="36"/>
      <c r="AA4" s="36"/>
      <c r="AB4" s="36"/>
    </row>
    <row r="5" spans="1:29" ht="20.25" customHeight="1" thickBot="1">
      <c r="A5" s="36"/>
      <c r="B5" s="36"/>
      <c r="C5" s="36"/>
      <c r="D5" s="36"/>
      <c r="E5" s="36"/>
      <c r="F5" s="36"/>
      <c r="G5" s="36"/>
      <c r="H5" s="36"/>
      <c r="I5" s="46"/>
      <c r="J5" s="271" t="s">
        <v>64</v>
      </c>
      <c r="K5" s="272"/>
      <c r="L5" s="273"/>
      <c r="M5" s="274" t="s">
        <v>122</v>
      </c>
      <c r="N5" s="275"/>
      <c r="O5" s="276"/>
      <c r="P5" s="36"/>
      <c r="Q5" s="36"/>
      <c r="R5" s="6" t="s">
        <v>112</v>
      </c>
      <c r="S5" s="36"/>
      <c r="T5" s="36"/>
      <c r="U5" s="36"/>
      <c r="V5" s="36"/>
      <c r="W5" s="47"/>
      <c r="X5" s="37"/>
      <c r="Y5" s="37">
        <f>пр.взв!AH7</f>
        <v>12</v>
      </c>
      <c r="Z5" s="188" t="s">
        <v>63</v>
      </c>
      <c r="AA5" s="38"/>
      <c r="AB5" s="38"/>
    </row>
    <row r="6" spans="1:29" ht="18" customHeight="1" thickBot="1">
      <c r="A6" s="257" t="s">
        <v>0</v>
      </c>
      <c r="B6" s="257"/>
      <c r="C6" s="168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48"/>
      <c r="S6" s="48"/>
      <c r="T6" s="36"/>
      <c r="U6" s="48" t="s">
        <v>1</v>
      </c>
      <c r="V6" s="36"/>
      <c r="W6" s="49"/>
      <c r="X6" s="39"/>
      <c r="Y6" s="39"/>
      <c r="Z6" s="37"/>
      <c r="AA6" s="38"/>
      <c r="AB6" s="38"/>
    </row>
    <row r="7" spans="1:29" ht="12.75" customHeight="1" thickBot="1">
      <c r="A7" s="239">
        <v>1</v>
      </c>
      <c r="B7" s="258" t="s">
        <v>65</v>
      </c>
      <c r="C7" s="243" t="s">
        <v>110</v>
      </c>
      <c r="D7" s="243" t="s">
        <v>67</v>
      </c>
      <c r="E7" s="50"/>
      <c r="F7" s="166"/>
      <c r="G7" s="166"/>
      <c r="H7" s="166"/>
      <c r="I7" s="51" t="s">
        <v>14</v>
      </c>
      <c r="J7" s="166"/>
      <c r="K7" s="166"/>
      <c r="L7" s="166"/>
      <c r="M7" s="52"/>
      <c r="N7" s="52"/>
      <c r="O7" s="52"/>
      <c r="P7" s="52"/>
      <c r="Q7" s="53"/>
      <c r="R7" s="243" t="s">
        <v>69</v>
      </c>
      <c r="S7" s="256" t="s">
        <v>70</v>
      </c>
      <c r="T7" s="256" t="s">
        <v>71</v>
      </c>
      <c r="U7" s="234">
        <v>2</v>
      </c>
      <c r="V7" s="36"/>
      <c r="W7" s="49"/>
      <c r="X7" s="39"/>
      <c r="Y7" s="39"/>
      <c r="Z7" s="37"/>
      <c r="AA7" s="37"/>
      <c r="AB7" s="37"/>
      <c r="AC7" s="2"/>
    </row>
    <row r="8" spans="1:29" ht="12.75" customHeight="1">
      <c r="A8" s="240"/>
      <c r="B8" s="259"/>
      <c r="C8" s="244"/>
      <c r="D8" s="244"/>
      <c r="E8" s="54">
        <v>9</v>
      </c>
      <c r="F8" s="52"/>
      <c r="G8" s="52"/>
      <c r="H8" s="55">
        <v>3</v>
      </c>
      <c r="I8" s="260" t="s">
        <v>73</v>
      </c>
      <c r="J8" s="261"/>
      <c r="K8" s="261"/>
      <c r="L8" s="261"/>
      <c r="M8" s="262"/>
      <c r="N8" s="52"/>
      <c r="O8" s="52"/>
      <c r="P8" s="52"/>
      <c r="Q8" s="54">
        <v>2</v>
      </c>
      <c r="R8" s="244"/>
      <c r="S8" s="250"/>
      <c r="T8" s="250"/>
      <c r="U8" s="235"/>
      <c r="V8" s="36"/>
      <c r="W8" s="49"/>
      <c r="X8" s="39"/>
      <c r="Y8" s="39"/>
      <c r="Z8" s="37"/>
      <c r="AA8" s="37"/>
      <c r="AB8" s="37"/>
      <c r="AC8" s="2"/>
    </row>
    <row r="9" spans="1:29" ht="12.75" customHeight="1" thickBot="1">
      <c r="A9" s="240">
        <v>9</v>
      </c>
      <c r="B9" s="248" t="s">
        <v>94</v>
      </c>
      <c r="C9" s="248" t="s">
        <v>95</v>
      </c>
      <c r="D9" s="250" t="s">
        <v>97</v>
      </c>
      <c r="E9" s="56" t="s">
        <v>109</v>
      </c>
      <c r="F9" s="169"/>
      <c r="G9" s="52"/>
      <c r="H9" s="166"/>
      <c r="I9" s="263"/>
      <c r="J9" s="264"/>
      <c r="K9" s="264"/>
      <c r="L9" s="264"/>
      <c r="M9" s="265"/>
      <c r="N9" s="52"/>
      <c r="O9" s="52"/>
      <c r="P9" s="57"/>
      <c r="Q9" s="56" t="s">
        <v>109</v>
      </c>
      <c r="R9" s="248" t="s">
        <v>99</v>
      </c>
      <c r="S9" s="248" t="s">
        <v>100</v>
      </c>
      <c r="T9" s="248" t="s">
        <v>88</v>
      </c>
      <c r="U9" s="235">
        <v>10</v>
      </c>
      <c r="V9" s="36"/>
      <c r="W9" s="49"/>
      <c r="X9" s="39"/>
      <c r="Y9" s="39"/>
      <c r="Z9" s="37"/>
      <c r="AA9" s="37"/>
      <c r="AB9" s="37"/>
      <c r="AC9" s="2"/>
    </row>
    <row r="10" spans="1:29" ht="12.75" customHeight="1" thickBot="1">
      <c r="A10" s="247"/>
      <c r="B10" s="249"/>
      <c r="C10" s="249"/>
      <c r="D10" s="244"/>
      <c r="E10" s="58"/>
      <c r="F10" s="170"/>
      <c r="G10" s="54">
        <v>9</v>
      </c>
      <c r="H10" s="166"/>
      <c r="I10" s="53"/>
      <c r="J10" s="53"/>
      <c r="K10" s="208" t="s">
        <v>109</v>
      </c>
      <c r="L10" s="53"/>
      <c r="M10" s="52"/>
      <c r="N10" s="52"/>
      <c r="O10" s="54">
        <v>2</v>
      </c>
      <c r="P10" s="59"/>
      <c r="Q10" s="53"/>
      <c r="R10" s="249"/>
      <c r="S10" s="249"/>
      <c r="T10" s="249"/>
      <c r="U10" s="236"/>
      <c r="V10" s="36"/>
      <c r="W10" s="49"/>
      <c r="X10" s="40"/>
      <c r="Y10" s="39"/>
      <c r="Z10" s="37"/>
      <c r="AA10" s="37"/>
      <c r="AB10" s="37"/>
      <c r="AC10" s="2"/>
    </row>
    <row r="11" spans="1:29" ht="12.75" customHeight="1" thickBot="1">
      <c r="A11" s="239">
        <v>5</v>
      </c>
      <c r="B11" s="241" t="s">
        <v>79</v>
      </c>
      <c r="C11" s="243" t="s">
        <v>80</v>
      </c>
      <c r="D11" s="243" t="s">
        <v>75</v>
      </c>
      <c r="E11" s="50"/>
      <c r="F11" s="170"/>
      <c r="G11" s="56" t="s">
        <v>109</v>
      </c>
      <c r="H11" s="60"/>
      <c r="I11" s="166"/>
      <c r="J11" s="53"/>
      <c r="K11" s="53"/>
      <c r="L11" s="53"/>
      <c r="M11" s="52"/>
      <c r="N11" s="57"/>
      <c r="O11" s="56" t="s">
        <v>109</v>
      </c>
      <c r="P11" s="59"/>
      <c r="Q11" s="53"/>
      <c r="R11" s="256" t="s">
        <v>82</v>
      </c>
      <c r="S11" s="256" t="s">
        <v>83</v>
      </c>
      <c r="T11" s="256" t="s">
        <v>84</v>
      </c>
      <c r="U11" s="245">
        <v>6</v>
      </c>
      <c r="V11" s="36"/>
      <c r="W11" s="49"/>
      <c r="X11" s="40"/>
      <c r="Y11" s="39"/>
      <c r="Z11" s="37"/>
      <c r="AA11" s="37"/>
      <c r="AB11" s="37"/>
      <c r="AC11" s="2"/>
    </row>
    <row r="12" spans="1:29" ht="12.75" customHeight="1">
      <c r="A12" s="240"/>
      <c r="B12" s="242"/>
      <c r="C12" s="244"/>
      <c r="D12" s="244"/>
      <c r="E12" s="54">
        <v>5</v>
      </c>
      <c r="F12" s="171"/>
      <c r="G12" s="52"/>
      <c r="H12" s="61"/>
      <c r="I12" s="166"/>
      <c r="J12" s="308" t="s">
        <v>10</v>
      </c>
      <c r="K12" s="308"/>
      <c r="L12" s="308"/>
      <c r="M12" s="52"/>
      <c r="N12" s="59"/>
      <c r="O12" s="52"/>
      <c r="P12" s="164"/>
      <c r="Q12" s="54">
        <v>6</v>
      </c>
      <c r="R12" s="250"/>
      <c r="S12" s="250"/>
      <c r="T12" s="250"/>
      <c r="U12" s="235"/>
      <c r="V12" s="36"/>
      <c r="W12" s="49"/>
      <c r="X12" s="40"/>
      <c r="Y12" s="39"/>
      <c r="Z12" s="37"/>
      <c r="AA12" s="37"/>
      <c r="AB12" s="37"/>
      <c r="AC12" s="2"/>
    </row>
    <row r="13" spans="1:29" ht="12.75" customHeight="1" thickBot="1">
      <c r="A13" s="240">
        <v>13</v>
      </c>
      <c r="B13" s="248" t="s">
        <v>62</v>
      </c>
      <c r="C13" s="248" t="s">
        <v>62</v>
      </c>
      <c r="D13" s="250" t="s">
        <v>62</v>
      </c>
      <c r="E13" s="56"/>
      <c r="F13" s="52"/>
      <c r="G13" s="52"/>
      <c r="H13" s="61"/>
      <c r="I13" s="62"/>
      <c r="J13" s="63"/>
      <c r="K13" s="63"/>
      <c r="L13" s="166"/>
      <c r="M13" s="52"/>
      <c r="N13" s="59"/>
      <c r="O13" s="52"/>
      <c r="P13" s="52"/>
      <c r="Q13" s="56"/>
      <c r="R13" s="248" t="s">
        <v>62</v>
      </c>
      <c r="S13" s="248" t="s">
        <v>62</v>
      </c>
      <c r="T13" s="248" t="s">
        <v>62</v>
      </c>
      <c r="U13" s="235">
        <v>14</v>
      </c>
      <c r="V13" s="36"/>
      <c r="W13" s="49"/>
      <c r="X13" s="40"/>
      <c r="Y13" s="39"/>
      <c r="Z13" s="37"/>
      <c r="AA13" s="37"/>
      <c r="AB13" s="37"/>
      <c r="AC13" s="2"/>
    </row>
    <row r="14" spans="1:29" ht="12.75" customHeight="1" thickBot="1">
      <c r="A14" s="247"/>
      <c r="B14" s="249"/>
      <c r="C14" s="249"/>
      <c r="D14" s="244"/>
      <c r="E14" s="58"/>
      <c r="F14" s="266"/>
      <c r="G14" s="266"/>
      <c r="H14" s="61"/>
      <c r="I14" s="54">
        <v>3</v>
      </c>
      <c r="J14" s="166"/>
      <c r="K14" s="166"/>
      <c r="L14" s="166"/>
      <c r="M14" s="54">
        <v>4</v>
      </c>
      <c r="N14" s="62"/>
      <c r="O14" s="52"/>
      <c r="P14" s="52"/>
      <c r="Q14" s="53"/>
      <c r="R14" s="249"/>
      <c r="S14" s="249"/>
      <c r="T14" s="249"/>
      <c r="U14" s="246"/>
      <c r="V14" s="36"/>
      <c r="W14" s="49"/>
      <c r="X14" s="40"/>
      <c r="Y14" s="39"/>
      <c r="Z14" s="37"/>
      <c r="AA14" s="37"/>
      <c r="AB14" s="37"/>
      <c r="AC14" s="2"/>
    </row>
    <row r="15" spans="1:29" ht="12.75" customHeight="1" thickBot="1">
      <c r="A15" s="239">
        <v>3</v>
      </c>
      <c r="B15" s="241" t="s">
        <v>73</v>
      </c>
      <c r="C15" s="243" t="s">
        <v>74</v>
      </c>
      <c r="D15" s="243" t="s">
        <v>75</v>
      </c>
      <c r="E15" s="50"/>
      <c r="F15" s="52"/>
      <c r="G15" s="52"/>
      <c r="H15" s="61"/>
      <c r="I15" s="56" t="s">
        <v>109</v>
      </c>
      <c r="J15" s="166"/>
      <c r="K15" s="166"/>
      <c r="L15" s="166"/>
      <c r="M15" s="56" t="s">
        <v>111</v>
      </c>
      <c r="N15" s="59"/>
      <c r="O15" s="52"/>
      <c r="P15" s="52"/>
      <c r="Q15" s="53"/>
      <c r="R15" s="256" t="s">
        <v>77</v>
      </c>
      <c r="S15" s="256" t="s">
        <v>78</v>
      </c>
      <c r="T15" s="256" t="s">
        <v>75</v>
      </c>
      <c r="U15" s="234">
        <v>4</v>
      </c>
      <c r="V15" s="36"/>
      <c r="W15" s="49"/>
      <c r="X15" s="40"/>
      <c r="Y15" s="39"/>
      <c r="Z15" s="37"/>
      <c r="AA15" s="37"/>
      <c r="AB15" s="37"/>
      <c r="AC15" s="2"/>
    </row>
    <row r="16" spans="1:29" ht="12.75" customHeight="1">
      <c r="A16" s="240"/>
      <c r="B16" s="242"/>
      <c r="C16" s="244"/>
      <c r="D16" s="244"/>
      <c r="E16" s="54">
        <v>3</v>
      </c>
      <c r="F16" s="52"/>
      <c r="G16" s="52"/>
      <c r="H16" s="61"/>
      <c r="I16" s="166"/>
      <c r="J16" s="166"/>
      <c r="K16" s="166"/>
      <c r="L16" s="166"/>
      <c r="M16" s="52"/>
      <c r="N16" s="59"/>
      <c r="O16" s="52"/>
      <c r="P16" s="52"/>
      <c r="Q16" s="54">
        <v>4</v>
      </c>
      <c r="R16" s="250"/>
      <c r="S16" s="250"/>
      <c r="T16" s="250"/>
      <c r="U16" s="235"/>
      <c r="V16" s="36"/>
      <c r="W16" s="49"/>
      <c r="X16" s="40"/>
      <c r="Y16" s="39"/>
      <c r="Z16" s="37"/>
      <c r="AA16" s="37"/>
      <c r="AB16" s="37"/>
      <c r="AC16" s="2"/>
    </row>
    <row r="17" spans="1:29" ht="12.75" customHeight="1" thickBot="1">
      <c r="A17" s="240">
        <v>11</v>
      </c>
      <c r="B17" s="248" t="s">
        <v>102</v>
      </c>
      <c r="C17" s="248" t="s">
        <v>103</v>
      </c>
      <c r="D17" s="250" t="s">
        <v>104</v>
      </c>
      <c r="E17" s="56" t="s">
        <v>109</v>
      </c>
      <c r="F17" s="169"/>
      <c r="G17" s="52"/>
      <c r="H17" s="61"/>
      <c r="I17" s="166"/>
      <c r="J17" s="166"/>
      <c r="K17" s="166"/>
      <c r="L17" s="166"/>
      <c r="M17" s="52"/>
      <c r="N17" s="59"/>
      <c r="O17" s="52"/>
      <c r="P17" s="57"/>
      <c r="Q17" s="56" t="s">
        <v>109</v>
      </c>
      <c r="R17" s="248" t="s">
        <v>106</v>
      </c>
      <c r="S17" s="248" t="s">
        <v>107</v>
      </c>
      <c r="T17" s="248" t="s">
        <v>84</v>
      </c>
      <c r="U17" s="235">
        <v>12</v>
      </c>
      <c r="V17" s="36"/>
      <c r="W17" s="49"/>
      <c r="X17" s="40"/>
      <c r="Y17" s="39"/>
      <c r="Z17" s="37"/>
      <c r="AA17" s="37"/>
      <c r="AB17" s="37"/>
      <c r="AC17" s="2"/>
    </row>
    <row r="18" spans="1:29" ht="12.75" customHeight="1" thickBot="1">
      <c r="A18" s="247"/>
      <c r="B18" s="249"/>
      <c r="C18" s="249"/>
      <c r="D18" s="244"/>
      <c r="E18" s="58"/>
      <c r="F18" s="170"/>
      <c r="G18" s="54">
        <v>3</v>
      </c>
      <c r="H18" s="64"/>
      <c r="I18" s="51" t="s">
        <v>15</v>
      </c>
      <c r="J18" s="166"/>
      <c r="K18" s="166"/>
      <c r="L18" s="166"/>
      <c r="M18" s="52"/>
      <c r="N18" s="164"/>
      <c r="O18" s="54">
        <v>4</v>
      </c>
      <c r="P18" s="59"/>
      <c r="Q18" s="53"/>
      <c r="R18" s="249"/>
      <c r="S18" s="249"/>
      <c r="T18" s="249"/>
      <c r="U18" s="236"/>
      <c r="V18" s="36"/>
      <c r="W18" s="49"/>
      <c r="X18" s="40"/>
      <c r="Y18" s="39"/>
      <c r="Z18" s="37"/>
      <c r="AA18" s="38"/>
      <c r="AB18" s="38"/>
    </row>
    <row r="19" spans="1:29" ht="12.75" customHeight="1" thickBot="1">
      <c r="A19" s="239">
        <v>7</v>
      </c>
      <c r="B19" s="241" t="s">
        <v>86</v>
      </c>
      <c r="C19" s="243" t="s">
        <v>87</v>
      </c>
      <c r="D19" s="243" t="s">
        <v>88</v>
      </c>
      <c r="E19" s="50"/>
      <c r="F19" s="65"/>
      <c r="G19" s="56" t="s">
        <v>109</v>
      </c>
      <c r="H19" s="55"/>
      <c r="I19" s="53"/>
      <c r="J19" s="53"/>
      <c r="K19" s="53"/>
      <c r="L19" s="53"/>
      <c r="M19" s="53"/>
      <c r="N19" s="52"/>
      <c r="O19" s="56" t="s">
        <v>109</v>
      </c>
      <c r="P19" s="59"/>
      <c r="Q19" s="53"/>
      <c r="R19" s="254" t="s">
        <v>90</v>
      </c>
      <c r="S19" s="256" t="s">
        <v>91</v>
      </c>
      <c r="T19" s="256" t="s">
        <v>92</v>
      </c>
      <c r="U19" s="252">
        <v>8</v>
      </c>
      <c r="V19" s="36"/>
      <c r="W19" s="47"/>
      <c r="X19" s="41"/>
      <c r="Y19" s="37"/>
      <c r="Z19" s="37"/>
      <c r="AA19" s="38"/>
      <c r="AB19" s="38"/>
    </row>
    <row r="20" spans="1:29" ht="12.75" customHeight="1">
      <c r="A20" s="240"/>
      <c r="B20" s="242"/>
      <c r="C20" s="244"/>
      <c r="D20" s="244"/>
      <c r="E20" s="54">
        <v>7</v>
      </c>
      <c r="F20" s="66"/>
      <c r="G20" s="58"/>
      <c r="H20" s="55">
        <v>4</v>
      </c>
      <c r="I20" s="322" t="s">
        <v>77</v>
      </c>
      <c r="J20" s="323"/>
      <c r="K20" s="323"/>
      <c r="L20" s="323"/>
      <c r="M20" s="324"/>
      <c r="N20" s="52"/>
      <c r="O20" s="52"/>
      <c r="P20" s="67"/>
      <c r="Q20" s="54">
        <v>8</v>
      </c>
      <c r="R20" s="255"/>
      <c r="S20" s="250"/>
      <c r="T20" s="250"/>
      <c r="U20" s="245"/>
      <c r="V20" s="36"/>
      <c r="W20" s="36"/>
      <c r="X20" s="38"/>
      <c r="Y20" s="38"/>
      <c r="Z20" s="38"/>
      <c r="AA20" s="38"/>
      <c r="AB20" s="38"/>
    </row>
    <row r="21" spans="1:29" ht="12.75" customHeight="1" thickBot="1">
      <c r="A21" s="240">
        <v>15</v>
      </c>
      <c r="B21" s="248" t="s">
        <v>62</v>
      </c>
      <c r="C21" s="248" t="s">
        <v>62</v>
      </c>
      <c r="D21" s="250" t="s">
        <v>62</v>
      </c>
      <c r="E21" s="56"/>
      <c r="F21" s="58"/>
      <c r="G21" s="58"/>
      <c r="H21" s="167"/>
      <c r="I21" s="325"/>
      <c r="J21" s="326"/>
      <c r="K21" s="326"/>
      <c r="L21" s="326"/>
      <c r="M21" s="327"/>
      <c r="N21" s="52"/>
      <c r="O21" s="52"/>
      <c r="P21" s="52"/>
      <c r="Q21" s="56"/>
      <c r="R21" s="248" t="s">
        <v>62</v>
      </c>
      <c r="S21" s="248" t="s">
        <v>62</v>
      </c>
      <c r="T21" s="248" t="s">
        <v>62</v>
      </c>
      <c r="U21" s="246">
        <v>16</v>
      </c>
      <c r="V21" s="36"/>
      <c r="W21" s="36"/>
      <c r="X21" s="38"/>
      <c r="Y21" s="38"/>
      <c r="Z21" s="38"/>
      <c r="AA21" s="38"/>
      <c r="AB21" s="38"/>
    </row>
    <row r="22" spans="1:29" ht="12.75" customHeight="1" thickBot="1">
      <c r="A22" s="247"/>
      <c r="B22" s="249"/>
      <c r="C22" s="249"/>
      <c r="D22" s="251"/>
      <c r="E22" s="58"/>
      <c r="F22" s="50"/>
      <c r="G22" s="50"/>
      <c r="H22" s="53"/>
      <c r="I22" s="53"/>
      <c r="J22" s="53"/>
      <c r="K22" s="53"/>
      <c r="L22" s="53"/>
      <c r="M22" s="53"/>
      <c r="N22" s="53"/>
      <c r="O22" s="166"/>
      <c r="P22" s="166"/>
      <c r="Q22" s="53"/>
      <c r="R22" s="249"/>
      <c r="S22" s="249"/>
      <c r="T22" s="249"/>
      <c r="U22" s="253"/>
      <c r="V22" s="36"/>
      <c r="W22" s="36"/>
      <c r="X22" s="38"/>
      <c r="Y22" s="38"/>
      <c r="Z22" s="38"/>
      <c r="AA22" s="38"/>
      <c r="AB22" s="38"/>
    </row>
    <row r="23" spans="1:29" ht="12.75" customHeight="1">
      <c r="A23" s="68"/>
      <c r="B23" s="68"/>
      <c r="C23" s="172"/>
      <c r="D23" s="47"/>
      <c r="E23" s="69"/>
      <c r="F23" s="69"/>
      <c r="G23" s="69"/>
      <c r="H23" s="309" t="s">
        <v>13</v>
      </c>
      <c r="I23" s="309"/>
      <c r="J23" s="309"/>
      <c r="K23" s="309"/>
      <c r="L23" s="309"/>
      <c r="M23" s="309"/>
      <c r="N23" s="309"/>
      <c r="O23" s="70"/>
      <c r="P23" s="70"/>
      <c r="Q23" s="53"/>
      <c r="R23" s="71"/>
      <c r="S23" s="71"/>
      <c r="T23" s="71"/>
      <c r="U23" s="36"/>
      <c r="V23" s="36"/>
      <c r="W23" s="47"/>
      <c r="X23" s="38"/>
      <c r="Y23" s="38"/>
      <c r="Z23" s="38"/>
      <c r="AA23" s="38"/>
      <c r="AB23" s="38"/>
    </row>
    <row r="24" spans="1:29" ht="12" customHeight="1" thickBot="1">
      <c r="A24" s="36"/>
      <c r="B24" s="36"/>
      <c r="C24" s="36"/>
      <c r="D24" s="72" t="s">
        <v>2</v>
      </c>
      <c r="E24" s="36"/>
      <c r="F24" s="36"/>
      <c r="G24" s="36"/>
      <c r="H24" s="36"/>
      <c r="I24" s="36"/>
      <c r="J24" s="36"/>
      <c r="K24" s="47"/>
      <c r="L24" s="47"/>
      <c r="M24" s="47"/>
      <c r="N24" s="47"/>
      <c r="O24" s="72" t="s">
        <v>3</v>
      </c>
      <c r="P24" s="47"/>
      <c r="Q24" s="47"/>
      <c r="R24" s="47"/>
      <c r="S24" s="47"/>
      <c r="T24" s="47"/>
      <c r="U24" s="73"/>
      <c r="V24" s="47"/>
      <c r="W24" s="36"/>
      <c r="X24" s="38"/>
      <c r="Y24" s="43" t="s">
        <v>39</v>
      </c>
      <c r="Z24" s="43" t="s">
        <v>40</v>
      </c>
      <c r="AA24" s="103" t="s">
        <v>40</v>
      </c>
      <c r="AB24" s="38"/>
    </row>
    <row r="25" spans="1:29" ht="12.75" customHeight="1">
      <c r="A25" s="74">
        <v>1</v>
      </c>
      <c r="B25" s="284" t="s">
        <v>65</v>
      </c>
      <c r="C25" s="36"/>
      <c r="D25" s="36"/>
      <c r="E25" s="36"/>
      <c r="F25" s="36"/>
      <c r="G25" s="36"/>
      <c r="H25" s="36"/>
      <c r="I25" s="75">
        <v>10</v>
      </c>
      <c r="J25" s="278" t="s">
        <v>99</v>
      </c>
      <c r="K25" s="293"/>
      <c r="L25" s="294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36"/>
      <c r="X25" s="38"/>
      <c r="Y25" s="44">
        <f>IF(G10=""," ",IF(G10=E8,E12,E8))</f>
        <v>5</v>
      </c>
      <c r="Z25" s="43">
        <f>IF(A25=""," ",IF(A25=C26,A27,A25))</f>
        <v>1</v>
      </c>
      <c r="AA25" s="43">
        <f>IF(D29=""," ",IF(D29=E32,C35,D29))</f>
        <v>2</v>
      </c>
      <c r="AB25" s="38"/>
    </row>
    <row r="26" spans="1:29" ht="12.75" customHeight="1">
      <c r="A26" s="73"/>
      <c r="B26" s="286"/>
      <c r="C26" s="76">
        <v>5</v>
      </c>
      <c r="D26" s="77"/>
      <c r="E26" s="78"/>
      <c r="F26" s="78"/>
      <c r="G26" s="78"/>
      <c r="H26" s="78"/>
      <c r="I26" s="79"/>
      <c r="J26" s="295"/>
      <c r="K26" s="296"/>
      <c r="L26" s="297"/>
      <c r="M26" s="52">
        <v>10</v>
      </c>
      <c r="N26" s="77"/>
      <c r="O26" s="77"/>
      <c r="P26" s="77"/>
      <c r="Q26" s="77"/>
      <c r="R26" s="80"/>
      <c r="S26" s="77"/>
      <c r="T26" s="77"/>
      <c r="U26" s="73"/>
      <c r="V26" s="47"/>
      <c r="W26" s="36"/>
      <c r="X26" s="38"/>
      <c r="Y26" s="44">
        <f>IF(O10=""," ",IF(O10=Q8,Q12,Q8))</f>
        <v>6</v>
      </c>
      <c r="Z26" s="43">
        <f>IF(I25=""," ",IF(I25=M26,I27,I25))</f>
        <v>6</v>
      </c>
      <c r="AA26" s="43">
        <f>IF(N29=""," ",IF(N29=Q32,M35,N29))</f>
        <v>10</v>
      </c>
      <c r="AB26" s="38"/>
    </row>
    <row r="27" spans="1:29" ht="12.75" customHeight="1">
      <c r="A27" s="81">
        <v>5</v>
      </c>
      <c r="B27" s="287" t="s">
        <v>79</v>
      </c>
      <c r="C27" s="205" t="s">
        <v>109</v>
      </c>
      <c r="D27" s="77"/>
      <c r="E27" s="82"/>
      <c r="F27" s="82"/>
      <c r="G27" s="82"/>
      <c r="H27" s="82"/>
      <c r="I27" s="83">
        <v>6</v>
      </c>
      <c r="J27" s="310" t="s">
        <v>82</v>
      </c>
      <c r="K27" s="311"/>
      <c r="L27" s="312"/>
      <c r="M27" s="205" t="s">
        <v>109</v>
      </c>
      <c r="N27" s="51"/>
      <c r="O27" s="51"/>
      <c r="P27" s="51"/>
      <c r="Q27" s="51"/>
      <c r="R27" s="77"/>
      <c r="S27" s="77"/>
      <c r="T27" s="77"/>
      <c r="U27" s="47"/>
      <c r="V27" s="47"/>
      <c r="W27" s="36"/>
      <c r="X27" s="38"/>
      <c r="Y27" s="44">
        <f>IF(G18=""," ",IF(G18=E16,E20,E16))</f>
        <v>7</v>
      </c>
      <c r="Z27" s="43">
        <f>IF(A31=""," ",IF(A31=C32,A33,A31))</f>
        <v>11</v>
      </c>
      <c r="AA27" s="43">
        <f>IF(C32=""," ",IF(C32=D29,C26,C32))</f>
        <v>5</v>
      </c>
      <c r="AB27" s="38"/>
    </row>
    <row r="28" spans="1:29" ht="12.75" customHeight="1" thickBot="1">
      <c r="A28" s="81"/>
      <c r="B28" s="288"/>
      <c r="C28" s="84"/>
      <c r="D28" s="77"/>
      <c r="E28" s="51"/>
      <c r="F28" s="51"/>
      <c r="G28" s="82"/>
      <c r="H28" s="82"/>
      <c r="I28" s="83"/>
      <c r="J28" s="313"/>
      <c r="K28" s="314"/>
      <c r="L28" s="315"/>
      <c r="M28" s="84"/>
      <c r="N28" s="51"/>
      <c r="O28" s="51"/>
      <c r="P28" s="51"/>
      <c r="Q28" s="51"/>
      <c r="R28" s="77"/>
      <c r="S28" s="85"/>
      <c r="T28" s="77"/>
      <c r="U28" s="47"/>
      <c r="V28" s="47"/>
      <c r="W28" s="36"/>
      <c r="X28" s="38"/>
      <c r="Y28" s="44">
        <f>IF(O18=""," ",IF(O18=Q16,Q20,Q16))</f>
        <v>8</v>
      </c>
      <c r="Z28" s="43">
        <f>IF(I31=""," ",IF(I31=M32,I33,I31))</f>
        <v>8</v>
      </c>
      <c r="AA28" s="43">
        <f>IF(M32=""," ",IF(M32=N29,M26,M32))</f>
        <v>12</v>
      </c>
      <c r="AB28" s="38"/>
    </row>
    <row r="29" spans="1:29" ht="12.75" customHeight="1">
      <c r="A29" s="81"/>
      <c r="B29" s="86"/>
      <c r="C29" s="84"/>
      <c r="D29" s="52">
        <v>7</v>
      </c>
      <c r="E29" s="51"/>
      <c r="F29" s="51"/>
      <c r="G29" s="82"/>
      <c r="H29" s="82"/>
      <c r="I29" s="83"/>
      <c r="J29" s="167"/>
      <c r="K29" s="86"/>
      <c r="L29" s="87"/>
      <c r="M29" s="84"/>
      <c r="N29" s="304">
        <v>10</v>
      </c>
      <c r="O29" s="305"/>
      <c r="P29" s="305"/>
      <c r="Q29" s="51"/>
      <c r="R29" s="77"/>
      <c r="S29" s="77"/>
      <c r="T29" s="77"/>
      <c r="U29" s="47"/>
      <c r="V29" s="47"/>
      <c r="W29" s="36"/>
      <c r="X29" s="38"/>
      <c r="Y29" s="44">
        <f>IF(G10=""," ",IF(G10=A7,A9,IF(G10=A9,A7,IF(G10=A11,A13,A11))))</f>
        <v>1</v>
      </c>
      <c r="Z29" s="43">
        <f>IF(AND(OR(A7=G10,A9=G10),A11=E12),A13,IF(AND(OR(A7=G10,A9=G10),A13=E12),A11,IF(A7=E8,A9,A7)))</f>
        <v>13</v>
      </c>
      <c r="AA29" s="43">
        <f>IF(H8="","",IF(H8=I14,M14,I14))</f>
        <v>4</v>
      </c>
      <c r="AB29" s="38"/>
    </row>
    <row r="30" spans="1:29" ht="12.75" customHeight="1" thickBot="1">
      <c r="A30" s="81"/>
      <c r="B30" s="88"/>
      <c r="C30" s="84"/>
      <c r="D30" s="205" t="s">
        <v>109</v>
      </c>
      <c r="E30" s="51"/>
      <c r="F30" s="36" t="s">
        <v>16</v>
      </c>
      <c r="G30" s="82"/>
      <c r="H30" s="82"/>
      <c r="I30" s="83"/>
      <c r="J30" s="167"/>
      <c r="K30" s="88"/>
      <c r="L30" s="87"/>
      <c r="M30" s="84"/>
      <c r="N30" s="51"/>
      <c r="O30" s="206" t="s">
        <v>111</v>
      </c>
      <c r="P30" s="89"/>
      <c r="Q30" s="51"/>
      <c r="R30" s="36" t="s">
        <v>16</v>
      </c>
      <c r="S30" s="77"/>
      <c r="T30" s="77"/>
      <c r="U30" s="47"/>
      <c r="V30" s="47"/>
      <c r="W30" s="36"/>
      <c r="X30" s="38"/>
      <c r="Y30" s="44">
        <f>IF(O10=""," ",IF(O10=U7,U9,IF(O10=U9,U7,IF(O10=U11,U13,U11))))</f>
        <v>10</v>
      </c>
      <c r="Z30" s="43">
        <f>IF(AND(U7=O10,U11=Q12),U13,IF(AND(U7=O10,U13=Q12),U11,IF(AND(U9=O10,U11=Q12),U13,IF(AND(U9=O10,U13=Q12),U11,IF(U7=Q8,U9,U7)))))</f>
        <v>14</v>
      </c>
      <c r="AA30" s="43"/>
      <c r="AB30" s="38"/>
    </row>
    <row r="31" spans="1:29" ht="13.5" thickBot="1">
      <c r="A31" s="90">
        <v>11</v>
      </c>
      <c r="B31" s="289" t="s">
        <v>102</v>
      </c>
      <c r="C31" s="91"/>
      <c r="D31" s="92"/>
      <c r="E31" s="55"/>
      <c r="F31" s="51"/>
      <c r="G31" s="51"/>
      <c r="H31" s="51"/>
      <c r="I31" s="93">
        <v>12</v>
      </c>
      <c r="J31" s="316" t="s">
        <v>106</v>
      </c>
      <c r="K31" s="317"/>
      <c r="L31" s="318"/>
      <c r="M31" s="91"/>
      <c r="N31" s="51"/>
      <c r="O31" s="51"/>
      <c r="P31" s="94"/>
      <c r="Q31" s="51"/>
      <c r="R31" s="77"/>
      <c r="S31" s="77"/>
      <c r="T31" s="77"/>
      <c r="U31" s="47"/>
      <c r="V31" s="47"/>
      <c r="W31" s="36"/>
      <c r="X31" s="38"/>
      <c r="Y31" s="44">
        <f>IF(G18=""," ",IF(G18=A15,A17,IF(G18=A17,A15,IF(G18=A19,A21,A19))))</f>
        <v>11</v>
      </c>
      <c r="Z31" s="43">
        <f>IF(AND(OR(A15=G18,A17=G18),A19=E20),A21,IF(AND(OR(A15=G18,A17=G18),A21=E20),A19,IF(A15=E16,A17,A15)))</f>
        <v>15</v>
      </c>
      <c r="AA31" s="43"/>
      <c r="AB31" s="38"/>
    </row>
    <row r="32" spans="1:29" ht="13.5" customHeight="1">
      <c r="A32" s="90"/>
      <c r="B32" s="290"/>
      <c r="C32" s="95">
        <v>7</v>
      </c>
      <c r="D32" s="92"/>
      <c r="E32" s="165">
        <v>7</v>
      </c>
      <c r="F32" s="298" t="s">
        <v>86</v>
      </c>
      <c r="G32" s="299"/>
      <c r="H32" s="300"/>
      <c r="I32" s="96"/>
      <c r="J32" s="319"/>
      <c r="K32" s="320"/>
      <c r="L32" s="321"/>
      <c r="M32" s="95">
        <v>12</v>
      </c>
      <c r="N32" s="97"/>
      <c r="O32" s="97"/>
      <c r="P32" s="94"/>
      <c r="Q32" s="165">
        <v>9</v>
      </c>
      <c r="R32" s="306" t="s">
        <v>94</v>
      </c>
      <c r="S32" s="97"/>
      <c r="T32" s="97"/>
      <c r="U32" s="97"/>
      <c r="V32" s="47"/>
      <c r="W32" s="36"/>
      <c r="X32" s="38"/>
      <c r="Y32" s="44">
        <f>IF(O18=""," ",IF(O18=U15,U17,IF(O18=U17,U15,IF(O18=U19,U21,U19))))</f>
        <v>12</v>
      </c>
      <c r="Z32" s="43">
        <f>IF(AND(U15=O18,U19=Q20),U21,IF(AND(U15=O18,U21=Q20),U19,IF(AND(U17=O18,U19=Q20),U21,IF(AND(U17=O18,U21=Q20),U19,IF(U15=Q16,U17,U15)))))</f>
        <v>16</v>
      </c>
      <c r="AA32" s="43"/>
      <c r="AB32" s="38"/>
    </row>
    <row r="33" spans="1:28" ht="13.5" customHeight="1" thickBot="1">
      <c r="A33" s="90">
        <v>7</v>
      </c>
      <c r="B33" s="291" t="s">
        <v>86</v>
      </c>
      <c r="C33" s="206" t="s">
        <v>109</v>
      </c>
      <c r="D33" s="92"/>
      <c r="E33" s="207" t="s">
        <v>109</v>
      </c>
      <c r="F33" s="301"/>
      <c r="G33" s="302"/>
      <c r="H33" s="303"/>
      <c r="I33" s="98">
        <v>8</v>
      </c>
      <c r="J33" s="310" t="s">
        <v>90</v>
      </c>
      <c r="K33" s="311"/>
      <c r="L33" s="312"/>
      <c r="M33" s="99" t="s">
        <v>109</v>
      </c>
      <c r="N33" s="97"/>
      <c r="O33" s="97"/>
      <c r="P33" s="94"/>
      <c r="Q33" s="206" t="s">
        <v>109</v>
      </c>
      <c r="R33" s="307"/>
      <c r="S33" s="97"/>
      <c r="T33" s="97"/>
      <c r="U33" s="97"/>
      <c r="V33" s="47"/>
      <c r="W33" s="36"/>
      <c r="X33" s="38"/>
      <c r="Y33" s="42">
        <f>IF(I14="","",IF(G10=I14,G18,G10))</f>
        <v>9</v>
      </c>
      <c r="Z33" s="38"/>
      <c r="AA33" s="38"/>
      <c r="AB33" s="38"/>
    </row>
    <row r="34" spans="1:28" ht="13.5" customHeight="1" thickBot="1">
      <c r="A34" s="173"/>
      <c r="B34" s="292"/>
      <c r="C34" s="77"/>
      <c r="D34" s="92"/>
      <c r="E34" s="51"/>
      <c r="F34" s="51"/>
      <c r="G34" s="51"/>
      <c r="H34" s="51"/>
      <c r="I34" s="98"/>
      <c r="J34" s="313"/>
      <c r="K34" s="314"/>
      <c r="L34" s="315"/>
      <c r="M34" s="51"/>
      <c r="N34" s="51"/>
      <c r="O34" s="51"/>
      <c r="P34" s="94"/>
      <c r="Q34" s="51"/>
      <c r="R34" s="77"/>
      <c r="S34" s="77"/>
      <c r="T34" s="77"/>
      <c r="U34" s="47"/>
      <c r="V34" s="47"/>
      <c r="W34" s="36"/>
      <c r="X34" s="38"/>
      <c r="Y34" s="42">
        <f>IF(M14="","",IF(O10=M14,O18,O10))</f>
        <v>2</v>
      </c>
      <c r="Z34" s="38"/>
      <c r="AA34" s="38"/>
      <c r="AB34" s="38"/>
    </row>
    <row r="35" spans="1:28" ht="13">
      <c r="A35" s="47"/>
      <c r="B35" s="77"/>
      <c r="C35" s="93">
        <v>2</v>
      </c>
      <c r="D35" s="284" t="s">
        <v>69</v>
      </c>
      <c r="E35" s="51"/>
      <c r="F35" s="51"/>
      <c r="G35" s="51"/>
      <c r="H35" s="51"/>
      <c r="I35" s="55"/>
      <c r="J35" s="82"/>
      <c r="K35" s="51"/>
      <c r="L35" s="51"/>
      <c r="M35" s="93">
        <v>9</v>
      </c>
      <c r="N35" s="278" t="s">
        <v>94</v>
      </c>
      <c r="O35" s="279"/>
      <c r="P35" s="280"/>
      <c r="Q35" s="51"/>
      <c r="R35" s="77"/>
      <c r="S35" s="77"/>
      <c r="T35" s="77"/>
      <c r="U35" s="47"/>
      <c r="V35" s="47"/>
      <c r="W35" s="36"/>
      <c r="X35" s="38"/>
      <c r="Y35" s="38"/>
      <c r="Z35" s="38"/>
      <c r="AA35" s="38"/>
      <c r="AB35" s="38"/>
    </row>
    <row r="36" spans="1:28" ht="13" thickBot="1">
      <c r="A36" s="36"/>
      <c r="B36" s="77"/>
      <c r="C36" s="104"/>
      <c r="D36" s="285"/>
      <c r="E36" s="51"/>
      <c r="F36" s="51"/>
      <c r="G36" s="51"/>
      <c r="H36" s="51"/>
      <c r="I36" s="51"/>
      <c r="J36" s="82"/>
      <c r="K36" s="51"/>
      <c r="L36" s="51"/>
      <c r="M36" s="51"/>
      <c r="N36" s="281"/>
      <c r="O36" s="282"/>
      <c r="P36" s="283"/>
      <c r="Q36" s="51"/>
      <c r="R36" s="77"/>
      <c r="S36" s="77"/>
      <c r="T36" s="77"/>
      <c r="U36" s="47"/>
      <c r="V36" s="47"/>
      <c r="W36" s="36"/>
      <c r="X36" s="38"/>
      <c r="Y36" s="38"/>
      <c r="Z36" s="38"/>
      <c r="AA36" s="38"/>
      <c r="AB36" s="38"/>
    </row>
    <row r="37" spans="1:28">
      <c r="A37" s="174"/>
      <c r="B37" s="175"/>
      <c r="C37" s="175"/>
      <c r="D37" s="176"/>
      <c r="E37" s="177"/>
      <c r="F37" s="177"/>
      <c r="G37" s="177"/>
      <c r="H37" s="178"/>
      <c r="I37" s="178"/>
      <c r="J37" s="178"/>
      <c r="K37" s="177"/>
      <c r="L37" s="177"/>
      <c r="M37" s="177"/>
      <c r="N37" s="177"/>
      <c r="O37" s="177"/>
      <c r="P37" s="177"/>
      <c r="Q37" s="177"/>
      <c r="R37" s="175"/>
      <c r="S37" s="175"/>
      <c r="T37" s="175"/>
      <c r="U37" s="175"/>
      <c r="V37" s="175"/>
      <c r="W37" s="36"/>
      <c r="X37" s="38"/>
      <c r="Y37" s="38"/>
      <c r="Z37" s="38"/>
      <c r="AA37" s="38"/>
      <c r="AB37" s="38"/>
    </row>
    <row r="38" spans="1:28" ht="15.5">
      <c r="A38" s="277" t="s">
        <v>116</v>
      </c>
      <c r="B38" s="277"/>
      <c r="C38" s="277"/>
      <c r="D38" s="36"/>
      <c r="E38" s="179"/>
      <c r="F38" s="179"/>
      <c r="G38" s="180"/>
      <c r="H38" s="36"/>
      <c r="I38" s="36"/>
      <c r="J38" s="181" t="s">
        <v>117</v>
      </c>
      <c r="K38" s="16"/>
      <c r="L38" s="2"/>
      <c r="M38" s="2"/>
      <c r="N38" s="182" t="s">
        <v>118</v>
      </c>
      <c r="O38" s="183"/>
      <c r="P38" s="69"/>
      <c r="Q38" s="69"/>
      <c r="R38" s="47"/>
      <c r="S38" s="47"/>
      <c r="T38" s="47"/>
      <c r="U38" s="47"/>
      <c r="V38" s="47"/>
      <c r="W38" s="36"/>
      <c r="X38" s="38"/>
      <c r="Y38" s="38"/>
      <c r="Z38" s="38"/>
      <c r="AA38" s="38"/>
      <c r="AB38" s="38"/>
    </row>
    <row r="39" spans="1:28" ht="13">
      <c r="A39" s="71"/>
      <c r="B39" s="71"/>
      <c r="C39" s="71"/>
      <c r="D39" s="47"/>
      <c r="E39" s="69"/>
      <c r="F39" s="69"/>
      <c r="G39" s="69"/>
      <c r="H39" s="69"/>
      <c r="I39" s="69"/>
      <c r="K39" s="16"/>
      <c r="L39" s="2"/>
      <c r="M39" s="2"/>
      <c r="N39" s="134"/>
      <c r="O39" s="53"/>
      <c r="P39" s="53"/>
      <c r="Q39" s="53"/>
      <c r="R39" s="36"/>
      <c r="S39" s="36"/>
      <c r="T39" s="36"/>
      <c r="U39" s="36"/>
      <c r="V39" s="36"/>
      <c r="W39" s="36"/>
      <c r="X39" s="38"/>
      <c r="Y39" s="38"/>
      <c r="Z39" s="38"/>
      <c r="AA39" s="38"/>
      <c r="AB39" s="38"/>
    </row>
    <row r="40" spans="1:28" ht="15.5">
      <c r="A40" s="184" t="s">
        <v>119</v>
      </c>
      <c r="B40" s="101"/>
      <c r="C40" s="102"/>
      <c r="D40" s="185"/>
      <c r="E40" s="186"/>
      <c r="F40" s="180"/>
      <c r="G40" s="180"/>
      <c r="H40" s="47"/>
      <c r="I40" s="47"/>
      <c r="J40" s="181" t="s">
        <v>120</v>
      </c>
      <c r="K40" s="16"/>
      <c r="L40" s="135"/>
      <c r="M40" s="135"/>
      <c r="N40" s="233" t="s">
        <v>121</v>
      </c>
      <c r="O40" s="233"/>
      <c r="P40" s="233"/>
      <c r="Q40" s="36"/>
      <c r="R40" s="36"/>
      <c r="S40" s="36"/>
      <c r="T40" s="36"/>
      <c r="U40" s="36"/>
      <c r="V40" s="36"/>
      <c r="W40" s="36"/>
      <c r="X40" s="38"/>
      <c r="Y40" s="38"/>
      <c r="Z40" s="38"/>
      <c r="AA40" s="38"/>
      <c r="AB40" s="38"/>
    </row>
    <row r="41" spans="1:28" ht="15.5">
      <c r="A41" s="36"/>
      <c r="B41" s="36"/>
      <c r="C41" s="36"/>
      <c r="D41" s="100"/>
      <c r="E41" s="100"/>
      <c r="F41" s="100"/>
      <c r="G41" s="185"/>
      <c r="H41" s="185"/>
      <c r="I41" s="47"/>
      <c r="Q41" s="47"/>
      <c r="R41" s="168"/>
      <c r="S41" s="53"/>
      <c r="T41" s="53"/>
      <c r="U41" s="36"/>
      <c r="V41" s="36"/>
      <c r="W41" s="36"/>
      <c r="X41" s="38"/>
    </row>
    <row r="42" spans="1:28" ht="15.5">
      <c r="D42" s="10"/>
      <c r="E42" s="10"/>
      <c r="F42" s="11"/>
      <c r="G42" s="134"/>
      <c r="H42" s="134"/>
      <c r="I42" s="2"/>
      <c r="J42" s="2"/>
      <c r="K42" s="2"/>
      <c r="L42" s="2"/>
      <c r="M42" s="7"/>
      <c r="N42" s="7"/>
      <c r="O42" s="7"/>
      <c r="P42" s="7"/>
      <c r="Q42" s="134"/>
      <c r="R42" s="16"/>
      <c r="S42" s="8"/>
      <c r="T42" s="8"/>
    </row>
    <row r="43" spans="1:28">
      <c r="J43" s="2"/>
      <c r="K43" s="2"/>
      <c r="L43" s="2"/>
      <c r="M43" s="2"/>
      <c r="N43" s="2"/>
      <c r="O43" s="2"/>
      <c r="P43" s="2"/>
      <c r="Q43" s="2"/>
      <c r="S43" s="8"/>
      <c r="T43" s="8"/>
    </row>
    <row r="44" spans="1:28" ht="15.5">
      <c r="B44" s="5" t="s">
        <v>62</v>
      </c>
      <c r="C44" s="4"/>
      <c r="D44" s="10"/>
      <c r="E44" s="10"/>
      <c r="F44" s="10"/>
      <c r="G44" s="16"/>
      <c r="H44" s="16"/>
      <c r="M44" s="187" t="s">
        <v>62</v>
      </c>
      <c r="O44" s="8"/>
      <c r="P44" s="8"/>
      <c r="R44" s="16"/>
    </row>
    <row r="45" spans="1:28"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55" spans="4:9">
      <c r="D55" s="2"/>
    </row>
    <row r="57" spans="4:9">
      <c r="E57" s="2"/>
      <c r="F57" s="2"/>
      <c r="G57" s="2"/>
      <c r="H57" s="2"/>
      <c r="I57" s="2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R32:R33"/>
    <mergeCell ref="J12:L12"/>
    <mergeCell ref="H23:N23"/>
    <mergeCell ref="J27:L28"/>
    <mergeCell ref="J31:L32"/>
    <mergeCell ref="J33:L34"/>
    <mergeCell ref="R15:R16"/>
    <mergeCell ref="I20:M21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S17:S18"/>
    <mergeCell ref="S15:S16"/>
    <mergeCell ref="F14:G14"/>
    <mergeCell ref="D13:D14"/>
    <mergeCell ref="S13:S14"/>
    <mergeCell ref="R13:R14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scale="60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AO38"/>
  <sheetViews>
    <sheetView topLeftCell="A10" workbookViewId="0">
      <selection activeCell="H28" sqref="A1:H28"/>
    </sheetView>
  </sheetViews>
  <sheetFormatPr defaultRowHeight="12.5"/>
  <cols>
    <col min="1" max="1" width="8" customWidth="1"/>
    <col min="2" max="2" width="7.54296875" customWidth="1"/>
    <col min="3" max="3" width="21.26953125" customWidth="1"/>
    <col min="4" max="4" width="12.26953125" customWidth="1"/>
    <col min="5" max="5" width="7.7265625" customWidth="1"/>
    <col min="6" max="6" width="14.54296875" customWidth="1"/>
    <col min="7" max="7" width="8.81640625" customWidth="1"/>
    <col min="8" max="8" width="18.81640625" customWidth="1"/>
    <col min="10" max="10" width="15.7265625" customWidth="1"/>
    <col min="11" max="11" width="3.1796875" customWidth="1"/>
    <col min="12" max="18" width="9.1796875" hidden="1" customWidth="1"/>
    <col min="19" max="19" width="5.7265625" hidden="1" customWidth="1"/>
    <col min="20" max="20" width="16.1796875" hidden="1" customWidth="1"/>
    <col min="21" max="35" width="0" hidden="1" customWidth="1"/>
  </cols>
  <sheetData>
    <row r="1" spans="1:41" ht="23.25" customHeight="1" thickBot="1">
      <c r="A1" s="237" t="s">
        <v>11</v>
      </c>
      <c r="B1" s="237"/>
      <c r="C1" s="237"/>
      <c r="D1" s="237"/>
      <c r="E1" s="237"/>
      <c r="F1" s="237"/>
      <c r="G1" s="237"/>
      <c r="H1" s="237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>
        <f ca="1">SUMIF(T6:T11,V1,$K$14:$K$17)</f>
        <v>0</v>
      </c>
      <c r="U1" s="115"/>
      <c r="V1" s="115" t="str">
        <f>J12</f>
        <v>Свердловская</v>
      </c>
    </row>
    <row r="2" spans="1:41" ht="52.5" customHeight="1" thickBot="1">
      <c r="A2" s="36"/>
      <c r="B2" s="344" t="s">
        <v>113</v>
      </c>
      <c r="C2" s="344"/>
      <c r="D2" s="345" t="s">
        <v>114</v>
      </c>
      <c r="E2" s="346"/>
      <c r="F2" s="346"/>
      <c r="G2" s="346"/>
      <c r="H2" s="347"/>
      <c r="T2" s="225">
        <f>SUMIF(J14:J16,V1,$K$14:$K$17)</f>
        <v>0</v>
      </c>
      <c r="U2" s="225"/>
      <c r="V2" s="225"/>
      <c r="W2" s="225"/>
      <c r="X2" s="225"/>
    </row>
    <row r="3" spans="1:41" ht="24.75" customHeight="1" thickBot="1">
      <c r="A3" s="36"/>
      <c r="B3" s="352" t="s">
        <v>115</v>
      </c>
      <c r="C3" s="352"/>
      <c r="D3" s="352"/>
      <c r="E3" s="352"/>
      <c r="F3" s="352"/>
      <c r="G3" s="344" t="s">
        <v>64</v>
      </c>
      <c r="H3" s="353"/>
    </row>
    <row r="4" spans="1:41" ht="12.75" customHeight="1" thickBot="1">
      <c r="A4" s="354" t="s">
        <v>18</v>
      </c>
      <c r="B4" s="356" t="s">
        <v>4</v>
      </c>
      <c r="C4" s="358" t="s">
        <v>5</v>
      </c>
      <c r="D4" s="329" t="s">
        <v>6</v>
      </c>
      <c r="E4" s="328" t="s">
        <v>7</v>
      </c>
      <c r="F4" s="329"/>
      <c r="G4" s="350" t="s">
        <v>9</v>
      </c>
      <c r="H4" s="348" t="s">
        <v>8</v>
      </c>
      <c r="J4" s="340" t="str">
        <f>IFERROR(LEFT(F6,FIND(",",F6)-1),F6)</f>
        <v>Р.Алтай</v>
      </c>
      <c r="K4" s="341">
        <v>1</v>
      </c>
      <c r="L4" s="342" t="s">
        <v>25</v>
      </c>
      <c r="M4" s="337" t="s">
        <v>26</v>
      </c>
      <c r="N4" s="332"/>
      <c r="O4" s="333"/>
      <c r="P4" s="333"/>
      <c r="Q4" s="334"/>
      <c r="S4" s="335" t="s">
        <v>25</v>
      </c>
      <c r="T4" s="337" t="s">
        <v>26</v>
      </c>
      <c r="U4" s="332"/>
      <c r="V4" s="333"/>
      <c r="W4" s="333"/>
      <c r="X4" s="334"/>
      <c r="AC4" s="335" t="s">
        <v>25</v>
      </c>
      <c r="AD4" s="337" t="s">
        <v>26</v>
      </c>
      <c r="AE4" s="332"/>
      <c r="AF4" s="333"/>
      <c r="AG4" s="333"/>
      <c r="AH4" s="334"/>
      <c r="AJ4" s="335" t="s">
        <v>25</v>
      </c>
      <c r="AK4" s="337" t="s">
        <v>26</v>
      </c>
      <c r="AL4" s="332"/>
      <c r="AM4" s="333"/>
      <c r="AN4" s="333"/>
      <c r="AO4" s="334"/>
    </row>
    <row r="5" spans="1:41" ht="16" thickBot="1">
      <c r="A5" s="355"/>
      <c r="B5" s="357"/>
      <c r="C5" s="359"/>
      <c r="D5" s="331"/>
      <c r="E5" s="330"/>
      <c r="F5" s="331"/>
      <c r="G5" s="351"/>
      <c r="H5" s="349"/>
      <c r="J5" s="340"/>
      <c r="K5" s="341"/>
      <c r="L5" s="343"/>
      <c r="M5" s="339"/>
      <c r="N5" s="17">
        <v>1</v>
      </c>
      <c r="O5" s="18">
        <v>2</v>
      </c>
      <c r="P5" s="18">
        <v>3</v>
      </c>
      <c r="Q5" s="19">
        <v>5</v>
      </c>
      <c r="S5" s="336"/>
      <c r="T5" s="339"/>
      <c r="U5" s="17">
        <v>1</v>
      </c>
      <c r="V5" s="18">
        <v>2</v>
      </c>
      <c r="W5" s="18">
        <v>3</v>
      </c>
      <c r="X5" s="19">
        <v>5</v>
      </c>
      <c r="Z5" s="116">
        <v>1</v>
      </c>
      <c r="AB5" s="116">
        <v>2</v>
      </c>
      <c r="AC5" s="336"/>
      <c r="AD5" s="338"/>
      <c r="AE5" s="117">
        <v>1</v>
      </c>
      <c r="AF5" s="118">
        <v>2</v>
      </c>
      <c r="AG5" s="118">
        <v>3</v>
      </c>
      <c r="AH5" s="119">
        <v>5</v>
      </c>
      <c r="AJ5" s="336"/>
      <c r="AK5" s="338"/>
      <c r="AL5" s="117">
        <v>1</v>
      </c>
      <c r="AM5" s="118">
        <v>2</v>
      </c>
      <c r="AN5" s="118">
        <v>3</v>
      </c>
      <c r="AO5" s="119">
        <v>5</v>
      </c>
    </row>
    <row r="6" spans="1:41" ht="24" customHeight="1">
      <c r="A6" s="201">
        <v>1</v>
      </c>
      <c r="B6" s="194">
        <v>3</v>
      </c>
      <c r="C6" s="195" t="s">
        <v>73</v>
      </c>
      <c r="D6" s="195" t="s">
        <v>74</v>
      </c>
      <c r="E6" s="196" t="s">
        <v>66</v>
      </c>
      <c r="F6" s="195" t="s">
        <v>75</v>
      </c>
      <c r="G6" s="195">
        <v>0</v>
      </c>
      <c r="H6" s="197" t="s">
        <v>76</v>
      </c>
      <c r="J6" s="340" t="s">
        <v>27</v>
      </c>
      <c r="K6" s="341">
        <v>1</v>
      </c>
      <c r="L6" s="20">
        <v>1</v>
      </c>
      <c r="M6" s="21" t="s">
        <v>28</v>
      </c>
      <c r="N6" s="22">
        <f>SUMIF($J$4:$J$7,J4,$K$4:$K$7)</f>
        <v>1</v>
      </c>
      <c r="O6" s="22">
        <f ca="1">SUMIF($I$8:$J$9,"алт",$K$6:$K$9)</f>
        <v>0</v>
      </c>
      <c r="P6" s="23">
        <f>SUMIF($J$10:$J$13,"Алт",$K$10:$K$13)</f>
        <v>0</v>
      </c>
      <c r="Q6" s="23">
        <f>SUMIF($J$14:$J$17,"Алт",$K$14:$K$17)</f>
        <v>0</v>
      </c>
      <c r="S6" s="20">
        <v>1</v>
      </c>
      <c r="T6" s="21" t="str">
        <f>J4</f>
        <v>Р.Алтай</v>
      </c>
      <c r="U6" s="22">
        <f t="shared" ref="U6:U11" si="0">SUMIF($J$4:$J$7,T6,$K$4:$K$7)</f>
        <v>1</v>
      </c>
      <c r="V6" s="22">
        <f t="shared" ref="V6:V11" ca="1" si="1">SUMIF($I$8:$J$9,T6,$K$6:$K$9)</f>
        <v>1</v>
      </c>
      <c r="W6" s="23">
        <f t="shared" ref="W6:W11" si="2">SUMIF($J$10:$J$13,T6,$K$10:$K$13)</f>
        <v>0</v>
      </c>
      <c r="X6" s="23">
        <f>SUMIF($J$14:$J$17,T6,$K$14:$K$17)</f>
        <v>0</v>
      </c>
      <c r="Z6" t="str">
        <f>T6</f>
        <v>Р.Алтай</v>
      </c>
      <c r="AB6" t="str">
        <f>Z6</f>
        <v>Р.Алтай</v>
      </c>
      <c r="AC6" s="120">
        <v>1</v>
      </c>
      <c r="AD6" s="121" t="str">
        <f>AB6</f>
        <v>Р.Алтай</v>
      </c>
      <c r="AE6" s="122">
        <f t="shared" ref="AE6:AE11" si="3">SUMIF($J$4:$J$7,AD6,$K$4:$K$7)</f>
        <v>1</v>
      </c>
      <c r="AF6" s="122">
        <f t="shared" ref="AF6:AF11" ca="1" si="4">SUMIF($I$8:$J$9,AD6,$K$6:$K$9)</f>
        <v>1</v>
      </c>
      <c r="AG6" s="122">
        <f t="shared" ref="AG6:AG11" si="5">SUMIF($J$10:$J$13,AD6,$K$10:$K$13)</f>
        <v>0</v>
      </c>
      <c r="AH6" s="123">
        <f t="shared" ref="AH6:AH11" si="6">SUMIF($J$14:$J$17,AD6,$K$14:$K$17)</f>
        <v>0</v>
      </c>
      <c r="AJ6" s="120">
        <v>1</v>
      </c>
      <c r="AK6" s="121" t="str">
        <f t="shared" ref="AK6:AO11" si="7">IF(AD6=0," ",AD6)</f>
        <v>Р.Алтай</v>
      </c>
      <c r="AL6" s="122">
        <f t="shared" si="7"/>
        <v>1</v>
      </c>
      <c r="AM6" s="122">
        <f t="shared" ca="1" si="7"/>
        <v>1</v>
      </c>
      <c r="AN6" s="122" t="str">
        <f t="shared" si="7"/>
        <v xml:space="preserve"> </v>
      </c>
      <c r="AO6" s="123" t="str">
        <f t="shared" si="7"/>
        <v xml:space="preserve"> </v>
      </c>
    </row>
    <row r="7" spans="1:41" ht="24" customHeight="1">
      <c r="A7" s="202">
        <v>2</v>
      </c>
      <c r="B7" s="191">
        <v>4</v>
      </c>
      <c r="C7" s="192" t="s">
        <v>77</v>
      </c>
      <c r="D7" s="192" t="s">
        <v>78</v>
      </c>
      <c r="E7" s="193" t="s">
        <v>66</v>
      </c>
      <c r="F7" s="192" t="s">
        <v>75</v>
      </c>
      <c r="G7" s="192">
        <v>0</v>
      </c>
      <c r="H7" s="198" t="s">
        <v>76</v>
      </c>
      <c r="J7" s="340"/>
      <c r="K7" s="341"/>
      <c r="L7" s="24">
        <v>2</v>
      </c>
      <c r="M7" s="21" t="s">
        <v>29</v>
      </c>
      <c r="N7" s="22">
        <f>SUMIF($J$4:$J$7,"заб",$K$4:$K$7)</f>
        <v>0</v>
      </c>
      <c r="O7" s="22">
        <f ca="1">SUMIF($I$8:$J$9,"заб",$K$6:$K$9)</f>
        <v>0</v>
      </c>
      <c r="P7" s="23">
        <f>SUMIF($J$10:$J$13,"заб",$K$10:$K$13)</f>
        <v>0</v>
      </c>
      <c r="Q7" s="23">
        <f>SUMIF($J$14:$J$17,"заб",$K$14:$K$17)</f>
        <v>0</v>
      </c>
      <c r="S7" s="24">
        <v>2</v>
      </c>
      <c r="T7" s="21" t="str">
        <f>IF(J8=J4," ",J8)</f>
        <v xml:space="preserve"> </v>
      </c>
      <c r="U7" s="22">
        <f t="shared" si="0"/>
        <v>0</v>
      </c>
      <c r="V7" s="22">
        <f t="shared" ca="1" si="1"/>
        <v>0</v>
      </c>
      <c r="W7" s="23">
        <f t="shared" si="2"/>
        <v>0</v>
      </c>
      <c r="X7" s="23">
        <f>SUMIF($J$14:$J$17,T7,$K$14:$K$17)</f>
        <v>0</v>
      </c>
      <c r="Z7" t="str">
        <f>IF(OR(T7=" "),T8,T7)</f>
        <v>Новосибирская</v>
      </c>
      <c r="AA7">
        <f>IF(U7=U6," ",U7)</f>
        <v>0</v>
      </c>
      <c r="AB7" t="str">
        <f>IF(OR(Z7=" "),Z8,Z7)</f>
        <v>Новосибирская</v>
      </c>
      <c r="AC7" s="124">
        <v>2</v>
      </c>
      <c r="AD7" s="125" t="str">
        <f>IF(OR(AB7=" "),AB8,AB7)</f>
        <v>Новосибирская</v>
      </c>
      <c r="AE7" s="126">
        <f t="shared" si="3"/>
        <v>0</v>
      </c>
      <c r="AF7" s="126">
        <f t="shared" ca="1" si="4"/>
        <v>0</v>
      </c>
      <c r="AG7" s="126">
        <f t="shared" si="5"/>
        <v>1</v>
      </c>
      <c r="AH7" s="127">
        <f t="shared" si="6"/>
        <v>1</v>
      </c>
      <c r="AJ7" s="124">
        <v>2</v>
      </c>
      <c r="AK7" s="125" t="str">
        <f t="shared" si="7"/>
        <v>Новосибирская</v>
      </c>
      <c r="AL7" s="126" t="str">
        <f t="shared" si="7"/>
        <v xml:space="preserve"> </v>
      </c>
      <c r="AM7" s="126" t="str">
        <f t="shared" ca="1" si="7"/>
        <v xml:space="preserve"> </v>
      </c>
      <c r="AN7" s="126">
        <f t="shared" si="7"/>
        <v>1</v>
      </c>
      <c r="AO7" s="127">
        <f t="shared" si="7"/>
        <v>1</v>
      </c>
    </row>
    <row r="8" spans="1:41" ht="24" customHeight="1">
      <c r="A8" s="202">
        <v>3</v>
      </c>
      <c r="B8" s="191">
        <v>7</v>
      </c>
      <c r="C8" s="192" t="s">
        <v>86</v>
      </c>
      <c r="D8" s="192" t="s">
        <v>87</v>
      </c>
      <c r="E8" s="193" t="s">
        <v>66</v>
      </c>
      <c r="F8" s="192" t="s">
        <v>88</v>
      </c>
      <c r="G8" s="192">
        <v>0</v>
      </c>
      <c r="H8" s="198" t="s">
        <v>89</v>
      </c>
      <c r="J8" s="341" t="str">
        <f>IFERROR(LEFT(F7,FIND(",",F7)-1),F7)</f>
        <v>Р.Алтай</v>
      </c>
      <c r="K8" s="341">
        <v>1</v>
      </c>
      <c r="L8" s="25">
        <v>3</v>
      </c>
      <c r="M8" s="21" t="s">
        <v>30</v>
      </c>
      <c r="N8" s="22">
        <f>SUMIF($J$4:$J$7,"ирк",$K$4:$K$7)</f>
        <v>0</v>
      </c>
      <c r="O8" s="22">
        <f ca="1">SUMIF($I$8:$J$9,"ирк",$K$6:$K$9)</f>
        <v>0</v>
      </c>
      <c r="P8" s="23">
        <f>SUMIF($J$10:$J$13,"ирк",$K$10:$K$13)</f>
        <v>0</v>
      </c>
      <c r="Q8" s="23">
        <f>SUMIF($J$14:$J$17,"ирк",$K$14:$K$17)</f>
        <v>0</v>
      </c>
      <c r="S8" s="25">
        <v>3</v>
      </c>
      <c r="T8" s="21" t="str">
        <f>IF(OR(J10=J4,J10=J8)," ",J10)</f>
        <v>Новосибирская</v>
      </c>
      <c r="U8" s="22">
        <f t="shared" si="0"/>
        <v>0</v>
      </c>
      <c r="V8" s="22">
        <f t="shared" ca="1" si="1"/>
        <v>0</v>
      </c>
      <c r="W8" s="23">
        <f t="shared" si="2"/>
        <v>1</v>
      </c>
      <c r="X8" s="23">
        <f>SUMIF($J$14:$J$17,T8,$K$14:$K$17)</f>
        <v>1</v>
      </c>
      <c r="Z8" t="str">
        <f>IF(OR(T8=" ",T7=" "),T9,T8)</f>
        <v>Свердловская</v>
      </c>
      <c r="AB8" t="str">
        <f>IF(OR(Z8=" ",Z7=" "),Z9,Z8)</f>
        <v>Свердловская</v>
      </c>
      <c r="AC8" s="128">
        <v>3</v>
      </c>
      <c r="AD8" s="125" t="str">
        <f>IF(OR(AB8=" ",AB7=" "),AB9,AB8)</f>
        <v>Свердловская</v>
      </c>
      <c r="AE8" s="126">
        <f t="shared" si="3"/>
        <v>0</v>
      </c>
      <c r="AF8" s="126">
        <f t="shared" ca="1" si="4"/>
        <v>0</v>
      </c>
      <c r="AG8" s="126">
        <f t="shared" si="5"/>
        <v>1</v>
      </c>
      <c r="AH8" s="127">
        <f t="shared" si="6"/>
        <v>0</v>
      </c>
      <c r="AJ8" s="128">
        <v>3</v>
      </c>
      <c r="AK8" s="125" t="str">
        <f t="shared" si="7"/>
        <v>Свердловская</v>
      </c>
      <c r="AL8" s="126" t="str">
        <f t="shared" si="7"/>
        <v xml:space="preserve"> </v>
      </c>
      <c r="AM8" s="126" t="str">
        <f t="shared" ca="1" si="7"/>
        <v xml:space="preserve"> </v>
      </c>
      <c r="AN8" s="126">
        <f t="shared" si="7"/>
        <v>1</v>
      </c>
      <c r="AO8" s="127" t="str">
        <f t="shared" si="7"/>
        <v xml:space="preserve"> </v>
      </c>
    </row>
    <row r="9" spans="1:41" ht="24" customHeight="1">
      <c r="A9" s="202">
        <v>3</v>
      </c>
      <c r="B9" s="191">
        <v>9</v>
      </c>
      <c r="C9" s="192" t="s">
        <v>94</v>
      </c>
      <c r="D9" s="192" t="s">
        <v>95</v>
      </c>
      <c r="E9" s="193" t="s">
        <v>96</v>
      </c>
      <c r="F9" s="192" t="s">
        <v>97</v>
      </c>
      <c r="G9" s="192">
        <v>0</v>
      </c>
      <c r="H9" s="198" t="s">
        <v>98</v>
      </c>
      <c r="J9" s="341"/>
      <c r="K9" s="341"/>
      <c r="L9" s="24">
        <v>4</v>
      </c>
      <c r="M9" s="21" t="s">
        <v>31</v>
      </c>
      <c r="N9" s="22">
        <f>SUMIF($J$4:$J$7,"кем",$K$4:$K$7)</f>
        <v>0</v>
      </c>
      <c r="O9" s="22">
        <f ca="1">SUMIF($I$8:$J$9,"кем",$K$6:$K$9)</f>
        <v>0</v>
      </c>
      <c r="P9" s="23">
        <f>SUMIF($J$10:$J$13,"кем",$K$10:$K$13)</f>
        <v>0</v>
      </c>
      <c r="Q9" s="23">
        <f>SUMIF($J$14:$J$17,"кем",$K$14:$K$17)</f>
        <v>0</v>
      </c>
      <c r="S9" s="24">
        <v>4</v>
      </c>
      <c r="T9" s="21" t="str">
        <f>IF(OR(J12=J4,J12=J8,J12=J10)," ",J12)</f>
        <v>Свердловская</v>
      </c>
      <c r="U9" s="22">
        <f t="shared" si="0"/>
        <v>0</v>
      </c>
      <c r="V9" s="22">
        <f t="shared" ca="1" si="1"/>
        <v>0</v>
      </c>
      <c r="W9" s="23">
        <f t="shared" si="2"/>
        <v>1</v>
      </c>
      <c r="X9" s="23">
        <f>SUMIF($J$14:$J$17,T9,$K$14:$K$17)</f>
        <v>0</v>
      </c>
      <c r="Z9" t="str">
        <f>IF(OR(T7=" ",T8=" ",T9=" "),T10,T9)</f>
        <v>Кемеровская</v>
      </c>
      <c r="AB9" t="str">
        <f>IF(OR(Z7=" ",Z8=" ",Z9=" "),Z10,Z9)</f>
        <v>Кемеровская</v>
      </c>
      <c r="AC9" s="124">
        <v>4</v>
      </c>
      <c r="AD9" s="125" t="str">
        <f>IF(OR(AB7=" ",AB8=" ",AB9=" "),AB10,AB9)</f>
        <v>Кемеровская</v>
      </c>
      <c r="AE9" s="126">
        <f t="shared" si="3"/>
        <v>0</v>
      </c>
      <c r="AF9" s="126">
        <f t="shared" ca="1" si="4"/>
        <v>0</v>
      </c>
      <c r="AG9" s="126">
        <f t="shared" si="5"/>
        <v>0</v>
      </c>
      <c r="AH9" s="127">
        <f t="shared" si="6"/>
        <v>1</v>
      </c>
      <c r="AJ9" s="124">
        <v>4</v>
      </c>
      <c r="AK9" s="125" t="str">
        <f t="shared" si="7"/>
        <v>Кемеровская</v>
      </c>
      <c r="AL9" s="126" t="str">
        <f t="shared" si="7"/>
        <v xml:space="preserve"> </v>
      </c>
      <c r="AM9" s="126" t="str">
        <f t="shared" ca="1" si="7"/>
        <v xml:space="preserve"> </v>
      </c>
      <c r="AN9" s="126" t="str">
        <f t="shared" si="7"/>
        <v xml:space="preserve"> </v>
      </c>
      <c r="AO9" s="127">
        <f t="shared" si="7"/>
        <v>1</v>
      </c>
    </row>
    <row r="10" spans="1:41" ht="24" customHeight="1">
      <c r="A10" s="202">
        <v>5</v>
      </c>
      <c r="B10" s="191">
        <v>2</v>
      </c>
      <c r="C10" s="192" t="s">
        <v>69</v>
      </c>
      <c r="D10" s="192" t="s">
        <v>70</v>
      </c>
      <c r="E10" s="193" t="s">
        <v>66</v>
      </c>
      <c r="F10" s="192" t="s">
        <v>71</v>
      </c>
      <c r="G10" s="192">
        <v>0</v>
      </c>
      <c r="H10" s="198" t="s">
        <v>72</v>
      </c>
      <c r="J10" s="341" t="str">
        <f>IFERROR(LEFT(F8,FIND(",",F8)-1),F8)</f>
        <v>Новосибирская</v>
      </c>
      <c r="K10" s="341">
        <v>1</v>
      </c>
      <c r="L10" s="25">
        <v>5</v>
      </c>
      <c r="M10" s="21" t="s">
        <v>32</v>
      </c>
      <c r="N10" s="22">
        <f>SUMIF($J$4:$J$7,"кра",$K$4:$K$7)</f>
        <v>0</v>
      </c>
      <c r="O10" s="22">
        <f ca="1">SUMIF($I$8:$J$9,"кра",$K$6:$K$9)</f>
        <v>0</v>
      </c>
      <c r="P10" s="23">
        <f>SUMIF($J$10:$J$13,"кра",$K$10:$K$13)</f>
        <v>0</v>
      </c>
      <c r="Q10" s="23">
        <f>SUMIF($J$14:$J$17,"кра",$K$14:$K$17)</f>
        <v>0</v>
      </c>
      <c r="S10" s="25">
        <v>5</v>
      </c>
      <c r="T10" s="21" t="str">
        <f>IF(OR(J14=J4,J14=J8,J14=J10,J14=J12)," ",J14)</f>
        <v>Кемеровская</v>
      </c>
      <c r="U10" s="22">
        <f t="shared" si="0"/>
        <v>0</v>
      </c>
      <c r="V10" s="22">
        <f t="shared" ca="1" si="1"/>
        <v>0</v>
      </c>
      <c r="W10" s="23">
        <f t="shared" si="2"/>
        <v>0</v>
      </c>
      <c r="X10" s="23">
        <f>SUMIF($J$14:$J$17,T10,$K$14:$K$17)</f>
        <v>1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28">
        <v>5</v>
      </c>
      <c r="AD10" s="125" t="str">
        <f>IF(OR(AB7=" ",AB8=" ",AB9=" ")," ",AB10)</f>
        <v xml:space="preserve"> </v>
      </c>
      <c r="AE10" s="126">
        <f t="shared" si="3"/>
        <v>0</v>
      </c>
      <c r="AF10" s="126">
        <f t="shared" ca="1" si="4"/>
        <v>0</v>
      </c>
      <c r="AG10" s="126">
        <f t="shared" si="5"/>
        <v>0</v>
      </c>
      <c r="AH10" s="127">
        <f t="shared" si="6"/>
        <v>0</v>
      </c>
      <c r="AJ10" s="128">
        <v>5</v>
      </c>
      <c r="AK10" s="125" t="str">
        <f t="shared" si="7"/>
        <v xml:space="preserve"> </v>
      </c>
      <c r="AL10" s="126" t="str">
        <f t="shared" si="7"/>
        <v xml:space="preserve"> </v>
      </c>
      <c r="AM10" s="126" t="str">
        <f t="shared" ca="1" si="7"/>
        <v xml:space="preserve"> </v>
      </c>
      <c r="AN10" s="126" t="str">
        <f t="shared" si="7"/>
        <v xml:space="preserve"> </v>
      </c>
      <c r="AO10" s="127" t="str">
        <f t="shared" si="7"/>
        <v xml:space="preserve"> </v>
      </c>
    </row>
    <row r="11" spans="1:41" ht="24" customHeight="1" thickBot="1">
      <c r="A11" s="202">
        <v>5</v>
      </c>
      <c r="B11" s="191">
        <v>10</v>
      </c>
      <c r="C11" s="192" t="s">
        <v>99</v>
      </c>
      <c r="D11" s="192" t="s">
        <v>100</v>
      </c>
      <c r="E11" s="193" t="s">
        <v>66</v>
      </c>
      <c r="F11" s="192" t="s">
        <v>88</v>
      </c>
      <c r="G11" s="192">
        <v>0</v>
      </c>
      <c r="H11" s="198" t="s">
        <v>101</v>
      </c>
      <c r="J11" s="341"/>
      <c r="K11" s="341"/>
      <c r="L11" s="24">
        <v>6</v>
      </c>
      <c r="M11" s="21" t="s">
        <v>33</v>
      </c>
      <c r="N11" s="22">
        <f>SUMIF($J$4:$J$7,"нов",$K$4:$K$7)</f>
        <v>0</v>
      </c>
      <c r="O11" s="22">
        <f ca="1">SUMIF($I$8:$J$9,"нов",$K$6:$K$9)</f>
        <v>0</v>
      </c>
      <c r="P11" s="23">
        <f>SUMIF($J$10:$J$13,"нов",$K$10:$K$13)</f>
        <v>0</v>
      </c>
      <c r="Q11" s="23">
        <f>SUMIF($J$14:$J$17,"нов",$K$14:$K$17)</f>
        <v>0</v>
      </c>
      <c r="S11" s="24">
        <v>6</v>
      </c>
      <c r="T11" s="21" t="str">
        <f>IF(OR(J16=J4,J16=J8,J16=J10,J16=J12,J16=J14)," ",J16)</f>
        <v xml:space="preserve"> </v>
      </c>
      <c r="U11" s="22">
        <f t="shared" si="0"/>
        <v>0</v>
      </c>
      <c r="V11" s="22">
        <f t="shared" ca="1" si="1"/>
        <v>0</v>
      </c>
      <c r="W11" s="23">
        <f t="shared" si="2"/>
        <v>0</v>
      </c>
      <c r="X11" s="23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29">
        <v>6</v>
      </c>
      <c r="AD11" s="130" t="str">
        <f>IF(OR(AB7=" ",AB8=" ",AB9=" ",AB10=" ")," ",AB11)</f>
        <v xml:space="preserve"> </v>
      </c>
      <c r="AE11" s="131">
        <f t="shared" si="3"/>
        <v>0</v>
      </c>
      <c r="AF11" s="131">
        <f t="shared" ca="1" si="4"/>
        <v>0</v>
      </c>
      <c r="AG11" s="131">
        <f t="shared" si="5"/>
        <v>0</v>
      </c>
      <c r="AH11" s="132">
        <f t="shared" si="6"/>
        <v>0</v>
      </c>
      <c r="AJ11" s="129">
        <v>6</v>
      </c>
      <c r="AK11" s="130" t="str">
        <f t="shared" si="7"/>
        <v xml:space="preserve"> </v>
      </c>
      <c r="AL11" s="131" t="str">
        <f t="shared" si="7"/>
        <v xml:space="preserve"> </v>
      </c>
      <c r="AM11" s="131" t="str">
        <f t="shared" ca="1" si="7"/>
        <v xml:space="preserve"> </v>
      </c>
      <c r="AN11" s="131" t="str">
        <f t="shared" si="7"/>
        <v xml:space="preserve"> </v>
      </c>
      <c r="AO11" s="132" t="str">
        <f t="shared" si="7"/>
        <v xml:space="preserve"> </v>
      </c>
    </row>
    <row r="12" spans="1:41" ht="24" customHeight="1" thickBot="1">
      <c r="A12" s="203" t="s">
        <v>17</v>
      </c>
      <c r="B12" s="191">
        <v>5</v>
      </c>
      <c r="C12" s="192" t="s">
        <v>79</v>
      </c>
      <c r="D12" s="192" t="s">
        <v>80</v>
      </c>
      <c r="E12" s="193" t="s">
        <v>66</v>
      </c>
      <c r="F12" s="192" t="s">
        <v>75</v>
      </c>
      <c r="G12" s="192">
        <v>0</v>
      </c>
      <c r="H12" s="198" t="s">
        <v>81</v>
      </c>
      <c r="J12" s="341" t="str">
        <f>IFERROR(LEFT(F9,FIND(",",F9)-1),F9)</f>
        <v>Свердловская</v>
      </c>
      <c r="K12" s="341">
        <v>1</v>
      </c>
      <c r="L12" s="25">
        <v>7</v>
      </c>
      <c r="M12" s="21" t="s">
        <v>34</v>
      </c>
      <c r="N12" s="22">
        <f>SUMIF($J$4:$J$7,"омс",$K$4:$K$7)</f>
        <v>0</v>
      </c>
      <c r="O12" s="22">
        <f ca="1">SUMIF($I$8:$J$9,"омс",$K$6:$K$9)</f>
        <v>0</v>
      </c>
      <c r="P12" s="23">
        <f>SUMIF($J$10:$J$13,"омс",$K$10:$K$13)</f>
        <v>0</v>
      </c>
      <c r="Q12" s="23">
        <f>SUMIF($J$14:$J$17,"омс",$K$14:$K$17)</f>
        <v>0</v>
      </c>
      <c r="S12" s="26"/>
      <c r="T12" s="21" t="str">
        <f>IF(OR(J15=J7,J15=J11,J15=J13)," ",J15)</f>
        <v xml:space="preserve"> </v>
      </c>
      <c r="U12" s="27"/>
      <c r="V12" s="27"/>
      <c r="W12" s="28"/>
      <c r="X12" s="28"/>
      <c r="AC12" s="33"/>
      <c r="AD12" s="34"/>
      <c r="AE12" s="133">
        <f>SUM(AE6:AE11)</f>
        <v>1</v>
      </c>
      <c r="AF12" s="133">
        <f ca="1">SUM(AF6:AF11)</f>
        <v>1</v>
      </c>
      <c r="AG12" s="133">
        <f>SUM(AG6:AG11)</f>
        <v>2</v>
      </c>
      <c r="AH12" s="133">
        <f>SUM(AH6:AH11)</f>
        <v>2</v>
      </c>
      <c r="AJ12" s="33"/>
      <c r="AK12" s="34"/>
      <c r="AL12" s="133">
        <f>SUM(AL6:AL11)</f>
        <v>1</v>
      </c>
      <c r="AM12" s="133">
        <f ca="1">SUM(AM6:AM11)</f>
        <v>1</v>
      </c>
      <c r="AN12" s="133">
        <f>SUM(AN6:AN11)</f>
        <v>2</v>
      </c>
      <c r="AO12" s="133">
        <f>SUM(AO6:AO11)</f>
        <v>2</v>
      </c>
    </row>
    <row r="13" spans="1:41" ht="24" customHeight="1">
      <c r="A13" s="203" t="s">
        <v>17</v>
      </c>
      <c r="B13" s="191">
        <v>12</v>
      </c>
      <c r="C13" s="192" t="s">
        <v>106</v>
      </c>
      <c r="D13" s="192" t="s">
        <v>107</v>
      </c>
      <c r="E13" s="193" t="s">
        <v>66</v>
      </c>
      <c r="F13" s="192" t="s">
        <v>84</v>
      </c>
      <c r="G13" s="192">
        <v>0</v>
      </c>
      <c r="H13" s="198" t="s">
        <v>108</v>
      </c>
      <c r="J13" s="341"/>
      <c r="K13" s="341"/>
      <c r="L13" s="24">
        <v>8</v>
      </c>
      <c r="M13" s="21" t="s">
        <v>35</v>
      </c>
      <c r="N13" s="22">
        <f>SUMIF($J$4:$J$7,"р.а",$K$4:$K$7)</f>
        <v>0</v>
      </c>
      <c r="O13" s="22">
        <f ca="1">SUMIF($I$8:$J$9,"р.а",$K$6:$K$9)</f>
        <v>0</v>
      </c>
      <c r="P13" s="23">
        <f>SUMIF($J$10:$J$13,"р.а",$K$10:$K$13)</f>
        <v>0</v>
      </c>
      <c r="Q13" s="23">
        <f>SUMIF($J$14:$J$17,"р.а",$K$14:$K$17)</f>
        <v>0</v>
      </c>
      <c r="S13" s="29"/>
      <c r="T13" s="30" t="str">
        <f>IF(OR(J16=J8,J16=J12,J16=J14)," ",J16)</f>
        <v>Новосибирская</v>
      </c>
      <c r="U13" s="27"/>
      <c r="V13" s="27"/>
      <c r="W13" s="28"/>
      <c r="X13" s="28"/>
    </row>
    <row r="14" spans="1:41" ht="24" customHeight="1">
      <c r="A14" s="203" t="s">
        <v>23</v>
      </c>
      <c r="B14" s="191">
        <v>1</v>
      </c>
      <c r="C14" s="192" t="s">
        <v>65</v>
      </c>
      <c r="D14" s="192" t="s">
        <v>110</v>
      </c>
      <c r="E14" s="193" t="s">
        <v>66</v>
      </c>
      <c r="F14" s="192" t="s">
        <v>67</v>
      </c>
      <c r="G14" s="192">
        <v>0</v>
      </c>
      <c r="H14" s="198" t="s">
        <v>68</v>
      </c>
      <c r="J14" s="341" t="str">
        <f>IFERROR(LEFT(F10,FIND(",",F10)-1),F10)</f>
        <v>Кемеровская</v>
      </c>
      <c r="K14" s="341">
        <v>1</v>
      </c>
      <c r="L14" s="25">
        <v>9</v>
      </c>
      <c r="M14" s="21" t="s">
        <v>36</v>
      </c>
      <c r="N14" s="22">
        <f>SUMIF($J$4:$J$7,"р.б",$K$4:$K$7)</f>
        <v>0</v>
      </c>
      <c r="O14" s="22">
        <f ca="1">SUMIF($I$8:$J$9,"р.б",$K$6:$K$9)</f>
        <v>0</v>
      </c>
      <c r="P14" s="23">
        <f>SUMIF($J$10:$J$13,"р.б",$K$10:$K$13)</f>
        <v>0</v>
      </c>
      <c r="Q14" s="23">
        <f>SUMIF($J$14:$J$17,"р.б",$K$14:$K$17)</f>
        <v>0</v>
      </c>
      <c r="S14" s="26"/>
      <c r="T14" s="30"/>
      <c r="U14" s="27"/>
      <c r="V14" s="27"/>
      <c r="W14" s="28"/>
      <c r="X14" s="28"/>
    </row>
    <row r="15" spans="1:41" ht="24" customHeight="1">
      <c r="A15" s="203" t="s">
        <v>23</v>
      </c>
      <c r="B15" s="191">
        <v>6</v>
      </c>
      <c r="C15" s="192" t="s">
        <v>82</v>
      </c>
      <c r="D15" s="192" t="s">
        <v>83</v>
      </c>
      <c r="E15" s="193" t="s">
        <v>66</v>
      </c>
      <c r="F15" s="192" t="s">
        <v>84</v>
      </c>
      <c r="G15" s="192">
        <v>0</v>
      </c>
      <c r="H15" s="198" t="s">
        <v>85</v>
      </c>
      <c r="J15" s="341"/>
      <c r="K15" s="341"/>
      <c r="L15" s="24">
        <v>10</v>
      </c>
      <c r="M15" s="21" t="s">
        <v>37</v>
      </c>
      <c r="N15" s="22">
        <f>SUMIF($J$4:$J$7,"р.х",$K$4:$K$7)</f>
        <v>0</v>
      </c>
      <c r="O15" s="22">
        <f ca="1">SUMIF($I$8:$J$9,"р.х",$K$6:$K$9)</f>
        <v>0</v>
      </c>
      <c r="P15" s="23">
        <f>SUMIF($J$10:$J$13,"р.х",$K$10:$K$13)</f>
        <v>0</v>
      </c>
      <c r="Q15" s="23">
        <f>SUMIF($J$14:$J$17,"р.х",$K$14:$K$17)</f>
        <v>0</v>
      </c>
      <c r="S15" s="29"/>
      <c r="T15" s="30"/>
      <c r="U15" s="27"/>
      <c r="V15" s="27"/>
      <c r="W15" s="28"/>
      <c r="X15" s="28"/>
    </row>
    <row r="16" spans="1:41" ht="24" customHeight="1">
      <c r="A16" s="203" t="s">
        <v>23</v>
      </c>
      <c r="B16" s="191">
        <v>11</v>
      </c>
      <c r="C16" s="192" t="s">
        <v>102</v>
      </c>
      <c r="D16" s="192" t="s">
        <v>103</v>
      </c>
      <c r="E16" s="193" t="s">
        <v>66</v>
      </c>
      <c r="F16" s="192" t="s">
        <v>104</v>
      </c>
      <c r="G16" s="192">
        <v>0</v>
      </c>
      <c r="H16" s="198" t="s">
        <v>105</v>
      </c>
      <c r="J16" s="341" t="str">
        <f>IFERROR(LEFT(F11,FIND(",",F11)-1),F11)</f>
        <v>Новосибирская</v>
      </c>
      <c r="K16" s="341">
        <v>1</v>
      </c>
      <c r="L16" s="25">
        <v>11</v>
      </c>
      <c r="M16" s="31" t="s">
        <v>38</v>
      </c>
      <c r="N16" s="22">
        <f>SUMIF($J$4:$J$7,"том",$K$4:$K$7)</f>
        <v>0</v>
      </c>
      <c r="O16" s="22">
        <f ca="1">SUMIF($I$8:$J$9,"том",$K$6:$K$9)</f>
        <v>0</v>
      </c>
      <c r="P16" s="23">
        <f>SUMIF($J$10:$J$13,"том",$K$10:$K$13)</f>
        <v>0</v>
      </c>
      <c r="Q16" s="23">
        <f>SUMIF($J$14:$J$17,"том",$K$14:$K$17)</f>
        <v>0</v>
      </c>
      <c r="S16" s="26"/>
      <c r="T16" s="32"/>
      <c r="U16" s="27"/>
      <c r="V16" s="27"/>
      <c r="W16" s="28"/>
      <c r="X16" s="28"/>
    </row>
    <row r="17" spans="1:24" ht="24" customHeight="1" thickBot="1">
      <c r="A17" s="204" t="s">
        <v>23</v>
      </c>
      <c r="B17" s="199">
        <v>8</v>
      </c>
      <c r="C17" s="189" t="s">
        <v>90</v>
      </c>
      <c r="D17" s="189" t="s">
        <v>91</v>
      </c>
      <c r="E17" s="200" t="s">
        <v>66</v>
      </c>
      <c r="F17" s="189" t="s">
        <v>92</v>
      </c>
      <c r="G17" s="189">
        <v>0</v>
      </c>
      <c r="H17" s="190" t="s">
        <v>93</v>
      </c>
      <c r="J17" s="341"/>
      <c r="K17" s="341"/>
      <c r="L17" s="24">
        <v>12</v>
      </c>
      <c r="M17" s="31" t="s">
        <v>41</v>
      </c>
      <c r="N17" s="22">
        <f>SUMIF($J$4:$J$7,"Мос",$K$4:$K$7)</f>
        <v>0</v>
      </c>
      <c r="O17" s="22">
        <f ca="1">SUMIF($I$8:$J$9,"Мос",$K$6:$K$9)</f>
        <v>0</v>
      </c>
      <c r="P17" s="23">
        <f>SUMIF($J$10:$J$13,"Мос",$K$10:$K$13)</f>
        <v>0</v>
      </c>
      <c r="Q17" s="23">
        <f>SUMIF($J$14:$J$17,"Мос",$K$14:$K$17)</f>
        <v>0</v>
      </c>
      <c r="S17" s="29"/>
      <c r="T17" s="32"/>
      <c r="U17" s="27"/>
      <c r="V17" s="27"/>
      <c r="W17" s="28"/>
      <c r="X17" s="28"/>
    </row>
    <row r="18" spans="1:24" ht="24" hidden="1" customHeight="1" thickBot="1">
      <c r="A18" s="209" t="s">
        <v>24</v>
      </c>
      <c r="B18" s="210">
        <v>13</v>
      </c>
      <c r="C18" s="211" t="e">
        <v>#N/A</v>
      </c>
      <c r="D18" s="211" t="e">
        <v>#N/A</v>
      </c>
      <c r="E18" s="212" t="e">
        <v>#N/A</v>
      </c>
      <c r="F18" s="211" t="e">
        <v>#N/A</v>
      </c>
      <c r="G18" s="211" t="e">
        <v>#N/A</v>
      </c>
      <c r="H18" s="213" t="e">
        <v>#N/A</v>
      </c>
      <c r="L18" s="33"/>
      <c r="M18" s="34"/>
      <c r="N18" s="35">
        <f>SUM(N6:N17)</f>
        <v>1</v>
      </c>
      <c r="O18" s="35">
        <f ca="1">SUM(O6:O17)</f>
        <v>0</v>
      </c>
      <c r="P18" s="35">
        <f>SUM(P6:P17)</f>
        <v>0</v>
      </c>
      <c r="Q18" s="35">
        <f>SUM(Q6:Q17)</f>
        <v>0</v>
      </c>
      <c r="S18" s="33"/>
      <c r="T18" s="34"/>
      <c r="U18" s="35">
        <f>SUM(U6:U17)</f>
        <v>1</v>
      </c>
      <c r="V18" s="35">
        <f ca="1">SUM(V6:V17)</f>
        <v>1</v>
      </c>
      <c r="W18" s="35">
        <f>SUM(W6:W17)</f>
        <v>2</v>
      </c>
      <c r="X18" s="35">
        <f>SUM(X6:X17)</f>
        <v>2</v>
      </c>
    </row>
    <row r="19" spans="1:24" ht="24" hidden="1" customHeight="1">
      <c r="A19" s="203" t="s">
        <v>24</v>
      </c>
      <c r="B19" s="191">
        <v>14</v>
      </c>
      <c r="C19" s="192" t="e">
        <v>#N/A</v>
      </c>
      <c r="D19" s="192" t="e">
        <v>#N/A</v>
      </c>
      <c r="E19" s="193" t="e">
        <v>#N/A</v>
      </c>
      <c r="F19" s="192" t="e">
        <v>#N/A</v>
      </c>
      <c r="G19" s="192" t="e">
        <v>#N/A</v>
      </c>
      <c r="H19" s="198" t="e">
        <v>#N/A</v>
      </c>
    </row>
    <row r="20" spans="1:24" ht="24" hidden="1" customHeight="1">
      <c r="A20" s="203" t="s">
        <v>24</v>
      </c>
      <c r="B20" s="191">
        <v>15</v>
      </c>
      <c r="C20" s="192" t="e">
        <v>#N/A</v>
      </c>
      <c r="D20" s="192" t="e">
        <v>#N/A</v>
      </c>
      <c r="E20" s="193" t="e">
        <v>#N/A</v>
      </c>
      <c r="F20" s="192" t="e">
        <v>#N/A</v>
      </c>
      <c r="G20" s="192" t="e">
        <v>#N/A</v>
      </c>
      <c r="H20" s="198" t="e">
        <v>#N/A</v>
      </c>
    </row>
    <row r="21" spans="1:24" ht="24" hidden="1" customHeight="1" thickBot="1">
      <c r="A21" s="204" t="s">
        <v>24</v>
      </c>
      <c r="B21" s="199">
        <v>16</v>
      </c>
      <c r="C21" s="189" t="e">
        <v>#N/A</v>
      </c>
      <c r="D21" s="189" t="e">
        <v>#N/A</v>
      </c>
      <c r="E21" s="200" t="e">
        <v>#N/A</v>
      </c>
      <c r="F21" s="189" t="e">
        <v>#N/A</v>
      </c>
      <c r="G21" s="189" t="e">
        <v>#N/A</v>
      </c>
      <c r="H21" s="190" t="e">
        <v>#N/A</v>
      </c>
    </row>
    <row r="22" spans="1:24" ht="12.75" customHeight="1"/>
    <row r="24" spans="1:24" ht="12.75" customHeight="1">
      <c r="A24" s="9" t="s">
        <v>116</v>
      </c>
      <c r="B24" s="10"/>
      <c r="C24" s="11"/>
      <c r="D24" s="13"/>
      <c r="E24" s="13"/>
      <c r="F24" s="13"/>
      <c r="G24" s="12" t="s">
        <v>117</v>
      </c>
    </row>
    <row r="25" spans="1:24" ht="15.5">
      <c r="A25" s="10"/>
      <c r="B25" s="10"/>
      <c r="C25" s="11"/>
      <c r="D25" s="13"/>
      <c r="E25" s="13"/>
      <c r="F25" s="13"/>
      <c r="G25" s="14" t="s">
        <v>118</v>
      </c>
    </row>
    <row r="26" spans="1:24" ht="12.75" customHeight="1">
      <c r="A26" s="10"/>
      <c r="B26" s="10"/>
      <c r="C26" s="11"/>
      <c r="D26" s="13"/>
      <c r="E26" s="13"/>
      <c r="F26" s="13"/>
      <c r="G26" s="13"/>
    </row>
    <row r="27" spans="1:24" ht="15.5">
      <c r="A27" s="9" t="s">
        <v>119</v>
      </c>
      <c r="B27" s="10"/>
      <c r="C27" s="11"/>
      <c r="D27" s="13"/>
      <c r="E27" s="13"/>
      <c r="F27" s="13"/>
      <c r="G27" s="15" t="s">
        <v>120</v>
      </c>
    </row>
    <row r="28" spans="1:24" ht="12.75" customHeight="1">
      <c r="A28" s="10"/>
      <c r="B28" s="10"/>
      <c r="C28" s="10"/>
      <c r="D28" s="13"/>
      <c r="E28" s="13"/>
      <c r="F28" s="13"/>
      <c r="G28" s="136" t="s">
        <v>121</v>
      </c>
      <c r="H28" s="3"/>
    </row>
    <row r="29" spans="1:24">
      <c r="D29" s="2"/>
      <c r="E29" s="2"/>
      <c r="F29" s="2"/>
      <c r="G29" s="2"/>
    </row>
    <row r="30" spans="1:24" ht="12.75" customHeight="1">
      <c r="D30" s="2"/>
      <c r="E30" s="2"/>
      <c r="F30" s="2"/>
      <c r="G30" s="2"/>
    </row>
    <row r="31" spans="1:24">
      <c r="D31" s="2"/>
      <c r="E31" s="2"/>
      <c r="F31" s="2"/>
      <c r="G31" s="2"/>
    </row>
    <row r="32" spans="1:24" ht="12.75" customHeight="1">
      <c r="D32" s="2"/>
      <c r="E32" s="2"/>
      <c r="F32" s="2"/>
      <c r="G32" s="2"/>
    </row>
    <row r="33" spans="4:7">
      <c r="D33" s="2"/>
      <c r="E33" s="2"/>
      <c r="F33" s="2"/>
      <c r="G33" s="2"/>
    </row>
    <row r="34" spans="4:7" ht="12.75" customHeight="1">
      <c r="D34" s="2"/>
      <c r="E34" s="2"/>
      <c r="F34" s="2"/>
      <c r="G34" s="2"/>
    </row>
    <row r="35" spans="4:7">
      <c r="D35" s="2"/>
      <c r="E35" s="2"/>
      <c r="F35" s="2"/>
      <c r="G35" s="2"/>
    </row>
    <row r="36" spans="4:7">
      <c r="D36" s="2"/>
      <c r="E36" s="2"/>
      <c r="F36" s="2"/>
      <c r="G36" s="2"/>
    </row>
    <row r="37" spans="4:7">
      <c r="D37" s="2"/>
      <c r="E37" s="2"/>
      <c r="F37" s="2"/>
      <c r="G37" s="2"/>
    </row>
    <row r="38" spans="4:7">
      <c r="D38" s="2"/>
      <c r="E38" s="2"/>
      <c r="F38" s="2"/>
      <c r="G38" s="2"/>
    </row>
  </sheetData>
  <mergeCells count="39"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  <mergeCell ref="J8:J9"/>
    <mergeCell ref="K8:K9"/>
    <mergeCell ref="J10:J11"/>
    <mergeCell ref="K10:K11"/>
    <mergeCell ref="J6:J7"/>
    <mergeCell ref="K6:K7"/>
    <mergeCell ref="J12:J13"/>
    <mergeCell ref="K12:K13"/>
    <mergeCell ref="J14:J15"/>
    <mergeCell ref="K14:K15"/>
    <mergeCell ref="J16:J17"/>
    <mergeCell ref="K16:K17"/>
    <mergeCell ref="N4:Q4"/>
    <mergeCell ref="S4:S5"/>
    <mergeCell ref="T4:T5"/>
    <mergeCell ref="U4:X4"/>
    <mergeCell ref="J4:J5"/>
    <mergeCell ref="K4:K5"/>
    <mergeCell ref="L4:L5"/>
    <mergeCell ref="M4:M5"/>
    <mergeCell ref="AL4:AO4"/>
    <mergeCell ref="T2:X2"/>
    <mergeCell ref="AC4:AC5"/>
    <mergeCell ref="AD4:AD5"/>
    <mergeCell ref="AE4:AH4"/>
    <mergeCell ref="AJ4:AJ5"/>
    <mergeCell ref="AK4:AK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пр.взв</vt:lpstr>
      <vt:lpstr>пр.хода</vt:lpstr>
      <vt:lpstr>Ит.пр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2019-02-10T09:35:12Z</cp:lastPrinted>
  <dcterms:created xsi:type="dcterms:W3CDTF">1996-10-08T23:32:33Z</dcterms:created>
  <dcterms:modified xsi:type="dcterms:W3CDTF">2019-02-11T09:05:11Z</dcterms:modified>
</cp:coreProperties>
</file>