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соревнования\Лахденпохья 2018\"/>
    </mc:Choice>
  </mc:AlternateContent>
  <bookViews>
    <workbookView xWindow="120" yWindow="120" windowWidth="9720" windowHeight="7320" activeTab="1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62913"/>
</workbook>
</file>

<file path=xl/calcChain.xml><?xml version="1.0" encoding="utf-8"?>
<calcChain xmlns="http://schemas.openxmlformats.org/spreadsheetml/2006/main"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A3" i="2" l="1"/>
  <c r="B2" i="2"/>
  <c r="D2" i="1" s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B7" i="3"/>
  <c r="N40" i="3"/>
  <c r="G44" i="1" s="1"/>
  <c r="J40" i="3"/>
  <c r="G43" i="1" s="1"/>
  <c r="A40" i="3"/>
  <c r="N38" i="3"/>
  <c r="G41" i="1" s="1"/>
  <c r="J38" i="3"/>
  <c r="G40" i="1" s="1"/>
  <c r="A38" i="3"/>
  <c r="A40" i="1" s="1"/>
  <c r="Y34" i="3"/>
  <c r="D35" i="3" s="1"/>
  <c r="Y33" i="3"/>
  <c r="N35" i="3" s="1"/>
  <c r="Z32" i="3"/>
  <c r="Y32" i="3"/>
  <c r="J31" i="3" s="1"/>
  <c r="Z31" i="3"/>
  <c r="Y31" i="3"/>
  <c r="B31" i="3" s="1"/>
  <c r="Z30" i="3"/>
  <c r="Y30" i="3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C4" i="3"/>
  <c r="C3" i="3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T12" i="1"/>
  <c r="G20" i="1"/>
  <c r="C18" i="1"/>
  <c r="B36" i="1"/>
  <c r="C36" i="1" s="1"/>
  <c r="B32" i="1"/>
  <c r="C32" i="1" s="1"/>
  <c r="B34" i="1"/>
  <c r="H34" i="1" s="1"/>
  <c r="B30" i="1"/>
  <c r="F30" i="1" s="1"/>
  <c r="G22" i="1"/>
  <c r="B54" i="7"/>
  <c r="D22" i="4"/>
  <c r="D24" i="4"/>
  <c r="D36" i="4"/>
  <c r="D34" i="4"/>
  <c r="D32" i="4"/>
  <c r="D30" i="4"/>
  <c r="D28" i="4"/>
  <c r="D5" i="4"/>
  <c r="D19" i="4"/>
  <c r="D17" i="4"/>
  <c r="D15" i="4"/>
  <c r="D13" i="4"/>
  <c r="D11" i="4"/>
  <c r="D9" i="4"/>
  <c r="B2" i="7"/>
  <c r="G24" i="7" s="1"/>
  <c r="B34" i="5"/>
  <c r="E34" i="5" s="1"/>
  <c r="B32" i="5"/>
  <c r="F32" i="5" s="1"/>
  <c r="B19" i="5"/>
  <c r="D19" i="5" s="1"/>
  <c r="B7" i="5"/>
  <c r="C7" i="5" s="1"/>
  <c r="J28" i="6"/>
  <c r="A28" i="6" s="1"/>
  <c r="B6" i="1"/>
  <c r="B12" i="1"/>
  <c r="E12" i="1" s="1"/>
  <c r="B10" i="1"/>
  <c r="H10" i="1" s="1"/>
  <c r="L61" i="7"/>
  <c r="L59" i="7"/>
  <c r="B61" i="7"/>
  <c r="B59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G36" i="7"/>
  <c r="G45" i="7" s="1"/>
  <c r="J21" i="6"/>
  <c r="J16" i="6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C5" i="4"/>
  <c r="B5" i="4"/>
  <c r="E29" i="5"/>
  <c r="E16" i="5"/>
  <c r="E2" i="5"/>
  <c r="F3" i="4"/>
  <c r="A43" i="1"/>
  <c r="B16" i="1"/>
  <c r="D16" i="1" s="1"/>
  <c r="E28" i="1"/>
  <c r="B9" i="5"/>
  <c r="D9" i="5" s="1"/>
  <c r="G26" i="1"/>
  <c r="B52" i="7"/>
  <c r="J11" i="6"/>
  <c r="B8" i="1"/>
  <c r="E8" i="1" s="1"/>
  <c r="F24" i="1"/>
  <c r="L48" i="7"/>
  <c r="L54" i="7"/>
  <c r="L50" i="7"/>
  <c r="L52" i="7"/>
  <c r="B14" i="1"/>
  <c r="C14" i="1" s="1"/>
  <c r="B50" i="7"/>
  <c r="B21" i="5"/>
  <c r="D21" i="5" s="1"/>
  <c r="B48" i="7"/>
  <c r="D7" i="4"/>
  <c r="D26" i="4"/>
  <c r="D7" i="5" l="1"/>
  <c r="B11" i="6"/>
  <c r="D13" i="6"/>
  <c r="B13" i="6"/>
  <c r="H11" i="6"/>
  <c r="B21" i="6"/>
  <c r="D23" i="6"/>
  <c r="H21" i="6"/>
  <c r="B23" i="6"/>
  <c r="E34" i="1"/>
  <c r="D34" i="1"/>
  <c r="B6" i="6"/>
  <c r="D8" i="6"/>
  <c r="B8" i="6"/>
  <c r="H6" i="6"/>
  <c r="B16" i="6"/>
  <c r="D18" i="6"/>
  <c r="H16" i="6"/>
  <c r="B18" i="6"/>
  <c r="O59" i="7"/>
  <c r="N59" i="7"/>
  <c r="M59" i="7"/>
  <c r="P59" i="7"/>
  <c r="E61" i="7"/>
  <c r="D61" i="7"/>
  <c r="C61" i="7"/>
  <c r="F61" i="7"/>
  <c r="E59" i="7"/>
  <c r="D59" i="7"/>
  <c r="C59" i="7"/>
  <c r="F59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M61" i="7"/>
  <c r="P61" i="7"/>
  <c r="O61" i="7"/>
  <c r="N61" i="7"/>
  <c r="M54" i="7"/>
  <c r="P54" i="7"/>
  <c r="O54" i="7"/>
  <c r="N54" i="7"/>
  <c r="M52" i="7"/>
  <c r="P52" i="7"/>
  <c r="O52" i="7"/>
  <c r="N52" i="7"/>
  <c r="M41" i="7"/>
  <c r="P41" i="7"/>
  <c r="O41" i="7"/>
  <c r="N41" i="7"/>
  <c r="C12" i="1"/>
  <c r="C19" i="5"/>
  <c r="E10" i="1"/>
  <c r="F18" i="1"/>
  <c r="G32" i="1"/>
  <c r="C32" i="5"/>
  <c r="L2" i="7"/>
  <c r="Q24" i="7" s="1"/>
  <c r="F12" i="1"/>
  <c r="J12" i="1" s="1"/>
  <c r="V1" i="1" s="1"/>
  <c r="D12" i="1"/>
  <c r="H24" i="1"/>
  <c r="H12" i="1"/>
  <c r="G10" i="1"/>
  <c r="F10" i="1"/>
  <c r="J10" i="1" s="1"/>
  <c r="F7" i="5"/>
  <c r="D10" i="1"/>
  <c r="E18" i="1"/>
  <c r="C8" i="1"/>
  <c r="D34" i="5"/>
  <c r="E32" i="5"/>
  <c r="F36" i="1"/>
  <c r="E36" i="1"/>
  <c r="D36" i="1"/>
  <c r="G30" i="1"/>
  <c r="D30" i="1"/>
  <c r="C21" i="5"/>
  <c r="F19" i="5"/>
  <c r="E19" i="5"/>
  <c r="F20" i="1"/>
  <c r="G18" i="1"/>
  <c r="H18" i="1"/>
  <c r="D18" i="1"/>
  <c r="E7" i="5"/>
  <c r="G36" i="1"/>
  <c r="F28" i="1"/>
  <c r="D28" i="1"/>
  <c r="H36" i="1"/>
  <c r="C24" i="1"/>
  <c r="C34" i="5"/>
  <c r="H14" i="1"/>
  <c r="F34" i="5"/>
  <c r="D14" i="1"/>
  <c r="G14" i="1"/>
  <c r="F14" i="1"/>
  <c r="J14" i="1" s="1"/>
  <c r="F9" i="5"/>
  <c r="E14" i="1"/>
  <c r="C9" i="5"/>
  <c r="F26" i="1"/>
  <c r="H26" i="1"/>
  <c r="C26" i="1"/>
  <c r="D26" i="1"/>
  <c r="C30" i="1"/>
  <c r="H30" i="1"/>
  <c r="H22" i="1"/>
  <c r="E30" i="1"/>
  <c r="D32" i="5"/>
  <c r="C34" i="1"/>
  <c r="E26" i="1"/>
  <c r="F34" i="1"/>
  <c r="G34" i="1"/>
  <c r="H8" i="1"/>
  <c r="D8" i="1"/>
  <c r="F8" i="1"/>
  <c r="J8" i="1" s="1"/>
  <c r="O12" i="1" s="1"/>
  <c r="G12" i="1"/>
  <c r="C10" i="1"/>
  <c r="N7" i="2" a="1"/>
  <c r="N7" i="2" s="1"/>
  <c r="Q6" i="2" s="1"/>
  <c r="Z6" i="2" s="1"/>
  <c r="M7" i="2" a="1"/>
  <c r="M7" i="2" s="1"/>
  <c r="P7" i="2" s="1"/>
  <c r="Y7" i="2" s="1"/>
  <c r="F16" i="1"/>
  <c r="J16" i="1" s="1"/>
  <c r="G16" i="1"/>
  <c r="E16" i="1"/>
  <c r="H16" i="1"/>
  <c r="G6" i="1"/>
  <c r="F6" i="1"/>
  <c r="J4" i="1" s="1"/>
  <c r="E6" i="1"/>
  <c r="D6" i="1"/>
  <c r="H6" i="1"/>
  <c r="F22" i="1"/>
  <c r="E22" i="1"/>
  <c r="C22" i="1"/>
  <c r="F32" i="1"/>
  <c r="H32" i="1"/>
  <c r="D32" i="1"/>
  <c r="H20" i="1"/>
  <c r="D20" i="1"/>
  <c r="E20" i="1"/>
  <c r="C20" i="1"/>
  <c r="D22" i="1"/>
  <c r="D24" i="1"/>
  <c r="E24" i="1"/>
  <c r="G24" i="1"/>
  <c r="G28" i="1"/>
  <c r="C28" i="1"/>
  <c r="H28" i="1"/>
  <c r="F21" i="5"/>
  <c r="E21" i="5"/>
  <c r="C16" i="1"/>
  <c r="E32" i="1"/>
  <c r="C6" i="1"/>
  <c r="E9" i="5"/>
  <c r="G8" i="1"/>
  <c r="P17" i="1" l="1"/>
  <c r="P14" i="1"/>
  <c r="Q16" i="1"/>
  <c r="P10" i="1"/>
  <c r="P7" i="1"/>
  <c r="P15" i="1"/>
  <c r="P6" i="1"/>
  <c r="P8" i="1"/>
  <c r="P16" i="1"/>
  <c r="P9" i="1"/>
  <c r="P11" i="1"/>
  <c r="P13" i="1"/>
  <c r="P12" i="1"/>
  <c r="O13" i="1"/>
  <c r="O6" i="1"/>
  <c r="O7" i="1"/>
  <c r="T9" i="1"/>
  <c r="W9" i="1" s="1"/>
  <c r="O10" i="1"/>
  <c r="O9" i="1"/>
  <c r="O8" i="1"/>
  <c r="O14" i="1"/>
  <c r="O11" i="1"/>
  <c r="O16" i="1"/>
  <c r="O17" i="1"/>
  <c r="O15" i="1"/>
  <c r="N8" i="2" a="1"/>
  <c r="N8" i="2" s="1"/>
  <c r="R6" i="2" s="1"/>
  <c r="M8" i="2" a="1"/>
  <c r="M8" i="2" s="1"/>
  <c r="M9" i="2" s="1" a="1"/>
  <c r="M9" i="2" s="1"/>
  <c r="P9" i="2" s="1"/>
  <c r="Y9" i="2" s="1"/>
  <c r="Q13" i="1"/>
  <c r="T10" i="1"/>
  <c r="V10" i="1" s="1"/>
  <c r="Q7" i="2"/>
  <c r="Q11" i="1"/>
  <c r="Q10" i="1"/>
  <c r="Q15" i="1"/>
  <c r="Q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T13" i="1"/>
  <c r="Q14" i="1"/>
  <c r="Q17" i="1"/>
  <c r="Q7" i="1"/>
  <c r="Q12" i="1"/>
  <c r="Q8" i="1"/>
  <c r="Q9" i="1"/>
  <c r="T11" i="1"/>
  <c r="T2" i="1"/>
  <c r="T8" i="1"/>
  <c r="T7" i="1"/>
  <c r="P18" i="1" l="1"/>
  <c r="U9" i="1"/>
  <c r="V9" i="1"/>
  <c r="N9" i="2" a="1"/>
  <c r="N9" i="2" s="1"/>
  <c r="N10" i="2" s="1" a="1"/>
  <c r="N10" i="2" s="1"/>
  <c r="N11" i="2" s="1" a="1"/>
  <c r="N11" i="2" s="1"/>
  <c r="U6" i="2" s="1"/>
  <c r="X9" i="1"/>
  <c r="O18" i="1"/>
  <c r="R9" i="2"/>
  <c r="X10" i="1"/>
  <c r="M10" i="2" a="1"/>
  <c r="M10" i="2" s="1"/>
  <c r="P10" i="2" s="1"/>
  <c r="Q9" i="2"/>
  <c r="W10" i="1"/>
  <c r="P8" i="2"/>
  <c r="Y8" i="2" s="1"/>
  <c r="U10" i="1"/>
  <c r="Z7" i="2"/>
  <c r="AA6" i="2"/>
  <c r="R7" i="2"/>
  <c r="AA7" i="2" s="1"/>
  <c r="Q18" i="1"/>
  <c r="Z7" i="1"/>
  <c r="Z9" i="1"/>
  <c r="Z10" i="1"/>
  <c r="U7" i="1"/>
  <c r="V7" i="1"/>
  <c r="Z11" i="1"/>
  <c r="W7" i="1"/>
  <c r="X7" i="1"/>
  <c r="X6" i="1"/>
  <c r="W6" i="1"/>
  <c r="V6" i="1"/>
  <c r="Z6" i="1"/>
  <c r="AB6" i="1" s="1"/>
  <c r="AD6" i="1" s="1"/>
  <c r="U6" i="1"/>
  <c r="N18" i="1"/>
  <c r="U8" i="1"/>
  <c r="W8" i="1"/>
  <c r="X8" i="1"/>
  <c r="V8" i="1"/>
  <c r="Z8" i="1"/>
  <c r="V11" i="1"/>
  <c r="W11" i="1"/>
  <c r="U11" i="1"/>
  <c r="X11" i="1"/>
  <c r="T1" i="1"/>
  <c r="S6" i="2" l="1"/>
  <c r="R8" i="2"/>
  <c r="AA8" i="2" s="1"/>
  <c r="M11" i="2" a="1"/>
  <c r="M11" i="2" s="1"/>
  <c r="P11" i="2" s="1"/>
  <c r="S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S10" i="2"/>
  <c r="Q10" i="2"/>
  <c r="Y10" i="2"/>
  <c r="AA7" i="1"/>
  <c r="AB6" i="2"/>
  <c r="S7" i="2"/>
  <c r="AB7" i="2" s="1"/>
  <c r="S9" i="2"/>
  <c r="AB9" i="2" s="1"/>
  <c r="AB8" i="1"/>
  <c r="T6" i="2"/>
  <c r="U8" i="2"/>
  <c r="AD8" i="2" s="1"/>
  <c r="S8" i="2"/>
  <c r="AB8" i="2" s="1"/>
  <c r="AK6" i="1"/>
  <c r="AG6" i="1"/>
  <c r="AF6" i="1"/>
  <c r="AE6" i="1"/>
  <c r="AH6" i="1"/>
  <c r="V18" i="1"/>
  <c r="W18" i="1"/>
  <c r="U18" i="1"/>
  <c r="X18" i="1"/>
  <c r="AB9" i="1"/>
  <c r="AB7" i="1"/>
  <c r="AB10" i="1"/>
  <c r="AB11" i="1"/>
  <c r="R11" i="2" l="1"/>
  <c r="Q11" i="2"/>
  <c r="U11" i="2"/>
  <c r="AD11" i="2" s="1"/>
  <c r="M12" i="2" a="1"/>
  <c r="M12" i="2" s="1"/>
  <c r="P12" i="2" s="1"/>
  <c r="R12" i="2" s="1"/>
  <c r="Y11" i="2"/>
  <c r="AB11" i="2" s="1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AA11" i="2"/>
  <c r="Z11" i="2"/>
  <c r="T11" i="2"/>
  <c r="AA10" i="2"/>
  <c r="AB10" i="2"/>
  <c r="Z10" i="2"/>
  <c r="T10" i="2"/>
  <c r="AC10" i="2" s="1"/>
  <c r="AD11" i="1"/>
  <c r="AD9" i="1"/>
  <c r="AD10" i="1"/>
  <c r="AD7" i="1"/>
  <c r="AL6" i="1"/>
  <c r="AM6" i="1"/>
  <c r="AD8" i="1"/>
  <c r="AN6" i="1"/>
  <c r="AO6" i="1"/>
  <c r="AC11" i="2" l="1"/>
  <c r="Y12" i="2"/>
  <c r="S12" i="2"/>
  <c r="V12" i="2"/>
  <c r="AE12" i="2" s="1"/>
  <c r="T12" i="2"/>
  <c r="AC12" i="2" s="1"/>
  <c r="M13" i="2" a="1"/>
  <c r="M13" i="2" s="1"/>
  <c r="M14" i="2" s="1" a="1"/>
  <c r="M14" i="2" s="1"/>
  <c r="P14" i="2" s="1"/>
  <c r="U14" i="2" s="1"/>
  <c r="AD14" i="2" s="1"/>
  <c r="Q12" i="2"/>
  <c r="U12" i="2"/>
  <c r="AD12" i="2" s="1"/>
  <c r="AB12" i="2"/>
  <c r="AA12" i="2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F10" i="1"/>
  <c r="AM10" i="1" s="1"/>
  <c r="AH10" i="1"/>
  <c r="AO10" i="1" s="1"/>
  <c r="AE10" i="1"/>
  <c r="AL10" i="1" s="1"/>
  <c r="AG10" i="1"/>
  <c r="AN10" i="1" s="1"/>
  <c r="AK10" i="1"/>
  <c r="AF9" i="1"/>
  <c r="AM9" i="1" s="1"/>
  <c r="AH9" i="1"/>
  <c r="AO9" i="1" s="1"/>
  <c r="AE9" i="1"/>
  <c r="AL9" i="1" s="1"/>
  <c r="AK9" i="1"/>
  <c r="AG9" i="1"/>
  <c r="AN9" i="1" s="1"/>
  <c r="AK7" i="1"/>
  <c r="AE7" i="1"/>
  <c r="AG7" i="1"/>
  <c r="AF7" i="1"/>
  <c r="AH7" i="1"/>
  <c r="AK8" i="1"/>
  <c r="AE8" i="1"/>
  <c r="AL8" i="1" s="1"/>
  <c r="AF8" i="1"/>
  <c r="AM8" i="1" s="1"/>
  <c r="AH8" i="1"/>
  <c r="AO8" i="1" s="1"/>
  <c r="AG8" i="1"/>
  <c r="AN8" i="1" s="1"/>
  <c r="AH11" i="1"/>
  <c r="AO11" i="1" s="1"/>
  <c r="AE11" i="1"/>
  <c r="AL11" i="1" s="1"/>
  <c r="AF11" i="1"/>
  <c r="AM11" i="1" s="1"/>
  <c r="AG11" i="1"/>
  <c r="AN11" i="1" s="1"/>
  <c r="AK11" i="1"/>
  <c r="Z12" i="2" l="1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Q13" i="2"/>
  <c r="T13" i="2"/>
  <c r="U13" i="2"/>
  <c r="AD13" i="2" s="1"/>
  <c r="Y13" i="2"/>
  <c r="V13" i="2"/>
  <c r="AE13" i="2" s="1"/>
  <c r="N17" i="2" a="1"/>
  <c r="N17" i="2" s="1"/>
  <c r="AL7" i="1"/>
  <c r="AL12" i="1" s="1"/>
  <c r="AE12" i="1"/>
  <c r="AO7" i="1"/>
  <c r="AO12" i="1" s="1"/>
  <c r="AH12" i="1"/>
  <c r="AN7" i="1"/>
  <c r="AN12" i="1" s="1"/>
  <c r="AG12" i="1"/>
  <c r="AM7" i="1"/>
  <c r="AM12" i="1" s="1"/>
  <c r="AF12" i="1"/>
  <c r="W13" i="2" l="1"/>
  <c r="AF13" i="2" s="1"/>
  <c r="S13" i="2"/>
  <c r="AB13" i="2" s="1"/>
  <c r="T15" i="2"/>
  <c r="Y15" i="2"/>
  <c r="AC15" i="2" s="1"/>
  <c r="U15" i="2"/>
  <c r="AD15" i="2" s="1"/>
  <c r="V15" i="2"/>
  <c r="AE15" i="2" s="1"/>
  <c r="W15" i="2"/>
  <c r="AF15" i="2" s="1"/>
  <c r="Q15" i="2"/>
  <c r="AA14" i="2"/>
  <c r="M16" i="2" a="1"/>
  <c r="M16" i="2" s="1"/>
  <c r="R15" i="2"/>
  <c r="AA15" i="2" s="1"/>
  <c r="AB14" i="2"/>
  <c r="AC14" i="2"/>
  <c r="Z13" i="2"/>
  <c r="Z14" i="2"/>
  <c r="AC13" i="2"/>
  <c r="AA13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Z15" i="2"/>
  <c r="AB15" i="2" l="1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Z17" i="2" s="1"/>
  <c r="U16" i="2"/>
  <c r="AD16" i="2" s="1"/>
  <c r="Q16" i="2"/>
  <c r="W16" i="2"/>
  <c r="AF16" i="2" s="1"/>
  <c r="AC17" i="2"/>
  <c r="AB17" i="2"/>
  <c r="Q18" i="2" l="1"/>
  <c r="Y18" i="2"/>
  <c r="AA18" i="2" s="1"/>
  <c r="M19" i="2" a="1"/>
  <c r="M19" i="2" s="1"/>
  <c r="P19" i="2" s="1"/>
  <c r="Y19" i="2" s="1"/>
  <c r="W18" i="2"/>
  <c r="AF18" i="2" s="1"/>
  <c r="R18" i="2"/>
  <c r="S18" i="2"/>
  <c r="AB18" i="2" s="1"/>
  <c r="U18" i="2"/>
  <c r="AD18" i="2" s="1"/>
  <c r="AB16" i="2"/>
  <c r="AA16" i="2"/>
  <c r="Z16" i="2"/>
  <c r="AC16" i="2"/>
  <c r="AA17" i="2"/>
  <c r="V18" i="2"/>
  <c r="AE18" i="2" s="1"/>
  <c r="Z18" i="2"/>
  <c r="AC18" i="2"/>
  <c r="M20" i="2" l="1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<sst xmlns="http://schemas.openxmlformats.org/spreadsheetml/2006/main" count="345" uniqueCount="140">
  <si>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</si>
  <si>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</si>
  <si>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</si>
  <si>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</si>
  <si>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</si>
  <si>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</si>
  <si>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</si>
  <si>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</si>
  <si>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</si>
  <si>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</si>
  <si>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</si>
  <si>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</si>
  <si>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</si>
  <si>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</si>
  <si>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</si>
  <si>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</si>
  <si>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</si>
  <si>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</si>
  <si>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</si>
  <si>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</si>
  <si>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</si>
  <si>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</si>
  <si>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</si>
  <si>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</si>
  <si>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</si>
  <si>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</si>
  <si>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</si>
  <si>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</si>
  <si>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</si>
  <si>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</si>
  <si>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</si>
  <si>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</si>
  <si>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</si>
  <si>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</si>
  <si>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</si>
  <si>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</si>
  <si>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</si>
  <si>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</si>
  <si>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</si>
  <si>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</si>
  <si>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</si>
  <si>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</si>
  <si>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 xml:space="preserve"> (Утешительные встречи)</t>
  </si>
  <si>
    <t>(Утешительные встречи)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</si>
  <si>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</si>
  <si>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</si>
  <si>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</si>
  <si>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</si>
  <si>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</si>
  <si>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</si>
  <si>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</si>
  <si>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</si>
  <si>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</si>
  <si>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</si>
  <si>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</si>
  <si>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</si>
  <si>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</si>
  <si>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</si>
  <si>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</si>
  <si>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</si>
  <si>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</si>
  <si>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</si>
  <si>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</si>
  <si>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</si>
  <si>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</si>
  <si>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</si>
  <si>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</si>
  <si>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</si>
  <si>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</si>
  <si>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</si>
  <si>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</si>
  <si>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</si>
  <si>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</si>
  <si>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</si>
  <si>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</si>
  <si>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</si>
  <si>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</si>
  <si>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</si>
  <si>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</si>
  <si>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</si>
  <si>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</si>
  <si>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</si>
  <si>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</si>
  <si>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</si>
  <si>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</si>
  <si>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</si>
  <si>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</si>
  <si>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</si>
  <si>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</si>
  <si>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</si>
  <si>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</si>
  <si>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</si>
  <si>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</si>
  <si>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</si>
  <si>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Кибишев Залим Арсенович</t>
  </si>
  <si>
    <t>19.06.94, мс</t>
  </si>
  <si>
    <t>СКФО</t>
  </si>
  <si>
    <t>Ставропольский, Ставрополь</t>
  </si>
  <si>
    <t>Хапай АЮ Хапай АЮ</t>
  </si>
  <si>
    <t>Мишанин Константин Олегович</t>
  </si>
  <si>
    <t>16.06.89, кмс</t>
  </si>
  <si>
    <t>ЦФО</t>
  </si>
  <si>
    <t>Рязанская, Рязань "Юпитер"</t>
  </si>
  <si>
    <t>Курбатов ДА Кучумов ВА</t>
  </si>
  <si>
    <t>Расулов Шамиль Садрутдинович</t>
  </si>
  <si>
    <t>09.04.93, мс</t>
  </si>
  <si>
    <t>СП</t>
  </si>
  <si>
    <t>Санкт-Петербург</t>
  </si>
  <si>
    <t>Коршунов АИ</t>
  </si>
  <si>
    <t>Бычков Александр Юрьевич</t>
  </si>
  <si>
    <t>11.01.87, кмс</t>
  </si>
  <si>
    <t>СЗФО</t>
  </si>
  <si>
    <t>Р.Карелия, Петрозаводск</t>
  </si>
  <si>
    <t>Шегельман РИ</t>
  </si>
  <si>
    <t>Гашимов Субхан Ализахир оглы</t>
  </si>
  <si>
    <t>20.08.99, кмс</t>
  </si>
  <si>
    <t>Мамедов ЭМ</t>
  </si>
  <si>
    <t>Магомедов Расул Ахметович</t>
  </si>
  <si>
    <t>06.04.94, кмс</t>
  </si>
  <si>
    <t>Шалимов Олег Валентинович</t>
  </si>
  <si>
    <t>24.07.00, кмс</t>
  </si>
  <si>
    <t>Вологодская, Вологда</t>
  </si>
  <si>
    <t>Тчанников ИА</t>
  </si>
  <si>
    <t>Тайгибов Магомед Магомедрасулович</t>
  </si>
  <si>
    <t>27.03.98, кмс</t>
  </si>
  <si>
    <t>Загиров Рагим Имирханович</t>
  </si>
  <si>
    <t>28.01.90, кмс</t>
  </si>
  <si>
    <t>Торчавский ФА</t>
  </si>
  <si>
    <t>Шевцов Иван Николаевич</t>
  </si>
  <si>
    <t>09.07.00, кмс</t>
  </si>
  <si>
    <t>Мурманская, Мурманск</t>
  </si>
  <si>
    <t>Абросимов АС</t>
  </si>
  <si>
    <t>Гаджиев Али Джабраилович</t>
  </si>
  <si>
    <t>28.11.97, кмс</t>
  </si>
  <si>
    <t>Давыденко ИА</t>
  </si>
  <si>
    <t>Бурлаков Анатолий Николаевич</t>
  </si>
  <si>
    <t>26.09.97, кмс</t>
  </si>
  <si>
    <t>4/0</t>
  </si>
  <si>
    <t>3/1</t>
  </si>
  <si>
    <t>В.к.62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</si>
</sst>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52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i/>
      <sz val="12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b/>
      <sz val="9"/>
      <name val="Arial Narrow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sz val="13"/>
      <name val="Arial Narrow"/>
      <family val="2"/>
      <charset val="204"/>
    </font>
    <font>
      <b/>
      <sz val="10"/>
      <color theme="0"/>
      <name val="Arial"/>
      <family val="2"/>
      <charset val="204"/>
    </font>
    <font>
      <b/>
      <sz val="12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9"/>
      <color indexed="17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67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0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41" fillId="0" borderId="21" xfId="0" applyFont="1" applyBorder="1" applyAlignment="1" applyProtection="1">
      <alignment horizontal="center"/>
      <protection locked="0" hidden="1"/>
    </xf>
    <xf numFmtId="0" fontId="41" fillId="0" borderId="19" xfId="0" applyNumberFormat="1" applyFont="1" applyFill="1" applyBorder="1" applyAlignment="1" applyProtection="1">
      <alignment horizontal="center"/>
      <protection locked="0" hidden="1"/>
    </xf>
    <xf numFmtId="0" fontId="41" fillId="7" borderId="19" xfId="0" applyNumberFormat="1" applyFont="1" applyFill="1" applyBorder="1" applyAlignment="1" applyProtection="1">
      <alignment horizontal="center"/>
      <protection locked="0" hidden="1"/>
    </xf>
    <xf numFmtId="0" fontId="41" fillId="0" borderId="20" xfId="0" applyFont="1" applyBorder="1" applyAlignment="1" applyProtection="1">
      <alignment horizontal="center"/>
      <protection locked="0" hidden="1"/>
    </xf>
    <xf numFmtId="0" fontId="41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41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2" fillId="7" borderId="0" xfId="0" applyFont="1" applyFill="1" applyBorder="1" applyProtection="1"/>
    <xf numFmtId="0" fontId="42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5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9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4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5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49" fontId="7" fillId="0" borderId="6" xfId="0" applyNumberFormat="1" applyFont="1" applyBorder="1" applyAlignment="1" applyProtection="1">
      <alignment horizontal="center" vertical="center"/>
      <protection locked="0"/>
    </xf>
    <xf numFmtId="0" fontId="47" fillId="0" borderId="0" xfId="0" applyFont="1" applyFill="1" applyBorder="1" applyProtection="1">
      <protection locked="0"/>
    </xf>
    <xf numFmtId="0" fontId="50" fillId="0" borderId="0" xfId="0" applyFont="1" applyFill="1" applyBorder="1" applyProtection="1">
      <protection locked="0"/>
    </xf>
    <xf numFmtId="0" fontId="47" fillId="0" borderId="0" xfId="0" applyFont="1" applyBorder="1" applyProtection="1">
      <protection locked="0"/>
    </xf>
    <xf numFmtId="0" fontId="48" fillId="0" borderId="0" xfId="0" applyNumberFormat="1" applyFont="1" applyBorder="1" applyAlignment="1" applyProtection="1">
      <alignment horizontal="right" vertical="center" wrapText="1"/>
      <protection locked="0"/>
    </xf>
    <xf numFmtId="0" fontId="47" fillId="0" borderId="0" xfId="0" applyNumberFormat="1" applyFont="1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8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3" fillId="0" borderId="46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/>
    </xf>
    <xf numFmtId="0" fontId="43" fillId="0" borderId="47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40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51" fillId="0" borderId="67" xfId="0" applyNumberFormat="1" applyFont="1" applyBorder="1" applyAlignment="1" applyProtection="1">
      <alignment horizontal="center" vertical="center" wrapText="1"/>
      <protection locked="0"/>
    </xf>
    <xf numFmtId="0" fontId="51" fillId="0" borderId="68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0" fontId="49" fillId="0" borderId="0" xfId="1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20" fillId="0" borderId="69" xfId="0" applyNumberFormat="1" applyFont="1" applyBorder="1" applyAlignment="1" applyProtection="1">
      <alignment horizontal="center" vertical="center" wrapText="1"/>
      <protection locked="0"/>
    </xf>
    <xf numFmtId="0" fontId="20" fillId="0" borderId="70" xfId="0" applyNumberFormat="1" applyFont="1" applyBorder="1" applyAlignment="1" applyProtection="1">
      <alignment horizontal="center" vertical="center" wrapText="1"/>
      <protection locked="0"/>
    </xf>
    <xf numFmtId="0" fontId="20" fillId="0" borderId="71" xfId="0" applyNumberFormat="1" applyFont="1" applyBorder="1" applyAlignment="1" applyProtection="1">
      <alignment horizontal="center" vertical="center" wrapText="1"/>
      <protection locked="0"/>
    </xf>
    <xf numFmtId="0" fontId="20" fillId="0" borderId="72" xfId="0" applyNumberFormat="1" applyFont="1" applyBorder="1" applyAlignment="1" applyProtection="1">
      <alignment horizontal="center" vertical="center" wrapText="1"/>
      <protection locked="0"/>
    </xf>
    <xf numFmtId="0" fontId="20" fillId="0" borderId="73" xfId="0" applyNumberFormat="1" applyFont="1" applyBorder="1" applyAlignment="1" applyProtection="1">
      <alignment horizontal="center" vertical="center" wrapText="1"/>
      <protection locked="0"/>
    </xf>
    <xf numFmtId="0" fontId="20" fillId="0" borderId="74" xfId="0" applyNumberFormat="1" applyFont="1" applyBorder="1" applyAlignment="1" applyProtection="1">
      <alignment horizontal="center" vertical="center" wrapText="1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30" fillId="0" borderId="0" xfId="1" applyFont="1" applyAlignment="1" applyProtection="1">
      <alignment horizontal="left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19" fillId="0" borderId="61" xfId="0" applyNumberFormat="1" applyFont="1" applyBorder="1" applyAlignment="1" applyProtection="1">
      <alignment horizontal="center" vertical="center" wrapText="1"/>
      <protection locked="0"/>
    </xf>
    <xf numFmtId="0" fontId="19" fillId="0" borderId="62" xfId="0" applyNumberFormat="1" applyFont="1" applyBorder="1" applyAlignment="1" applyProtection="1">
      <alignment horizontal="center" vertical="center" wrapText="1"/>
      <protection locked="0"/>
    </xf>
    <xf numFmtId="0" fontId="19" fillId="0" borderId="63" xfId="0" applyNumberFormat="1" applyFont="1" applyBorder="1" applyAlignment="1" applyProtection="1">
      <alignment horizontal="center" vertical="center" wrapText="1"/>
      <protection locked="0"/>
    </xf>
    <xf numFmtId="0" fontId="19" fillId="0" borderId="64" xfId="0" applyNumberFormat="1" applyFont="1" applyBorder="1" applyAlignment="1" applyProtection="1">
      <alignment horizontal="center" vertical="center" wrapText="1"/>
      <protection locked="0"/>
    </xf>
    <xf numFmtId="0" fontId="19" fillId="0" borderId="65" xfId="0" applyNumberFormat="1" applyFont="1" applyBorder="1" applyAlignment="1" applyProtection="1">
      <alignment horizontal="center" vertical="center" wrapText="1"/>
      <protection locked="0"/>
    </xf>
    <xf numFmtId="0" fontId="19" fillId="0" borderId="66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46" fillId="2" borderId="57" xfId="1" applyFont="1" applyFill="1" applyBorder="1" applyAlignment="1" applyProtection="1">
      <alignment horizontal="center" vertical="center" wrapText="1"/>
      <protection locked="0"/>
    </xf>
    <xf numFmtId="0" fontId="46" fillId="2" borderId="58" xfId="1" applyFont="1" applyFill="1" applyBorder="1" applyAlignment="1" applyProtection="1">
      <alignment horizontal="center" vertical="center" wrapText="1"/>
      <protection locked="0"/>
    </xf>
    <xf numFmtId="0" fontId="46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11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7" fillId="0" borderId="81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1" fillId="0" borderId="81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0" fontId="1" fillId="0" borderId="81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30" fillId="0" borderId="81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30" fillId="0" borderId="81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79" xfId="0" applyFont="1" applyBorder="1" applyAlignment="1">
      <alignment horizontal="center" vertical="center" wrapText="1"/>
    </xf>
    <xf numFmtId="0" fontId="31" fillId="0" borderId="80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81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30" fillId="0" borderId="75" xfId="0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8" fillId="0" borderId="75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29" fillId="0" borderId="27" xfId="0" applyNumberFormat="1" applyFont="1" applyBorder="1" applyAlignment="1">
      <alignment horizontal="center" vertical="center" wrapText="1"/>
    </xf>
    <xf numFmtId="0" fontId="31" fillId="0" borderId="79" xfId="0" applyNumberFormat="1" applyFont="1" applyBorder="1" applyAlignment="1">
      <alignment horizontal="center" vertical="center" wrapText="1"/>
    </xf>
    <xf numFmtId="0" fontId="31" fillId="0" borderId="80" xfId="0" applyNumberFormat="1" applyFont="1" applyBorder="1" applyAlignment="1">
      <alignment horizontal="center" vertical="center" wrapText="1"/>
    </xf>
    <xf numFmtId="0" fontId="26" fillId="0" borderId="15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17" fillId="0" borderId="82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8" fillId="0" borderId="56" xfId="0" applyNumberFormat="1" applyFont="1" applyBorder="1" applyAlignment="1">
      <alignment horizontal="left" vertical="center" wrapText="1"/>
    </xf>
    <xf numFmtId="0" fontId="8" fillId="0" borderId="21" xfId="0" applyNumberFormat="1" applyFont="1" applyBorder="1" applyAlignment="1">
      <alignment horizontal="left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7" xfId="0" applyNumberFormat="1" applyFont="1" applyBorder="1" applyAlignment="1">
      <alignment horizontal="center" vertical="center" wrapText="1"/>
    </xf>
    <xf numFmtId="0" fontId="8" fillId="0" borderId="19" xfId="0" applyNumberFormat="1" applyFont="1" applyBorder="1" applyAlignment="1">
      <alignment horizontal="center" vertical="center" wrapText="1"/>
    </xf>
    <xf numFmtId="0" fontId="8" fillId="0" borderId="49" xfId="0" applyNumberFormat="1" applyFont="1" applyBorder="1" applyAlignment="1">
      <alignment horizontal="left" vertical="center" wrapText="1"/>
    </xf>
    <xf numFmtId="49" fontId="11" fillId="0" borderId="20" xfId="0" applyNumberFormat="1" applyFont="1" applyBorder="1" applyAlignment="1">
      <alignment horizontal="center" vertical="center" wrapText="1"/>
    </xf>
    <xf numFmtId="0" fontId="8" fillId="0" borderId="42" xfId="0" applyNumberFormat="1" applyFont="1" applyBorder="1" applyAlignment="1">
      <alignment horizontal="center" vertical="center" wrapText="1"/>
    </xf>
    <xf numFmtId="49" fontId="11" fillId="0" borderId="21" xfId="0" applyNumberFormat="1" applyFont="1" applyBorder="1" applyAlignment="1">
      <alignment horizontal="center" vertical="center" wrapText="1"/>
    </xf>
    <xf numFmtId="0" fontId="8" fillId="0" borderId="26" xfId="0" applyNumberFormat="1" applyFont="1" applyBorder="1" applyAlignment="1">
      <alignment horizontal="center" vertical="center" wrapText="1"/>
    </xf>
    <xf numFmtId="49" fontId="11" fillId="0" borderId="48" xfId="0" applyNumberFormat="1" applyFont="1" applyBorder="1" applyAlignment="1">
      <alignment horizontal="center" vertical="center" wrapText="1"/>
    </xf>
    <xf numFmtId="0" fontId="32" fillId="0" borderId="89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14" xfId="0" applyNumberFormat="1" applyFont="1" applyBorder="1" applyAlignment="1">
      <alignment horizontal="center" vertical="center" wrapText="1"/>
    </xf>
    <xf numFmtId="0" fontId="8" fillId="0" borderId="77" xfId="1" applyFont="1" applyFill="1" applyBorder="1" applyAlignment="1" applyProtection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32" fillId="0" borderId="48" xfId="0" applyFont="1" applyBorder="1" applyAlignment="1">
      <alignment horizontal="center" vertical="center" wrapText="1"/>
    </xf>
    <xf numFmtId="0" fontId="8" fillId="0" borderId="80" xfId="0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8" fillId="0" borderId="85" xfId="0" applyNumberFormat="1" applyFont="1" applyBorder="1" applyAlignment="1">
      <alignment horizontal="left" vertical="center" wrapText="1"/>
    </xf>
    <xf numFmtId="0" fontId="8" fillId="0" borderId="16" xfId="0" applyNumberFormat="1" applyFont="1" applyBorder="1" applyAlignment="1">
      <alignment horizontal="left" vertical="center" wrapText="1"/>
    </xf>
    <xf numFmtId="0" fontId="8" fillId="0" borderId="25" xfId="0" applyNumberFormat="1" applyFont="1" applyBorder="1" applyAlignment="1">
      <alignment horizontal="left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9" xfId="0" applyNumberFormat="1" applyFont="1" applyBorder="1" applyAlignment="1">
      <alignment horizontal="left" vertical="center" wrapText="1"/>
    </xf>
    <xf numFmtId="0" fontId="8" fillId="0" borderId="81" xfId="0" applyFont="1" applyBorder="1" applyAlignment="1">
      <alignment horizontal="center" vertical="center" wrapText="1"/>
    </xf>
    <xf numFmtId="0" fontId="8" fillId="0" borderId="45" xfId="0" applyNumberFormat="1" applyFont="1" applyBorder="1" applyAlignment="1">
      <alignment horizontal="center" vertical="center" wrapText="1"/>
    </xf>
    <xf numFmtId="0" fontId="8" fillId="0" borderId="15" xfId="0" applyNumberFormat="1" applyFont="1" applyBorder="1" applyAlignment="1">
      <alignment horizontal="center" vertical="center" wrapText="1"/>
    </xf>
    <xf numFmtId="0" fontId="8" fillId="0" borderId="43" xfId="0" applyNumberFormat="1" applyFont="1" applyBorder="1" applyAlignment="1">
      <alignment horizontal="center" vertical="center" wrapText="1"/>
    </xf>
    <xf numFmtId="0" fontId="8" fillId="0" borderId="28" xfId="0" applyNumberFormat="1" applyFont="1" applyBorder="1" applyAlignment="1">
      <alignment horizontal="center" vertical="center" wrapText="1"/>
    </xf>
    <xf numFmtId="0" fontId="37" fillId="2" borderId="57" xfId="1" applyFont="1" applyFill="1" applyBorder="1" applyAlignment="1" applyProtection="1">
      <alignment horizontal="center" vertical="center" wrapText="1"/>
      <protection locked="0"/>
    </xf>
    <xf numFmtId="0" fontId="37" fillId="2" borderId="58" xfId="1" applyFont="1" applyFill="1" applyBorder="1" applyAlignment="1" applyProtection="1">
      <alignment horizontal="center" vertical="center" wrapText="1"/>
      <protection locked="0"/>
    </xf>
    <xf numFmtId="0" fontId="37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75" xfId="1" applyFont="1" applyFill="1" applyBorder="1" applyAlignment="1" applyProtection="1">
      <alignment horizontal="center" vertical="center" wrapText="1"/>
    </xf>
    <xf numFmtId="0" fontId="8" fillId="0" borderId="79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4" xfId="0" applyFont="1" applyBorder="1" applyAlignment="1" applyProtection="1">
      <alignment vertical="center" textRotation="90" wrapText="1"/>
    </xf>
    <xf numFmtId="0" fontId="36" fillId="0" borderId="3" xfId="0" applyFont="1" applyBorder="1" applyAlignment="1" applyProtection="1">
      <alignment vertical="center" textRotation="90" wrapText="1"/>
    </xf>
    <xf numFmtId="0" fontId="36" fillId="0" borderId="4" xfId="0" applyFont="1" applyBorder="1" applyAlignment="1" applyProtection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3" xfId="0" applyFont="1" applyFill="1" applyBorder="1" applyAlignment="1" applyProtection="1">
      <alignment horizontal="center" vertical="center"/>
      <protection locked="0" hidden="1"/>
    </xf>
    <xf numFmtId="0" fontId="3" fillId="3" borderId="84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 applyProtection="1">
      <alignment horizontal="center" vertical="center" textRotation="90" wrapText="1"/>
    </xf>
    <xf numFmtId="0" fontId="36" fillId="0" borderId="3" xfId="0" applyFont="1" applyBorder="1" applyAlignment="1" applyProtection="1">
      <alignment horizontal="center" vertical="center" textRotation="90" wrapText="1"/>
    </xf>
    <xf numFmtId="0" fontId="36" fillId="0" borderId="56" xfId="0" applyFont="1" applyBorder="1" applyAlignment="1" applyProtection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48" xfId="1" applyFont="1" applyBorder="1" applyAlignment="1" applyProtection="1">
      <alignment horizontal="left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2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2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4" fillId="4" borderId="46" xfId="0" applyFont="1" applyFill="1" applyBorder="1" applyAlignment="1">
      <alignment horizontal="center" vertical="center"/>
    </xf>
    <xf numFmtId="0" fontId="24" fillId="4" borderId="82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142875</xdr:colOff>
      <xdr:row>1</xdr:row>
      <xdr:rowOff>219075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04775"/>
          <a:ext cx="4667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</xdr:rowOff>
    </xdr:from>
    <xdr:to>
      <xdr:col>1</xdr:col>
      <xdr:colOff>247650</xdr:colOff>
      <xdr:row>1</xdr:row>
      <xdr:rowOff>238125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600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485775</xdr:colOff>
      <xdr:row>0</xdr:row>
      <xdr:rowOff>28575</xdr:rowOff>
    </xdr:from>
    <xdr:to>
      <xdr:col>7</xdr:col>
      <xdr:colOff>485775</xdr:colOff>
      <xdr:row>2</xdr:row>
      <xdr:rowOff>39300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62650" y="28575"/>
          <a:ext cx="0" cy="1068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450850</xdr:colOff>
      <xdr:row>2</xdr:row>
      <xdr:rowOff>19050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587375" cy="54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54</xdr:col>
      <xdr:colOff>200025</xdr:colOff>
      <xdr:row>0</xdr:row>
      <xdr:rowOff>200025</xdr:rowOff>
    </xdr:from>
    <xdr:to>
      <xdr:col>55</xdr:col>
      <xdr:colOff>180975</xdr:colOff>
      <xdr:row>2</xdr:row>
      <xdr:rowOff>142875</xdr:rowOff>
    </xdr:to>
    <xdr:pic>
      <xdr:nvPicPr>
        <xdr:cNvPr id="6" name="Рисунок 5" descr="новосибирская.gif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79725" y="200025"/>
          <a:ext cx="5905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Всероссийские соревнования по самбо, XIV Всероссийский турнир по боевому самбо памяти генерал-лейтенанта ФСБ России Чуйкина В.М.</v>
          </cell>
        </row>
        <row r="3">
          <cell r="A3" t="str">
            <v>12-14  октября 2018г.                                              г.Лахденпохья</v>
          </cell>
        </row>
        <row r="6">
          <cell r="A6" t="str">
            <v>Гл. судья, судья ВК</v>
          </cell>
          <cell r="G6" t="str">
            <v>А.В.Лоптунов</v>
          </cell>
        </row>
        <row r="7">
          <cell r="G7" t="str">
            <v>/Кандалакша/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AI153"/>
  <sheetViews>
    <sheetView workbookViewId="0">
      <selection activeCell="D5" sqref="D5:D6"/>
    </sheetView>
  </sheetViews>
  <sheetFormatPr defaultRowHeight="12.75"/>
  <cols>
    <col min="1" max="1" width="5.28515625" customWidth="1"/>
    <col min="2" max="2" width="4.85546875" customWidth="1"/>
    <col min="3" max="3" width="25.85546875" customWidth="1"/>
    <col min="4" max="4" width="12.28515625" customWidth="1"/>
    <col min="5" max="5" width="6.5703125" customWidth="1"/>
    <col min="6" max="6" width="19.28515625" customWidth="1"/>
    <col min="7" max="7" width="8" customWidth="1"/>
    <col min="8" max="8" width="17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4.5703125" customWidth="1"/>
    <col min="26" max="27" width="4.28515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9.25" customHeight="1">
      <c r="A1" s="284" t="s">
        <v>74</v>
      </c>
      <c r="B1" s="284"/>
      <c r="C1" s="284"/>
      <c r="D1" s="284"/>
      <c r="E1" s="284"/>
      <c r="F1" s="284"/>
      <c r="G1" s="284"/>
      <c r="H1" s="284"/>
    </row>
    <row r="2" spans="1:35" ht="54" customHeight="1">
      <c r="A2" s="223"/>
      <c r="B2" s="285" t="str">
        <f>[1]реквизиты!$A$2</f>
        <v>Всероссийские соревнования по самбо, XIV Всероссийский турнир по боевому самбо памяти генерал-лейтенанта ФСБ России Чуйкина В.М.</v>
      </c>
      <c r="C2" s="285"/>
      <c r="D2" s="285"/>
      <c r="E2" s="285"/>
      <c r="F2" s="285"/>
      <c r="G2" s="285"/>
      <c r="H2" s="224"/>
      <c r="I2" s="211"/>
      <c r="J2" s="211"/>
      <c r="K2" s="211"/>
    </row>
    <row r="3" spans="1:35" ht="12.75" customHeight="1">
      <c r="A3" s="286" t="str">
        <f>[1]реквизиты!$A$3</f>
        <v>12-14  октября 2018г.                                              г.Лахденпохья</v>
      </c>
      <c r="B3" s="286"/>
      <c r="C3" s="286"/>
      <c r="D3" s="286"/>
      <c r="E3" s="286"/>
      <c r="F3" s="286"/>
      <c r="G3" s="286"/>
      <c r="H3" s="286"/>
    </row>
    <row r="4" spans="1:35" ht="12.75" customHeight="1">
      <c r="D4" s="2" t="s">
        <v>139</v>
      </c>
      <c r="E4" s="2"/>
      <c r="Y4" s="272" t="s">
        <v>71</v>
      </c>
      <c r="Z4" s="272"/>
      <c r="AA4" s="272"/>
      <c r="AB4" s="272"/>
      <c r="AC4" s="272"/>
      <c r="AD4" s="272"/>
      <c r="AE4" s="272"/>
    </row>
    <row r="5" spans="1:35" ht="12.75" customHeight="1" thickBot="1">
      <c r="A5" s="278" t="s">
        <v>75</v>
      </c>
      <c r="B5" s="287" t="s">
        <v>4</v>
      </c>
      <c r="C5" s="278" t="s">
        <v>5</v>
      </c>
      <c r="D5" s="278" t="s">
        <v>6</v>
      </c>
      <c r="E5" s="280" t="s">
        <v>7</v>
      </c>
      <c r="F5" s="281"/>
      <c r="G5" s="278" t="s">
        <v>9</v>
      </c>
      <c r="H5" s="278" t="s">
        <v>8</v>
      </c>
      <c r="Q5" s="273"/>
      <c r="R5" s="273"/>
      <c r="S5" s="273"/>
      <c r="T5" s="179"/>
      <c r="U5" s="179"/>
      <c r="V5" s="179"/>
      <c r="W5" s="179"/>
      <c r="X5" s="179"/>
      <c r="Y5" s="212"/>
      <c r="Z5" s="110"/>
      <c r="AA5" s="110"/>
      <c r="AB5" s="110"/>
      <c r="AC5" s="110"/>
      <c r="AD5" s="110"/>
      <c r="AE5" s="110"/>
    </row>
    <row r="6" spans="1:35" ht="13.5" thickBot="1">
      <c r="A6" s="279"/>
      <c r="B6" s="279"/>
      <c r="C6" s="279"/>
      <c r="D6" s="279"/>
      <c r="E6" s="282"/>
      <c r="F6" s="283"/>
      <c r="G6" s="279"/>
      <c r="H6" s="279"/>
      <c r="J6" s="180"/>
      <c r="K6" s="180"/>
      <c r="L6" s="180"/>
      <c r="M6" s="180"/>
      <c r="N6" s="180"/>
      <c r="O6" s="180"/>
      <c r="P6" s="225"/>
      <c r="Q6" s="225" t="str">
        <f>N7</f>
        <v>кмс</v>
      </c>
      <c r="R6" s="225" t="str">
        <f>N8</f>
        <v>мс</v>
      </c>
      <c r="S6" s="182" t="str">
        <f>N9</f>
        <v/>
      </c>
      <c r="T6" s="182" t="str">
        <f>N10</f>
        <v/>
      </c>
      <c r="U6" s="182" t="str">
        <f>N11</f>
        <v/>
      </c>
      <c r="V6" s="182" t="str">
        <f>N12</f>
        <v/>
      </c>
      <c r="W6" s="182" t="str">
        <f>N13</f>
        <v/>
      </c>
      <c r="X6" s="117"/>
      <c r="Y6" s="213" t="s">
        <v>72</v>
      </c>
      <c r="Z6" s="214" t="str">
        <f t="shared" ref="Z6:AF6" si="0">Q6</f>
        <v>кмс</v>
      </c>
      <c r="AA6" s="214" t="str">
        <f t="shared" si="0"/>
        <v>мс</v>
      </c>
      <c r="AB6" s="215" t="str">
        <f t="shared" si="0"/>
        <v/>
      </c>
      <c r="AC6" s="215" t="str">
        <f t="shared" si="0"/>
        <v/>
      </c>
      <c r="AD6" s="214" t="str">
        <f t="shared" si="0"/>
        <v/>
      </c>
      <c r="AE6" s="216" t="str">
        <f t="shared" si="0"/>
        <v/>
      </c>
      <c r="AF6" s="217" t="str">
        <f t="shared" si="0"/>
        <v/>
      </c>
    </row>
    <row r="7" spans="1:35" ht="21.95" customHeight="1">
      <c r="A7" s="226" t="s">
        <v>76</v>
      </c>
      <c r="B7" s="227">
        <v>1</v>
      </c>
      <c r="C7" s="228" t="s">
        <v>94</v>
      </c>
      <c r="D7" s="229" t="s">
        <v>95</v>
      </c>
      <c r="E7" s="230" t="s">
        <v>96</v>
      </c>
      <c r="F7" s="229" t="s">
        <v>97</v>
      </c>
      <c r="G7" s="231"/>
      <c r="H7" s="232" t="s">
        <v>98</v>
      </c>
      <c r="I7" s="233"/>
      <c r="J7" s="234">
        <v>1</v>
      </c>
      <c r="K7" s="222" t="str">
        <f>IFERROR(RIGHT(D7,LEN(D7)-FIND("*",SUBSTITUTE(D7," ","*",LEN(D7)-LEN(SUBSTITUTE(D7," ",""))))),D7)</f>
        <v>мс</v>
      </c>
      <c r="L7" s="222" t="str">
        <f>IFERROR(LEFT(F7,FIND(",",F7)-1),F7)</f>
        <v>Ставропольский</v>
      </c>
      <c r="M7" s="235" t="str">
        <f t="array" ref="M7">IFERROR(INDEX(субъект,MATCH(SUM(COUNTIF(M$6:M6,субъект)),COUNTIF(субъект,"&lt;"&amp;субъект),0)),"")</f>
        <v>Вологодская</v>
      </c>
      <c r="N7" s="235" t="str">
        <f t="array" ref="N7">IFERROR(INDEX(разряд,MATCH(SUM(COUNTIF(N$6:N6,разряд)),COUNTIF(разряд,"&lt;"&amp;разряд),0)),"")</f>
        <v>кмс</v>
      </c>
      <c r="O7" s="236">
        <v>1</v>
      </c>
      <c r="P7" s="181" t="str">
        <f t="shared" ref="P7:P22" si="1">M7</f>
        <v>Вологодская</v>
      </c>
      <c r="Q7" s="184">
        <f t="shared" ref="Q7:Q22" si="2">SUMIFS($J$7:$J$38,$L$7:$L$38,P7,$K$7:$K$38,Q$6)</f>
        <v>1</v>
      </c>
      <c r="R7" s="184">
        <f t="shared" ref="R7:R22" si="3">SUMIFS($J$7:$J$38,$L$7:$L$38,P7,$K$7:$K$38,R$6)</f>
        <v>0</v>
      </c>
      <c r="S7" s="237">
        <f t="shared" ref="S7:S22" si="4">SUMIFS($J$7:$J$38,$L$7:$L$38,P7,$K$7:$K$38,S$6)</f>
        <v>0</v>
      </c>
      <c r="T7" s="188">
        <f t="shared" ref="T7:T22" si="5">SUMIFS($J$7:$J$38,$L$7:$L$38,P7,$K$7:$K$38,T$6)</f>
        <v>0</v>
      </c>
      <c r="U7" s="188">
        <f t="shared" ref="U7:U22" si="6">SUMIFS($J$7:$J$38,$L$7:$L$38,P7,$K$7:$K$38,U$6)</f>
        <v>0</v>
      </c>
      <c r="V7" s="188">
        <f t="shared" ref="V7:V22" si="7">SUMIFS($J$7:$J$38,$L$7:$L$38,P7,$K$7:$K$38,V$6)</f>
        <v>0</v>
      </c>
      <c r="W7" s="188">
        <f t="shared" ref="W7:W22" si="8">SUMIFS($J$7:$J$38,$L$7:$L$38,P7,$K$7:$K$38,W$6)</f>
        <v>0</v>
      </c>
      <c r="X7" s="185"/>
      <c r="Y7" s="186" t="str">
        <f>P7</f>
        <v>Вологодская</v>
      </c>
      <c r="Z7" s="219">
        <f>IF(Q7=0," ",Q7)</f>
        <v>1</v>
      </c>
      <c r="AA7" s="219" t="str">
        <f>IF(R7=0," ",R7)</f>
        <v xml:space="preserve"> </v>
      </c>
      <c r="AB7" s="219" t="str">
        <f>IF(S7=0," ",S7)</f>
        <v xml:space="preserve"> </v>
      </c>
      <c r="AC7" s="219" t="str">
        <f>IF(T7=0," ",T7)</f>
        <v xml:space="preserve"> </v>
      </c>
      <c r="AD7" s="219" t="str">
        <f t="shared" ref="AD7:AF22" si="9">IF(U7=0," ",U7)</f>
        <v xml:space="preserve"> </v>
      </c>
      <c r="AE7" s="183" t="str">
        <f t="shared" si="9"/>
        <v xml:space="preserve"> </v>
      </c>
      <c r="AF7" s="183" t="str">
        <f t="shared" si="9"/>
        <v xml:space="preserve"> </v>
      </c>
      <c r="AH7" s="274">
        <f>SUM(Z7:AF22)</f>
        <v>12</v>
      </c>
      <c r="AI7" s="275"/>
    </row>
    <row r="8" spans="1:35" ht="21.95" customHeight="1" thickBot="1">
      <c r="A8" s="226" t="s">
        <v>77</v>
      </c>
      <c r="B8" s="227">
        <v>2</v>
      </c>
      <c r="C8" s="228" t="s">
        <v>99</v>
      </c>
      <c r="D8" s="229" t="s">
        <v>100</v>
      </c>
      <c r="E8" s="230" t="s">
        <v>101</v>
      </c>
      <c r="F8" s="229" t="s">
        <v>102</v>
      </c>
      <c r="G8" s="231"/>
      <c r="H8" s="232" t="s">
        <v>103</v>
      </c>
      <c r="I8" s="233"/>
      <c r="J8" s="234">
        <v>1</v>
      </c>
      <c r="K8" s="222" t="str">
        <f t="shared" ref="K8:K22" si="10">IFERROR(RIGHT(D8,LEN(D8)-FIND("*",SUBSTITUTE(D8," ","*",LEN(D8)-LEN(SUBSTITUTE(D8," ",""))))),D8)</f>
        <v>кмс</v>
      </c>
      <c r="L8" s="222" t="str">
        <f t="shared" ref="L8:L22" si="11">IFERROR(LEFT(F8,FIND(",",F8)-1),F8)</f>
        <v>Рязанская</v>
      </c>
      <c r="M8" s="235" t="str">
        <f t="array" ref="M8">IFERROR(INDEX(субъект,MATCH(SUM(COUNTIF(M$6:M7,субъект)),COUNTIF(субъект,"&lt;"&amp;субъект),0)),"")</f>
        <v>Мурманская</v>
      </c>
      <c r="N8" s="235" t="str">
        <f t="array" ref="N8">IFERROR(INDEX(разряд,MATCH(SUM(COUNTIF(N$6:N7,разряд)),COUNTIF(разряд,"&lt;"&amp;разряд),0)),"")</f>
        <v>мс</v>
      </c>
      <c r="O8" s="236">
        <v>2</v>
      </c>
      <c r="P8" s="181" t="str">
        <f t="shared" si="1"/>
        <v>Мурманская</v>
      </c>
      <c r="Q8" s="184">
        <f t="shared" si="2"/>
        <v>1</v>
      </c>
      <c r="R8" s="184">
        <f t="shared" si="3"/>
        <v>0</v>
      </c>
      <c r="S8" s="237">
        <f t="shared" si="4"/>
        <v>0</v>
      </c>
      <c r="T8" s="188">
        <f t="shared" si="5"/>
        <v>0</v>
      </c>
      <c r="U8" s="188">
        <f t="shared" si="6"/>
        <v>0</v>
      </c>
      <c r="V8" s="188">
        <f t="shared" si="7"/>
        <v>0</v>
      </c>
      <c r="W8" s="188">
        <f t="shared" si="8"/>
        <v>0</v>
      </c>
      <c r="X8" s="187"/>
      <c r="Y8" s="183" t="str">
        <f t="shared" ref="Y8:Y22" si="12">P8</f>
        <v>Мурманская</v>
      </c>
      <c r="Z8" s="183">
        <f>IF($Y$8=$Y$7," ",IF(Q8=0," ",Q8))</f>
        <v>1</v>
      </c>
      <c r="AA8" s="183" t="str">
        <f>IF($Y$8=$Y$7," ",IF(R8=0," ",R8))</f>
        <v xml:space="preserve"> </v>
      </c>
      <c r="AB8" s="183" t="str">
        <f>IF($Y$8=$Y$7," ",IF(S8=0," ",S8))</f>
        <v xml:space="preserve"> </v>
      </c>
      <c r="AC8" s="183" t="str">
        <f>IF($Y$8=$Y$7," ",IF(T8=0," ",T8))</f>
        <v xml:space="preserve"> </v>
      </c>
      <c r="AD8" s="183" t="str">
        <f t="shared" si="9"/>
        <v xml:space="preserve"> </v>
      </c>
      <c r="AE8" s="183" t="str">
        <f t="shared" si="9"/>
        <v xml:space="preserve"> </v>
      </c>
      <c r="AF8" s="183" t="str">
        <f t="shared" si="9"/>
        <v xml:space="preserve"> </v>
      </c>
      <c r="AH8" s="276"/>
      <c r="AI8" s="277"/>
    </row>
    <row r="9" spans="1:35" ht="21.95" customHeight="1">
      <c r="A9" s="226" t="s">
        <v>78</v>
      </c>
      <c r="B9" s="227">
        <v>3</v>
      </c>
      <c r="C9" s="228" t="s">
        <v>104</v>
      </c>
      <c r="D9" s="229" t="s">
        <v>105</v>
      </c>
      <c r="E9" s="230" t="s">
        <v>106</v>
      </c>
      <c r="F9" s="229" t="s">
        <v>107</v>
      </c>
      <c r="G9" s="231"/>
      <c r="H9" s="232" t="s">
        <v>108</v>
      </c>
      <c r="I9" s="233"/>
      <c r="J9" s="234">
        <v>1</v>
      </c>
      <c r="K9" s="222" t="str">
        <f t="shared" si="10"/>
        <v>мс</v>
      </c>
      <c r="L9" s="222" t="str">
        <f t="shared" si="11"/>
        <v>Санкт-Петербург</v>
      </c>
      <c r="M9" s="235" t="str">
        <f t="array" ref="M9">IFERROR(INDEX(субъект,MATCH(SUM(COUNTIF(M$6:M8,субъект)),COUNTIF(субъект,"&lt;"&amp;субъект),0)),"")</f>
        <v>Р.Карелия</v>
      </c>
      <c r="N9" s="235" t="str">
        <f t="array" ref="N9">IFERROR(INDEX(разряд,MATCH(SUM(COUNTIF(N$6:N8,разряд)),COUNTIF(разряд,"&lt;"&amp;разряд),0)),"")</f>
        <v/>
      </c>
      <c r="O9" s="236">
        <v>3</v>
      </c>
      <c r="P9" s="181" t="str">
        <f t="shared" si="1"/>
        <v>Р.Карелия</v>
      </c>
      <c r="Q9" s="184">
        <f t="shared" si="2"/>
        <v>3</v>
      </c>
      <c r="R9" s="184">
        <f t="shared" si="3"/>
        <v>0</v>
      </c>
      <c r="S9" s="237">
        <f t="shared" si="4"/>
        <v>0</v>
      </c>
      <c r="T9" s="188">
        <f t="shared" si="5"/>
        <v>0</v>
      </c>
      <c r="U9" s="188">
        <f t="shared" si="6"/>
        <v>0</v>
      </c>
      <c r="V9" s="188">
        <f t="shared" si="7"/>
        <v>0</v>
      </c>
      <c r="W9" s="188">
        <f t="shared" si="8"/>
        <v>0</v>
      </c>
      <c r="X9" s="187"/>
      <c r="Y9" s="183" t="str">
        <f t="shared" si="12"/>
        <v>Р.Карелия</v>
      </c>
      <c r="Z9" s="183">
        <f>IF(OR($Y9=$Y7,$Y9=$Y8)," ",IF(Q9=0," ",Q9))</f>
        <v>3</v>
      </c>
      <c r="AA9" s="183" t="str">
        <f>IF(OR($Y9=$Y7,$Y9=$Y8)," ",IF(R9=0," ",R9))</f>
        <v xml:space="preserve"> </v>
      </c>
      <c r="AB9" s="183" t="str">
        <f>IF(OR($Y9=$Y7,$Y9=$Y8)," ",IF(S9=0," ",S9))</f>
        <v xml:space="preserve"> </v>
      </c>
      <c r="AC9" s="183" t="str">
        <f>IF(OR($Y9=$Y7,$Y9=$Y8)," ",IF(T9=0," ",T9))</f>
        <v xml:space="preserve"> </v>
      </c>
      <c r="AD9" s="183" t="str">
        <f t="shared" si="9"/>
        <v xml:space="preserve"> </v>
      </c>
      <c r="AE9" s="183" t="str">
        <f t="shared" si="9"/>
        <v xml:space="preserve"> </v>
      </c>
      <c r="AF9" s="183" t="str">
        <f t="shared" si="9"/>
        <v xml:space="preserve"> </v>
      </c>
    </row>
    <row r="10" spans="1:35" ht="21.95" customHeight="1">
      <c r="A10" s="226" t="s">
        <v>79</v>
      </c>
      <c r="B10" s="227">
        <v>4</v>
      </c>
      <c r="C10" s="228" t="s">
        <v>109</v>
      </c>
      <c r="D10" s="229" t="s">
        <v>110</v>
      </c>
      <c r="E10" s="230" t="s">
        <v>111</v>
      </c>
      <c r="F10" s="229" t="s">
        <v>112</v>
      </c>
      <c r="G10" s="231"/>
      <c r="H10" s="232" t="s">
        <v>113</v>
      </c>
      <c r="I10" s="233"/>
      <c r="J10" s="234">
        <v>1</v>
      </c>
      <c r="K10" s="222" t="str">
        <f t="shared" si="10"/>
        <v>кмс</v>
      </c>
      <c r="L10" s="222" t="str">
        <f t="shared" si="11"/>
        <v>Р.Карелия</v>
      </c>
      <c r="M10" s="235" t="str">
        <f t="array" ref="M10">IFERROR(INDEX(субъект,MATCH(SUM(COUNTIF(M$6:M9,субъект)),COUNTIF(субъект,"&lt;"&amp;субъект),0)),"")</f>
        <v>Рязанская</v>
      </c>
      <c r="N10" s="235" t="str">
        <f t="array" ref="N10">IFERROR(INDEX(разряд,MATCH(SUM(COUNTIF(N$6:N9,разряд)),COUNTIF(разряд,"&lt;"&amp;разряд),0)),"")</f>
        <v/>
      </c>
      <c r="O10" s="236">
        <v>4</v>
      </c>
      <c r="P10" s="181" t="str">
        <f t="shared" si="1"/>
        <v>Рязанская</v>
      </c>
      <c r="Q10" s="184">
        <f t="shared" si="2"/>
        <v>1</v>
      </c>
      <c r="R10" s="184">
        <f t="shared" si="3"/>
        <v>0</v>
      </c>
      <c r="S10" s="237">
        <f t="shared" si="4"/>
        <v>0</v>
      </c>
      <c r="T10" s="188">
        <f t="shared" si="5"/>
        <v>0</v>
      </c>
      <c r="U10" s="188">
        <f t="shared" si="6"/>
        <v>0</v>
      </c>
      <c r="V10" s="188">
        <f t="shared" si="7"/>
        <v>0</v>
      </c>
      <c r="W10" s="188">
        <f t="shared" si="8"/>
        <v>0</v>
      </c>
      <c r="X10" s="117"/>
      <c r="Y10" s="183" t="str">
        <f t="shared" si="12"/>
        <v>Рязанская</v>
      </c>
      <c r="Z10" s="183">
        <f>IF(OR($Y10=$Y8,$Y10=$Y9,$Y10=$Y7)," ",IF(Q10=0," ",Q10))</f>
        <v>1</v>
      </c>
      <c r="AA10" s="183" t="str">
        <f>IF(OR($Y10=$Y8,$Y10=$Y9,$Y10=$Y7)," ",IF(R10=0," ",R10))</f>
        <v xml:space="preserve"> </v>
      </c>
      <c r="AB10" s="183" t="str">
        <f>IF(OR($Y10=$Y8,$Y10=$Y9,$Y10=$Y7)," ",IF(S10=0," ",S10))</f>
        <v xml:space="preserve"> </v>
      </c>
      <c r="AC10" s="183" t="str">
        <f>IF(OR($Y10=$Y8,$Y10=$Y9,$Y10=$Y7)," ",IF(T10=0," ",T10))</f>
        <v xml:space="preserve"> </v>
      </c>
      <c r="AD10" s="183" t="str">
        <f t="shared" si="9"/>
        <v xml:space="preserve"> </v>
      </c>
      <c r="AE10" s="183" t="str">
        <f t="shared" si="9"/>
        <v xml:space="preserve"> </v>
      </c>
      <c r="AF10" s="183" t="str">
        <f t="shared" si="9"/>
        <v xml:space="preserve"> </v>
      </c>
    </row>
    <row r="11" spans="1:35" ht="21.95" customHeight="1">
      <c r="A11" s="226" t="s">
        <v>80</v>
      </c>
      <c r="B11" s="227">
        <v>5</v>
      </c>
      <c r="C11" s="228" t="s">
        <v>114</v>
      </c>
      <c r="D11" s="229" t="s">
        <v>115</v>
      </c>
      <c r="E11" s="230" t="s">
        <v>111</v>
      </c>
      <c r="F11" s="229" t="s">
        <v>112</v>
      </c>
      <c r="G11" s="231"/>
      <c r="H11" s="232" t="s">
        <v>116</v>
      </c>
      <c r="I11" s="233"/>
      <c r="J11" s="234">
        <v>1</v>
      </c>
      <c r="K11" s="222" t="str">
        <f t="shared" si="10"/>
        <v>кмс</v>
      </c>
      <c r="L11" s="222" t="str">
        <f t="shared" si="11"/>
        <v>Р.Карелия</v>
      </c>
      <c r="M11" s="235" t="str">
        <f t="array" ref="M11">IFERROR(INDEX(субъект,MATCH(SUM(COUNTIF(M$6:M10,субъект)),COUNTIF(субъект,"&lt;"&amp;субъект),0)),"")</f>
        <v>Санкт-Петербург</v>
      </c>
      <c r="N11" s="235" t="str">
        <f t="array" ref="N11">IFERROR(INDEX(разряд,MATCH(SUM(COUNTIF(N$6:N10,разряд)),COUNTIF(разряд,"&lt;"&amp;разряд),0)),"")</f>
        <v/>
      </c>
      <c r="O11" s="236">
        <v>5</v>
      </c>
      <c r="P11" s="181" t="str">
        <f t="shared" si="1"/>
        <v>Санкт-Петербург</v>
      </c>
      <c r="Q11" s="184">
        <f t="shared" si="2"/>
        <v>4</v>
      </c>
      <c r="R11" s="184">
        <f t="shared" si="3"/>
        <v>1</v>
      </c>
      <c r="S11" s="237">
        <f t="shared" si="4"/>
        <v>0</v>
      </c>
      <c r="T11" s="188">
        <f t="shared" si="5"/>
        <v>0</v>
      </c>
      <c r="U11" s="188">
        <f t="shared" si="6"/>
        <v>0</v>
      </c>
      <c r="V11" s="188">
        <f t="shared" si="7"/>
        <v>0</v>
      </c>
      <c r="W11" s="188">
        <f t="shared" si="8"/>
        <v>0</v>
      </c>
      <c r="X11" s="187"/>
      <c r="Y11" s="183" t="str">
        <f t="shared" si="12"/>
        <v>Санкт-Петербург</v>
      </c>
      <c r="Z11" s="183">
        <f>IF(OR($Y11=$Y9,$Y11=$Y10,$Y11=$Y8,$Y11=$Y7)," ",IF(Q11=0," ",Q11))</f>
        <v>4</v>
      </c>
      <c r="AA11" s="183">
        <f>IF(OR($Y11=$Y9,$Y11=$Y10,$Y11=$Y8,$Y11=$Y7)," ",IF(R11=0," ",R11))</f>
        <v>1</v>
      </c>
      <c r="AB11" s="183" t="str">
        <f>IF(OR($Y11=$Y9,$Y11=$Y10,$Y11=$Y8,$Y11=$Y7)," ",IF(S11=0," ",S11))</f>
        <v xml:space="preserve"> </v>
      </c>
      <c r="AC11" s="183" t="str">
        <f>IF(OR($Y11=$Y9,$Y11=$Y10,$Y11=$Y8,$Y11=$Y7)," ",IF(T11=0," ",T11))</f>
        <v xml:space="preserve"> </v>
      </c>
      <c r="AD11" s="183" t="str">
        <f t="shared" si="9"/>
        <v xml:space="preserve"> </v>
      </c>
      <c r="AE11" s="183" t="str">
        <f t="shared" si="9"/>
        <v xml:space="preserve"> </v>
      </c>
      <c r="AF11" s="183" t="str">
        <f t="shared" si="9"/>
        <v xml:space="preserve"> </v>
      </c>
    </row>
    <row r="12" spans="1:35" ht="21.95" customHeight="1">
      <c r="A12" s="226" t="s">
        <v>81</v>
      </c>
      <c r="B12" s="227">
        <v>6</v>
      </c>
      <c r="C12" s="228" t="s">
        <v>117</v>
      </c>
      <c r="D12" s="229" t="s">
        <v>118</v>
      </c>
      <c r="E12" s="230" t="s">
        <v>111</v>
      </c>
      <c r="F12" s="229" t="s">
        <v>112</v>
      </c>
      <c r="G12" s="231"/>
      <c r="H12" s="232" t="s">
        <v>116</v>
      </c>
      <c r="I12" s="233"/>
      <c r="J12" s="234">
        <v>1</v>
      </c>
      <c r="K12" s="222" t="str">
        <f t="shared" si="10"/>
        <v>кмс</v>
      </c>
      <c r="L12" s="222" t="str">
        <f t="shared" si="11"/>
        <v>Р.Карелия</v>
      </c>
      <c r="M12" s="235" t="str">
        <f t="array" ref="M12">IFERROR(INDEX(субъект,MATCH(SUM(COUNTIF(M$6:M11,субъект)),COUNTIF(субъект,"&lt;"&amp;субъект),0)),"")</f>
        <v>Ставропольский</v>
      </c>
      <c r="N12" s="235" t="str">
        <f t="array" ref="N12">IFERROR(INDEX(разряд,MATCH(SUM(COUNTIF(N$6:N11,разряд)),COUNTIF(разряд,"&lt;"&amp;разряд),0)),"")</f>
        <v/>
      </c>
      <c r="O12" s="236">
        <v>6</v>
      </c>
      <c r="P12" s="181" t="str">
        <f t="shared" si="1"/>
        <v>Ставропольский</v>
      </c>
      <c r="Q12" s="184">
        <f t="shared" si="2"/>
        <v>0</v>
      </c>
      <c r="R12" s="184">
        <f t="shared" si="3"/>
        <v>1</v>
      </c>
      <c r="S12" s="237">
        <f t="shared" si="4"/>
        <v>0</v>
      </c>
      <c r="T12" s="188">
        <f t="shared" si="5"/>
        <v>0</v>
      </c>
      <c r="U12" s="188">
        <f t="shared" si="6"/>
        <v>0</v>
      </c>
      <c r="V12" s="188">
        <f t="shared" si="7"/>
        <v>0</v>
      </c>
      <c r="W12" s="188">
        <f t="shared" si="8"/>
        <v>0</v>
      </c>
      <c r="X12" s="117"/>
      <c r="Y12" s="183" t="str">
        <f t="shared" si="12"/>
        <v>Ставропольский</v>
      </c>
      <c r="Z12" s="183" t="str">
        <f>IF(OR($Y12=$Y10,$Y12=$Y11,$Y12=$Y9,$Y12=$Y8,$Y12=$Y7)," ",IF(Q12=0," ",Q12))</f>
        <v xml:space="preserve"> </v>
      </c>
      <c r="AA12" s="183">
        <f>IF(OR($Y12=$Y10,$Y12=$Y11,$Y12=$Y9,$Y12=$Y8,$Y12=$Y7)," ",IF(R12=0," ",R12))</f>
        <v>1</v>
      </c>
      <c r="AB12" s="183" t="str">
        <f>IF(OR($Y12=$Y10,$Y12=$Y11,$Y12=$Y9,$Y12=$Y8,$Y12=$Y7)," ",IF(S12=0," ",S12))</f>
        <v xml:space="preserve"> </v>
      </c>
      <c r="AC12" s="183" t="str">
        <f>IF(OR($Y12=$Y10,$Y12=$Y11,$Y12=$Y9,$Y12=$Y8,$Y12=$Y7)," ",IF(T12=0," ",T12))</f>
        <v xml:space="preserve"> </v>
      </c>
      <c r="AD12" s="183" t="str">
        <f t="shared" si="9"/>
        <v xml:space="preserve"> </v>
      </c>
      <c r="AE12" s="183" t="str">
        <f t="shared" si="9"/>
        <v xml:space="preserve"> </v>
      </c>
      <c r="AF12" s="183" t="str">
        <f t="shared" si="9"/>
        <v xml:space="preserve"> </v>
      </c>
    </row>
    <row r="13" spans="1:35" ht="21.95" customHeight="1">
      <c r="A13" s="226" t="s">
        <v>82</v>
      </c>
      <c r="B13" s="227">
        <v>7</v>
      </c>
      <c r="C13" s="228" t="s">
        <v>119</v>
      </c>
      <c r="D13" s="229" t="s">
        <v>120</v>
      </c>
      <c r="E13" s="230" t="s">
        <v>111</v>
      </c>
      <c r="F13" s="229" t="s">
        <v>121</v>
      </c>
      <c r="G13" s="231"/>
      <c r="H13" s="232" t="s">
        <v>122</v>
      </c>
      <c r="I13" s="233"/>
      <c r="J13" s="234">
        <v>1</v>
      </c>
      <c r="K13" s="222" t="str">
        <f t="shared" si="10"/>
        <v>кмс</v>
      </c>
      <c r="L13" s="222" t="str">
        <f t="shared" si="11"/>
        <v>Вологодская</v>
      </c>
      <c r="M13" s="235" t="str">
        <f t="array" ref="M13">IFERROR(INDEX(субъект,MATCH(SUM(COUNTIF(M$6:M12,субъект)),COUNTIF(субъект,"&lt;"&amp;субъект),0)),"")</f>
        <v/>
      </c>
      <c r="N13" s="235" t="str">
        <f t="array" ref="N13">IFERROR(INDEX(разряд,MATCH(SUM(COUNTIF(N$6:N12,разряд)),COUNTIF(разряд,"&lt;"&amp;разряд),0)),"")</f>
        <v/>
      </c>
      <c r="O13" s="236">
        <v>7</v>
      </c>
      <c r="P13" s="181" t="str">
        <f t="shared" si="1"/>
        <v/>
      </c>
      <c r="Q13" s="184">
        <f t="shared" si="2"/>
        <v>0</v>
      </c>
      <c r="R13" s="184">
        <f t="shared" si="3"/>
        <v>0</v>
      </c>
      <c r="S13" s="237">
        <f t="shared" si="4"/>
        <v>0</v>
      </c>
      <c r="T13" s="188">
        <f t="shared" si="5"/>
        <v>0</v>
      </c>
      <c r="U13" s="188">
        <f t="shared" si="6"/>
        <v>0</v>
      </c>
      <c r="V13" s="188">
        <f t="shared" si="7"/>
        <v>0</v>
      </c>
      <c r="W13" s="188">
        <f t="shared" si="8"/>
        <v>0</v>
      </c>
      <c r="X13" s="187"/>
      <c r="Y13" s="183" t="str">
        <f t="shared" si="12"/>
        <v/>
      </c>
      <c r="Z13" s="183" t="str">
        <f>IF(OR($Y13=$Y11,$Y13=$Y12,$Y13=$Y10,$Y13=$Y9,$Y13=$Y8,$Y13=$Y7)," ",IF(Q13=0," ",Q13))</f>
        <v xml:space="preserve"> </v>
      </c>
      <c r="AA13" s="183" t="str">
        <f>IF(OR($Y13=$Y11,$Y13=$Y12,$Y13=$Y10,$Y13=$Y9,$Y13=$Y8,$Y13=$Y7)," ",IF(R13=0," ",R13))</f>
        <v xml:space="preserve"> </v>
      </c>
      <c r="AB13" s="183" t="str">
        <f>IF(OR($Y13=$Y11,$Y13=$Y12,$Y13=$Y10,$Y13=$Y9,$Y13=$Y8,$Y13=$Y7)," ",IF(S13=0," ",S13))</f>
        <v xml:space="preserve"> </v>
      </c>
      <c r="AC13" s="183" t="str">
        <f>IF(OR($Y13=$Y11,$Y13=$Y12,$Y13=$Y10,$Y13=$Y9,$Y13=$Y8,$Y13=$Y7)," ",IF(T13=0," ",T13))</f>
        <v xml:space="preserve"> </v>
      </c>
      <c r="AD13" s="183" t="str">
        <f t="shared" si="9"/>
        <v xml:space="preserve"> </v>
      </c>
      <c r="AE13" s="183" t="str">
        <f t="shared" si="9"/>
        <v xml:space="preserve"> </v>
      </c>
      <c r="AF13" s="183" t="str">
        <f t="shared" si="9"/>
        <v xml:space="preserve"> </v>
      </c>
    </row>
    <row r="14" spans="1:35" ht="21.95" customHeight="1">
      <c r="A14" s="226" t="s">
        <v>83</v>
      </c>
      <c r="B14" s="227">
        <v>8</v>
      </c>
      <c r="C14" s="228" t="s">
        <v>123</v>
      </c>
      <c r="D14" s="229" t="s">
        <v>124</v>
      </c>
      <c r="E14" s="230" t="s">
        <v>106</v>
      </c>
      <c r="F14" s="229" t="s">
        <v>107</v>
      </c>
      <c r="G14" s="231"/>
      <c r="H14" s="232" t="s">
        <v>108</v>
      </c>
      <c r="I14" s="233"/>
      <c r="J14" s="234">
        <v>1</v>
      </c>
      <c r="K14" s="222" t="str">
        <f t="shared" si="10"/>
        <v>кмс</v>
      </c>
      <c r="L14" s="222" t="str">
        <f t="shared" si="11"/>
        <v>Санкт-Петербург</v>
      </c>
      <c r="M14" s="235" t="str">
        <f t="array" ref="M14">IFERROR(INDEX(субъект,MATCH(SUM(COUNTIF(M$6:M13,субъект)),COUNTIF(субъект,"&lt;"&amp;субъект),0)),"")</f>
        <v/>
      </c>
      <c r="N14" s="235" t="str">
        <f t="array" ref="N14">IFERROR(INDEX(разряд,MATCH(SUM(COUNTIF(N$6:N13,разряд)),COUNTIF(разряд,"&lt;"&amp;разряд),0)),"")</f>
        <v/>
      </c>
      <c r="O14" s="236">
        <v>8</v>
      </c>
      <c r="P14" s="181" t="str">
        <f t="shared" si="1"/>
        <v/>
      </c>
      <c r="Q14" s="184">
        <f t="shared" si="2"/>
        <v>0</v>
      </c>
      <c r="R14" s="184">
        <f t="shared" si="3"/>
        <v>0</v>
      </c>
      <c r="S14" s="237">
        <f t="shared" si="4"/>
        <v>0</v>
      </c>
      <c r="T14" s="188">
        <f t="shared" si="5"/>
        <v>0</v>
      </c>
      <c r="U14" s="188">
        <f t="shared" si="6"/>
        <v>0</v>
      </c>
      <c r="V14" s="188">
        <f t="shared" si="7"/>
        <v>0</v>
      </c>
      <c r="W14" s="188">
        <f t="shared" si="8"/>
        <v>0</v>
      </c>
      <c r="X14" s="187"/>
      <c r="Y14" s="183" t="str">
        <f t="shared" si="12"/>
        <v/>
      </c>
      <c r="Z14" s="183" t="str">
        <f>IF(OR($Y14=$Y12,$Y14=$Y13,$Y14=$Y11,$Y14=$Y10,$Y14=$Y9,$Y14=$Y7)," ",IF(Q14=0," ",Q14))</f>
        <v xml:space="preserve"> </v>
      </c>
      <c r="AA14" s="183" t="str">
        <f>IF(OR($Y14=$Y12,$Y14=$Y13,$Y14=$Y11,$Y14=$Y10,$Y14=$Y9,$Y14=$Y7)," ",IF(R14=0," ",R14))</f>
        <v xml:space="preserve"> </v>
      </c>
      <c r="AB14" s="183" t="str">
        <f>IF(OR($Y14=$Y12,$Y14=$Y13,$Y14=$Y11,$Y14=$Y10,$Y14=$Y9,$Y14=$Y7)," ",IF(S14=0," ",S14))</f>
        <v xml:space="preserve"> </v>
      </c>
      <c r="AC14" s="183" t="str">
        <f>IF(OR($Y14=$Y12,$Y14=$Y13,$Y14=$Y11,$Y14=$Y10,$Y14=$Y9,$Y14=$Y7)," ",IF(T14=0," ",T14))</f>
        <v xml:space="preserve"> </v>
      </c>
      <c r="AD14" s="183" t="str">
        <f t="shared" si="9"/>
        <v xml:space="preserve"> </v>
      </c>
      <c r="AE14" s="183" t="str">
        <f t="shared" si="9"/>
        <v xml:space="preserve"> </v>
      </c>
      <c r="AF14" s="183" t="str">
        <f t="shared" si="9"/>
        <v xml:space="preserve"> </v>
      </c>
    </row>
    <row r="15" spans="1:35" ht="21.95" customHeight="1">
      <c r="A15" s="226" t="s">
        <v>84</v>
      </c>
      <c r="B15" s="227">
        <v>9</v>
      </c>
      <c r="C15" s="228" t="s">
        <v>125</v>
      </c>
      <c r="D15" s="229" t="s">
        <v>126</v>
      </c>
      <c r="E15" s="230" t="s">
        <v>106</v>
      </c>
      <c r="F15" s="229" t="s">
        <v>107</v>
      </c>
      <c r="G15" s="231"/>
      <c r="H15" s="232" t="s">
        <v>127</v>
      </c>
      <c r="I15" s="233"/>
      <c r="J15" s="234">
        <v>1</v>
      </c>
      <c r="K15" s="222" t="str">
        <f t="shared" si="10"/>
        <v>кмс</v>
      </c>
      <c r="L15" s="222" t="str">
        <f t="shared" si="11"/>
        <v>Санкт-Петербург</v>
      </c>
      <c r="M15" s="235" t="str">
        <f t="array" ref="M15">IFERROR(INDEX(субъект,MATCH(SUM(COUNTIF(M$6:M14,субъект)),COUNTIF(субъект,"&lt;"&amp;субъект),0)),"")</f>
        <v/>
      </c>
      <c r="N15" s="235" t="str">
        <f t="array" ref="N15">IFERROR(INDEX(разряд,MATCH(SUM(COUNTIF(N$6:N14,разряд)),COUNTIF(разряд,"&lt;"&amp;разряд),0)),"")</f>
        <v/>
      </c>
      <c r="O15" s="236">
        <v>9</v>
      </c>
      <c r="P15" s="181" t="str">
        <f t="shared" si="1"/>
        <v/>
      </c>
      <c r="Q15" s="184">
        <f t="shared" si="2"/>
        <v>0</v>
      </c>
      <c r="R15" s="184">
        <f t="shared" si="3"/>
        <v>0</v>
      </c>
      <c r="S15" s="237">
        <f t="shared" si="4"/>
        <v>0</v>
      </c>
      <c r="T15" s="188">
        <f t="shared" si="5"/>
        <v>0</v>
      </c>
      <c r="U15" s="188">
        <f t="shared" si="6"/>
        <v>0</v>
      </c>
      <c r="V15" s="188">
        <f t="shared" si="7"/>
        <v>0</v>
      </c>
      <c r="W15" s="188">
        <f t="shared" si="8"/>
        <v>0</v>
      </c>
      <c r="X15" s="220"/>
      <c r="Y15" s="183" t="str">
        <f t="shared" si="12"/>
        <v/>
      </c>
      <c r="Z15" s="183" t="str">
        <f>IF(OR($Y15=$Y13,$Y15=$Y14,$Y15=$Y12,$Y15=$Y11,$Y15=$Y10,$Y15=$Y8,$Y15=$Y7)," ",IF(Q15=0," ",Q15))</f>
        <v xml:space="preserve"> </v>
      </c>
      <c r="AA15" s="183" t="str">
        <f>IF(OR($Y15=$Y13,$Y15=$Y14,$Y15=$Y12,$Y15=$Y11,$Y15=$Y10,$Y15=$Y8,$Y15=$Y7)," ",IF(R15=0," ",R15))</f>
        <v xml:space="preserve"> </v>
      </c>
      <c r="AB15" s="183" t="str">
        <f>IF(OR($Y15=$Y13,$Y15=$Y14,$Y15=$Y12,$Y15=$Y11,$Y15=$Y10,$Y15=$Y8,$Y15=$Y7)," ",IF(S15=0," ",S15))</f>
        <v xml:space="preserve"> </v>
      </c>
      <c r="AC15" s="183" t="str">
        <f>IF(OR($Y15=$Y13,$Y15=$Y14,$Y15=$Y12,$Y15=$Y11,$Y15=$Y10,$Y15=$Y8,$Y15=$Y7)," ",IF(T15=0," ",T15))</f>
        <v xml:space="preserve"> </v>
      </c>
      <c r="AD15" s="183" t="str">
        <f t="shared" si="9"/>
        <v xml:space="preserve"> </v>
      </c>
      <c r="AE15" s="183" t="str">
        <f t="shared" si="9"/>
        <v xml:space="preserve"> </v>
      </c>
      <c r="AF15" s="183" t="str">
        <f t="shared" si="9"/>
        <v xml:space="preserve"> </v>
      </c>
    </row>
    <row r="16" spans="1:35" ht="21.95" customHeight="1">
      <c r="A16" s="226" t="s">
        <v>85</v>
      </c>
      <c r="B16" s="227">
        <v>10</v>
      </c>
      <c r="C16" s="228" t="s">
        <v>128</v>
      </c>
      <c r="D16" s="229" t="s">
        <v>129</v>
      </c>
      <c r="E16" s="230" t="s">
        <v>111</v>
      </c>
      <c r="F16" s="229" t="s">
        <v>130</v>
      </c>
      <c r="G16" s="231"/>
      <c r="H16" s="232" t="s">
        <v>131</v>
      </c>
      <c r="I16" s="233"/>
      <c r="J16" s="234">
        <v>1</v>
      </c>
      <c r="K16" s="222" t="str">
        <f t="shared" si="10"/>
        <v>кмс</v>
      </c>
      <c r="L16" s="222" t="str">
        <f t="shared" si="11"/>
        <v>Мурманская</v>
      </c>
      <c r="M16" s="235" t="str">
        <f t="array" ref="M16">IFERROR(INDEX(субъект,MATCH(SUM(COUNTIF(M$6:M15,субъект)),COUNTIF(субъект,"&lt;"&amp;субъект),0)),"")</f>
        <v/>
      </c>
      <c r="N16" s="235" t="str">
        <f t="array" ref="N16">IFERROR(INDEX(разряд,MATCH(SUM(COUNTIF(N$6:N15,разряд)),COUNTIF(разряд,"&lt;"&amp;разряд),0)),"")</f>
        <v/>
      </c>
      <c r="O16" s="236">
        <v>10</v>
      </c>
      <c r="P16" s="181" t="str">
        <f t="shared" si="1"/>
        <v/>
      </c>
      <c r="Q16" s="184">
        <f t="shared" si="2"/>
        <v>0</v>
      </c>
      <c r="R16" s="184">
        <f t="shared" si="3"/>
        <v>0</v>
      </c>
      <c r="S16" s="237">
        <f t="shared" si="4"/>
        <v>0</v>
      </c>
      <c r="T16" s="188">
        <f t="shared" si="5"/>
        <v>0</v>
      </c>
      <c r="U16" s="188">
        <f t="shared" si="6"/>
        <v>0</v>
      </c>
      <c r="V16" s="188">
        <f t="shared" si="7"/>
        <v>0</v>
      </c>
      <c r="W16" s="188">
        <f t="shared" si="8"/>
        <v>0</v>
      </c>
      <c r="X16" s="180"/>
      <c r="Y16" s="183" t="str">
        <f t="shared" si="12"/>
        <v/>
      </c>
      <c r="Z16" s="183" t="str">
        <f>IF(OR($Y16=$Y14,$Y16=$Y15,$Y16=$Y13,$Y16=$Y12,$Y16=$Y11,$Y16=$Y9,$Y16=$Y8,$Y16=$Y7)," ",IF(Q16=0," ",Q16))</f>
        <v xml:space="preserve"> </v>
      </c>
      <c r="AA16" s="183" t="str">
        <f>IF(OR($Y16=$Y14,$Y16=$Y15,$Y16=$Y13,$Y16=$Y12,$Y16=$Y11,$Y16=$Y9,$Y16=$Y8,$Y16=$Y7)," ",IF(R16=0," ",R16))</f>
        <v xml:space="preserve"> </v>
      </c>
      <c r="AB16" s="183" t="str">
        <f>IF(OR($Y16=$Y14,$Y16=$Y15,$Y16=$Y13,$Y16=$Y12,$Y16=$Y11,$Y16=$Y9,$Y16=$Y8,$Y16=$Y7)," ",IF(S16=0," ",S16))</f>
        <v xml:space="preserve"> </v>
      </c>
      <c r="AC16" s="183" t="str">
        <f>IF(OR($Y16=$Y14,$Y16=$Y15,$Y16=$Y13,$Y16=$Y12,$Y16=$Y11,$Y16=$Y9,$Y16=$Y8,$Y16=$Y7)," ",IF(T16=0," ",T16))</f>
        <v xml:space="preserve"> </v>
      </c>
      <c r="AD16" s="183" t="str">
        <f t="shared" si="9"/>
        <v xml:space="preserve"> </v>
      </c>
      <c r="AE16" s="183" t="str">
        <f t="shared" si="9"/>
        <v xml:space="preserve"> </v>
      </c>
      <c r="AF16" s="183" t="str">
        <f t="shared" si="9"/>
        <v xml:space="preserve"> </v>
      </c>
    </row>
    <row r="17" spans="1:32" ht="21.95" customHeight="1">
      <c r="A17" s="226" t="s">
        <v>86</v>
      </c>
      <c r="B17" s="227">
        <v>11</v>
      </c>
      <c r="C17" s="228" t="s">
        <v>132</v>
      </c>
      <c r="D17" s="229" t="s">
        <v>133</v>
      </c>
      <c r="E17" s="230" t="s">
        <v>106</v>
      </c>
      <c r="F17" s="229" t="s">
        <v>107</v>
      </c>
      <c r="G17" s="231"/>
      <c r="H17" s="232" t="s">
        <v>134</v>
      </c>
      <c r="I17" s="233"/>
      <c r="J17" s="234">
        <v>1</v>
      </c>
      <c r="K17" s="222" t="str">
        <f t="shared" si="10"/>
        <v>кмс</v>
      </c>
      <c r="L17" s="222" t="str">
        <f t="shared" si="11"/>
        <v>Санкт-Петербург</v>
      </c>
      <c r="M17" s="235" t="str">
        <f t="array" ref="M17">IFERROR(INDEX(субъект,MATCH(SUM(COUNTIF(M$6:M16,субъект)),COUNTIF(субъект,"&lt;"&amp;субъект),0)),"")</f>
        <v/>
      </c>
      <c r="N17" s="235" t="str">
        <f t="array" ref="N17">IFERROR(INDEX(разряд,MATCH(SUM(COUNTIF(N$6:N16,разряд)),COUNTIF(разряд,"&lt;"&amp;разряд),0)),"")</f>
        <v/>
      </c>
      <c r="O17" s="236">
        <v>11</v>
      </c>
      <c r="P17" s="181" t="str">
        <f t="shared" si="1"/>
        <v/>
      </c>
      <c r="Q17" s="184">
        <f t="shared" si="2"/>
        <v>0</v>
      </c>
      <c r="R17" s="184">
        <f t="shared" si="3"/>
        <v>0</v>
      </c>
      <c r="S17" s="237">
        <f t="shared" si="4"/>
        <v>0</v>
      </c>
      <c r="T17" s="188">
        <f t="shared" si="5"/>
        <v>0</v>
      </c>
      <c r="U17" s="188">
        <f t="shared" si="6"/>
        <v>0</v>
      </c>
      <c r="V17" s="188">
        <f t="shared" si="7"/>
        <v>0</v>
      </c>
      <c r="W17" s="188">
        <f t="shared" si="8"/>
        <v>0</v>
      </c>
      <c r="X17" s="180"/>
      <c r="Y17" s="183" t="str">
        <f t="shared" si="12"/>
        <v/>
      </c>
      <c r="Z17" s="183" t="str">
        <f>IF(OR($Y17=$Y15,$Y17=$Y16,$Y17=$Y14,$Y17=$Y13,$Y17=$Y12,$Y17=$Y10,$Y17=$Y9,$Y17=$Y8,$Y17=$Y7)," ",IF(Q17=0," ",Q17))</f>
        <v xml:space="preserve"> </v>
      </c>
      <c r="AA17" s="183" t="str">
        <f>IF(OR($Y17=$Y15,$Y17=$Y16,$Y17=$Y14,$Y17=$Y13,$Y17=$Y12,$Y17=$Y10,$Y17=$Y9,$Y17=$Y8,$Y17=$Y7)," ",IF(R17=0," ",R17))</f>
        <v xml:space="preserve"> </v>
      </c>
      <c r="AB17" s="183" t="str">
        <f>IF(OR($Y17=$Y15,$Y17=$Y16,$Y17=$Y14,$Y17=$Y13,$Y17=$Y12,$Y17=$Y10,$Y17=$Y9,$Y17=$Y8,$Y17=$Y7)," ",IF(S17=0," ",S17))</f>
        <v xml:space="preserve"> </v>
      </c>
      <c r="AC17" s="183" t="str">
        <f>IF(OR($Y17=$Y15,$Y17=$Y16,$Y17=$Y14,$Y17=$Y13,$Y17=$Y12,$Y17=$Y10,$Y17=$Y9,$Y17=$Y8,$Y17=$Y7)," ",IF(T17=0," ",T17))</f>
        <v xml:space="preserve"> </v>
      </c>
      <c r="AD17" s="183" t="str">
        <f t="shared" si="9"/>
        <v xml:space="preserve"> </v>
      </c>
      <c r="AE17" s="183" t="str">
        <f t="shared" si="9"/>
        <v xml:space="preserve"> </v>
      </c>
      <c r="AF17" s="183" t="str">
        <f t="shared" si="9"/>
        <v xml:space="preserve"> </v>
      </c>
    </row>
    <row r="18" spans="1:32" ht="21.95" customHeight="1">
      <c r="A18" s="226" t="s">
        <v>87</v>
      </c>
      <c r="B18" s="227">
        <v>12</v>
      </c>
      <c r="C18" s="228" t="s">
        <v>135</v>
      </c>
      <c r="D18" s="229" t="s">
        <v>136</v>
      </c>
      <c r="E18" s="230" t="s">
        <v>106</v>
      </c>
      <c r="F18" s="229" t="s">
        <v>107</v>
      </c>
      <c r="G18" s="231"/>
      <c r="H18" s="232" t="s">
        <v>134</v>
      </c>
      <c r="I18" s="233"/>
      <c r="J18" s="234">
        <v>1</v>
      </c>
      <c r="K18" s="222" t="str">
        <f t="shared" si="10"/>
        <v>кмс</v>
      </c>
      <c r="L18" s="222" t="str">
        <f t="shared" si="11"/>
        <v>Санкт-Петербург</v>
      </c>
      <c r="M18" s="235" t="str">
        <f t="array" ref="M18">IFERROR(INDEX(субъект,MATCH(SUM(COUNTIF(M$6:M17,субъект)),COUNTIF(субъект,"&lt;"&amp;субъект),0)),"")</f>
        <v/>
      </c>
      <c r="N18" s="235" t="str">
        <f t="array" ref="N18">IFERROR(INDEX(разряд,MATCH(SUM(COUNTIF(N$6:N17,разряд)),COUNTIF(разряд,"&lt;"&amp;разряд),0)),"")</f>
        <v/>
      </c>
      <c r="O18" s="236">
        <v>12</v>
      </c>
      <c r="P18" s="181" t="str">
        <f t="shared" si="1"/>
        <v/>
      </c>
      <c r="Q18" s="184">
        <f t="shared" si="2"/>
        <v>0</v>
      </c>
      <c r="R18" s="184">
        <f t="shared" si="3"/>
        <v>0</v>
      </c>
      <c r="S18" s="237">
        <f t="shared" si="4"/>
        <v>0</v>
      </c>
      <c r="T18" s="188">
        <f t="shared" si="5"/>
        <v>0</v>
      </c>
      <c r="U18" s="188">
        <f t="shared" si="6"/>
        <v>0</v>
      </c>
      <c r="V18" s="188">
        <f t="shared" si="7"/>
        <v>0</v>
      </c>
      <c r="W18" s="188">
        <f t="shared" si="8"/>
        <v>0</v>
      </c>
      <c r="X18" s="180"/>
      <c r="Y18" s="183" t="str">
        <f t="shared" si="12"/>
        <v/>
      </c>
      <c r="Z18" s="183" t="str">
        <f>IF(OR($Y18=$Y16,$Y18=$Y17,$Y18=$Y15,$Y18=$Y14,$Y18=$Y13,$Y18=$Y11,$Y18=$Y10,$Y18=$Y9,$Y18=$Y8,$Y18=$Y7)," ",IF(Q18=0," ",Q18))</f>
        <v xml:space="preserve"> </v>
      </c>
      <c r="AA18" s="183" t="str">
        <f>IF(OR($Y18=$Y16,$Y18=$Y17,$Y18=$Y15,$Y18=$Y14,$Y18=$Y13,$Y18=$Y11,$Y18=$Y10,$Y18=$Y9,$Y18=$Y8,$Y18=$Y7)," ",IF(R18=0," ",R18))</f>
        <v xml:space="preserve"> </v>
      </c>
      <c r="AB18" s="183" t="str">
        <f>IF(OR($Y18=$Y16,$Y18=$Y17,$Y18=$Y15,$Y18=$Y14,$Y18=$Y13,$Y18=$Y11,$Y18=$Y10,$Y18=$Y9,$Y18=$Y8,$Y18=$Y7)," ",IF(S18=0," ",S18))</f>
        <v xml:space="preserve"> </v>
      </c>
      <c r="AC18" s="183" t="str">
        <f>IF(OR($Y18=$Y16,$Y18=$Y17,$Y18=$Y15,$Y18=$Y14,$Y18=$Y13,$Y18=$Y11,$Y18=$Y10,$Y18=$Y9,$Y18=$Y8,$Y18=$Y7)," ",IF(T18=0," ",T18))</f>
        <v xml:space="preserve"> </v>
      </c>
      <c r="AD18" s="183" t="str">
        <f t="shared" si="9"/>
        <v xml:space="preserve"> </v>
      </c>
      <c r="AE18" s="183" t="str">
        <f t="shared" si="9"/>
        <v xml:space="preserve"> </v>
      </c>
      <c r="AF18" s="183" t="str">
        <f t="shared" si="9"/>
        <v xml:space="preserve"> </v>
      </c>
    </row>
    <row r="19" spans="1:32" ht="21.95" customHeight="1">
      <c r="A19" s="226" t="s">
        <v>88</v>
      </c>
      <c r="B19" s="227"/>
      <c r="C19" s="228"/>
      <c r="D19" s="229"/>
      <c r="E19" s="230"/>
      <c r="F19" s="229"/>
      <c r="G19" s="231"/>
      <c r="H19" s="232"/>
      <c r="I19" s="233"/>
      <c r="J19" s="234">
        <v>1</v>
      </c>
      <c r="K19" s="222">
        <f t="shared" si="10"/>
        <v>0</v>
      </c>
      <c r="L19" s="222">
        <f t="shared" si="11"/>
        <v>0</v>
      </c>
      <c r="M19" s="235" t="str">
        <f t="array" ref="M19">IFERROR(INDEX(субъект,MATCH(SUM(COUNTIF(M$6:M18,субъект)),COUNTIF(субъект,"&lt;"&amp;субъект),0)),"")</f>
        <v/>
      </c>
      <c r="N19" s="235" t="str">
        <f t="array" ref="N19">IFERROR(INDEX(разряд,MATCH(SUM(COUNTIF(N$6:N18,разряд)),COUNTIF(разряд,"&lt;"&amp;разряд),0)),"")</f>
        <v/>
      </c>
      <c r="O19" s="236">
        <v>13</v>
      </c>
      <c r="P19" s="181" t="str">
        <f t="shared" si="1"/>
        <v/>
      </c>
      <c r="Q19" s="184">
        <f t="shared" si="2"/>
        <v>0</v>
      </c>
      <c r="R19" s="184">
        <f t="shared" si="3"/>
        <v>0</v>
      </c>
      <c r="S19" s="237">
        <f t="shared" si="4"/>
        <v>0</v>
      </c>
      <c r="T19" s="188">
        <f t="shared" si="5"/>
        <v>0</v>
      </c>
      <c r="U19" s="188">
        <f t="shared" si="6"/>
        <v>0</v>
      </c>
      <c r="V19" s="188">
        <f t="shared" si="7"/>
        <v>0</v>
      </c>
      <c r="W19" s="188">
        <f t="shared" si="8"/>
        <v>0</v>
      </c>
      <c r="X19" s="180"/>
      <c r="Y19" s="183" t="str">
        <f t="shared" si="12"/>
        <v/>
      </c>
      <c r="Z19" s="183" t="str">
        <f t="shared" ref="Z19:AC22" si="13">IF(Q19=0," ",Q19)</f>
        <v xml:space="preserve"> </v>
      </c>
      <c r="AA19" s="183" t="str">
        <f t="shared" si="13"/>
        <v xml:space="preserve"> </v>
      </c>
      <c r="AB19" s="183" t="str">
        <f t="shared" si="13"/>
        <v xml:space="preserve"> </v>
      </c>
      <c r="AC19" s="183" t="str">
        <f t="shared" si="13"/>
        <v xml:space="preserve"> </v>
      </c>
      <c r="AD19" s="183" t="str">
        <f t="shared" si="9"/>
        <v xml:space="preserve"> </v>
      </c>
      <c r="AE19" s="183" t="str">
        <f t="shared" si="9"/>
        <v xml:space="preserve"> </v>
      </c>
      <c r="AF19" s="183" t="str">
        <f t="shared" si="9"/>
        <v xml:space="preserve"> </v>
      </c>
    </row>
    <row r="20" spans="1:32" ht="21.95" customHeight="1">
      <c r="A20" s="226" t="s">
        <v>89</v>
      </c>
      <c r="B20" s="227"/>
      <c r="C20" s="228"/>
      <c r="D20" s="229"/>
      <c r="E20" s="230"/>
      <c r="F20" s="229"/>
      <c r="G20" s="231"/>
      <c r="H20" s="232"/>
      <c r="I20" s="233"/>
      <c r="J20" s="234">
        <v>1</v>
      </c>
      <c r="K20" s="222">
        <f t="shared" si="10"/>
        <v>0</v>
      </c>
      <c r="L20" s="222">
        <f t="shared" si="11"/>
        <v>0</v>
      </c>
      <c r="M20" s="235" t="str">
        <f t="array" ref="M20">IFERROR(INDEX(субъект,MATCH(SUM(COUNTIF(M$6:M19,субъект)),COUNTIF(субъект,"&lt;"&amp;субъект),0)),"")</f>
        <v/>
      </c>
      <c r="N20" s="235" t="str">
        <f t="array" ref="N20">IFERROR(INDEX(разряд,MATCH(SUM(COUNTIF(N$6:N19,разряд)),COUNTIF(разряд,"&lt;"&amp;разряд),0)),"")</f>
        <v/>
      </c>
      <c r="O20" s="236">
        <v>14</v>
      </c>
      <c r="P20" s="181" t="str">
        <f t="shared" si="1"/>
        <v/>
      </c>
      <c r="Q20" s="184">
        <f t="shared" si="2"/>
        <v>0</v>
      </c>
      <c r="R20" s="184">
        <f t="shared" si="3"/>
        <v>0</v>
      </c>
      <c r="S20" s="237">
        <f t="shared" si="4"/>
        <v>0</v>
      </c>
      <c r="T20" s="188">
        <f t="shared" si="5"/>
        <v>0</v>
      </c>
      <c r="U20" s="188">
        <f t="shared" si="6"/>
        <v>0</v>
      </c>
      <c r="V20" s="188">
        <f t="shared" si="7"/>
        <v>0</v>
      </c>
      <c r="W20" s="188">
        <f t="shared" si="8"/>
        <v>0</v>
      </c>
      <c r="X20" s="180"/>
      <c r="Y20" s="183" t="str">
        <f t="shared" si="12"/>
        <v/>
      </c>
      <c r="Z20" s="183" t="str">
        <f t="shared" si="13"/>
        <v xml:space="preserve"> </v>
      </c>
      <c r="AA20" s="183" t="str">
        <f t="shared" si="13"/>
        <v xml:space="preserve"> </v>
      </c>
      <c r="AB20" s="183" t="str">
        <f t="shared" si="13"/>
        <v xml:space="preserve"> </v>
      </c>
      <c r="AC20" s="183" t="str">
        <f t="shared" si="13"/>
        <v xml:space="preserve"> </v>
      </c>
      <c r="AD20" s="183" t="str">
        <f t="shared" si="9"/>
        <v xml:space="preserve"> </v>
      </c>
      <c r="AE20" s="183" t="str">
        <f t="shared" si="9"/>
        <v xml:space="preserve"> </v>
      </c>
      <c r="AF20" s="183" t="str">
        <f t="shared" si="9"/>
        <v xml:space="preserve"> </v>
      </c>
    </row>
    <row r="21" spans="1:32" ht="21.95" customHeight="1">
      <c r="A21" s="226" t="s">
        <v>90</v>
      </c>
      <c r="B21" s="227"/>
      <c r="C21" s="228"/>
      <c r="D21" s="229"/>
      <c r="E21" s="230"/>
      <c r="F21" s="229"/>
      <c r="G21" s="231"/>
      <c r="H21" s="232"/>
      <c r="I21" s="233"/>
      <c r="J21" s="234">
        <v>1</v>
      </c>
      <c r="K21" s="222">
        <f t="shared" si="10"/>
        <v>0</v>
      </c>
      <c r="L21" s="222">
        <f t="shared" si="11"/>
        <v>0</v>
      </c>
      <c r="M21" s="235" t="str">
        <f t="array" ref="M21">IFERROR(INDEX(субъект,MATCH(SUM(COUNTIF(M$6:M20,субъект)),COUNTIF(субъект,"&lt;"&amp;субъект),0)),"")</f>
        <v/>
      </c>
      <c r="N21" s="235" t="str">
        <f t="array" ref="N21">IFERROR(INDEX(разряд,MATCH(SUM(COUNTIF(N$6:N20,разряд)),COUNTIF(разряд,"&lt;"&amp;разряд),0)),"")</f>
        <v/>
      </c>
      <c r="O21" s="236">
        <v>15</v>
      </c>
      <c r="P21" s="181" t="str">
        <f t="shared" si="1"/>
        <v/>
      </c>
      <c r="Q21" s="184">
        <f t="shared" si="2"/>
        <v>0</v>
      </c>
      <c r="R21" s="184">
        <f t="shared" si="3"/>
        <v>0</v>
      </c>
      <c r="S21" s="237">
        <f t="shared" si="4"/>
        <v>0</v>
      </c>
      <c r="T21" s="188">
        <f t="shared" si="5"/>
        <v>0</v>
      </c>
      <c r="U21" s="188">
        <f t="shared" si="6"/>
        <v>0</v>
      </c>
      <c r="V21" s="188">
        <f t="shared" si="7"/>
        <v>0</v>
      </c>
      <c r="W21" s="188">
        <f t="shared" si="8"/>
        <v>0</v>
      </c>
      <c r="X21" s="180"/>
      <c r="Y21" s="183" t="str">
        <f t="shared" si="12"/>
        <v/>
      </c>
      <c r="Z21" s="183" t="str">
        <f t="shared" si="13"/>
        <v xml:space="preserve"> </v>
      </c>
      <c r="AA21" s="183" t="str">
        <f t="shared" si="13"/>
        <v xml:space="preserve"> </v>
      </c>
      <c r="AB21" s="183" t="str">
        <f t="shared" si="13"/>
        <v xml:space="preserve"> </v>
      </c>
      <c r="AC21" s="183" t="str">
        <f t="shared" si="13"/>
        <v xml:space="preserve"> </v>
      </c>
      <c r="AD21" s="183" t="str">
        <f t="shared" si="9"/>
        <v xml:space="preserve"> </v>
      </c>
      <c r="AE21" s="183" t="str">
        <f t="shared" si="9"/>
        <v xml:space="preserve"> </v>
      </c>
      <c r="AF21" s="183" t="str">
        <f t="shared" si="9"/>
        <v xml:space="preserve"> </v>
      </c>
    </row>
    <row r="22" spans="1:32" ht="21.95" customHeight="1">
      <c r="A22" s="226" t="s">
        <v>91</v>
      </c>
      <c r="B22" s="227"/>
      <c r="C22" s="228"/>
      <c r="D22" s="229"/>
      <c r="E22" s="230"/>
      <c r="F22" s="229"/>
      <c r="G22" s="231"/>
      <c r="H22" s="232"/>
      <c r="I22" s="233"/>
      <c r="J22" s="234">
        <v>1</v>
      </c>
      <c r="K22" s="222">
        <f t="shared" si="10"/>
        <v>0</v>
      </c>
      <c r="L22" s="222">
        <f t="shared" si="11"/>
        <v>0</v>
      </c>
      <c r="M22" s="235" t="str">
        <f t="array" ref="M22">IFERROR(INDEX(субъект,MATCH(SUM(COUNTIF(M$6:M21,субъект)),COUNTIF(субъект,"&lt;"&amp;субъект),0)),"")</f>
        <v/>
      </c>
      <c r="N22" s="235" t="str">
        <f t="array" ref="N22">IFERROR(INDEX(разряд,MATCH(SUM(COUNTIF(N$6:N21,разряд)),COUNTIF(разряд,"&lt;"&amp;разряд),0)),"")</f>
        <v/>
      </c>
      <c r="O22" s="236">
        <v>16</v>
      </c>
      <c r="P22" s="181" t="str">
        <f t="shared" si="1"/>
        <v/>
      </c>
      <c r="Q22" s="184">
        <f t="shared" si="2"/>
        <v>0</v>
      </c>
      <c r="R22" s="184">
        <f t="shared" si="3"/>
        <v>0</v>
      </c>
      <c r="S22" s="237">
        <f t="shared" si="4"/>
        <v>0</v>
      </c>
      <c r="T22" s="188">
        <f t="shared" si="5"/>
        <v>0</v>
      </c>
      <c r="U22" s="188">
        <f t="shared" si="6"/>
        <v>0</v>
      </c>
      <c r="V22" s="188">
        <f t="shared" si="7"/>
        <v>0</v>
      </c>
      <c r="W22" s="188">
        <f t="shared" si="8"/>
        <v>0</v>
      </c>
      <c r="X22" s="180"/>
      <c r="Y22" s="183" t="str">
        <f t="shared" si="12"/>
        <v/>
      </c>
      <c r="Z22" s="183" t="str">
        <f t="shared" si="13"/>
        <v xml:space="preserve"> </v>
      </c>
      <c r="AA22" s="183" t="str">
        <f t="shared" si="13"/>
        <v xml:space="preserve"> </v>
      </c>
      <c r="AB22" s="183" t="str">
        <f t="shared" si="13"/>
        <v xml:space="preserve"> </v>
      </c>
      <c r="AC22" s="183" t="str">
        <f t="shared" si="13"/>
        <v xml:space="preserve"> </v>
      </c>
      <c r="AD22" s="183" t="str">
        <f t="shared" si="9"/>
        <v xml:space="preserve"> </v>
      </c>
      <c r="AE22" s="183" t="str">
        <f t="shared" si="9"/>
        <v xml:space="preserve"> </v>
      </c>
      <c r="AF22" s="183" t="str">
        <f t="shared" si="9"/>
        <v xml:space="preserve"> </v>
      </c>
    </row>
    <row r="23" spans="1:32">
      <c r="A23" s="86" t="s">
        <v>48</v>
      </c>
      <c r="D23" s="221"/>
      <c r="E23" s="221"/>
      <c r="F23" s="221"/>
      <c r="G23" s="221"/>
      <c r="H23" s="221"/>
      <c r="I23" s="4"/>
      <c r="J23" s="269"/>
      <c r="K23" s="270"/>
      <c r="L23" s="271"/>
      <c r="M23" s="218"/>
      <c r="N23" s="218"/>
      <c r="O23" s="4"/>
    </row>
    <row r="24" spans="1:32">
      <c r="D24" s="221"/>
      <c r="E24" s="221"/>
      <c r="F24" s="221"/>
      <c r="G24" s="221"/>
      <c r="H24" s="221"/>
      <c r="J24" s="269"/>
      <c r="K24" s="270"/>
      <c r="L24" s="271"/>
      <c r="M24" s="218"/>
      <c r="N24" s="218"/>
      <c r="O24" s="4"/>
    </row>
    <row r="25" spans="1:32">
      <c r="A25" s="86" t="s">
        <v>49</v>
      </c>
      <c r="D25" s="221"/>
      <c r="E25" s="221"/>
      <c r="F25" s="221"/>
      <c r="G25" s="221"/>
      <c r="H25" s="221"/>
      <c r="J25" s="269"/>
      <c r="K25" s="270"/>
      <c r="L25" s="271"/>
      <c r="M25" s="218"/>
      <c r="N25" s="218"/>
      <c r="O25" s="4"/>
    </row>
    <row r="26" spans="1:32">
      <c r="D26" s="221"/>
      <c r="E26" s="221"/>
      <c r="F26" s="221"/>
      <c r="G26" s="221"/>
      <c r="H26" s="221"/>
      <c r="J26" s="269"/>
      <c r="K26" s="270"/>
      <c r="L26" s="271"/>
      <c r="M26" s="218"/>
      <c r="N26" s="218"/>
      <c r="O26" s="4"/>
    </row>
    <row r="27" spans="1:32">
      <c r="A27" s="86" t="s">
        <v>50</v>
      </c>
      <c r="D27" s="221"/>
      <c r="E27" s="221"/>
      <c r="F27" s="221"/>
      <c r="G27" s="221"/>
      <c r="H27" s="221"/>
      <c r="J27" s="269"/>
      <c r="K27" s="270"/>
      <c r="L27" s="271"/>
      <c r="M27" s="218"/>
      <c r="N27" s="218"/>
      <c r="O27" s="4"/>
    </row>
    <row r="28" spans="1:32">
      <c r="D28" s="221"/>
      <c r="E28" s="221"/>
      <c r="F28" s="221"/>
      <c r="G28" s="221"/>
      <c r="H28" s="221"/>
      <c r="J28" s="269"/>
      <c r="K28" s="270"/>
      <c r="L28" s="271"/>
      <c r="M28" s="218"/>
      <c r="N28" s="218"/>
      <c r="O28" s="4"/>
    </row>
    <row r="29" spans="1:32">
      <c r="A29" s="86" t="s">
        <v>51</v>
      </c>
      <c r="D29" s="221"/>
      <c r="E29" s="221"/>
      <c r="F29" s="221"/>
      <c r="G29" s="221"/>
      <c r="H29" s="221"/>
      <c r="J29" s="269"/>
      <c r="K29" s="270"/>
      <c r="L29" s="271"/>
      <c r="M29" s="218"/>
      <c r="N29" s="218"/>
      <c r="O29" s="4"/>
    </row>
    <row r="30" spans="1:32">
      <c r="A30" s="221"/>
      <c r="B30" s="221"/>
      <c r="C30" s="221"/>
      <c r="D30" s="221"/>
      <c r="E30" s="221"/>
      <c r="F30" s="221"/>
      <c r="G30" s="221"/>
      <c r="H30" s="221"/>
      <c r="J30" s="269"/>
      <c r="K30" s="270"/>
      <c r="L30" s="271"/>
      <c r="M30" s="218"/>
      <c r="N30" s="218"/>
      <c r="O30" s="4"/>
    </row>
    <row r="81" spans="9:9">
      <c r="I81" s="221"/>
    </row>
    <row r="82" spans="9:9">
      <c r="I82" s="221"/>
    </row>
    <row r="83" spans="9:9">
      <c r="I83" s="221"/>
    </row>
    <row r="84" spans="9:9">
      <c r="I84" s="221"/>
    </row>
    <row r="85" spans="9:9">
      <c r="I85" s="221"/>
    </row>
    <row r="86" spans="9:9">
      <c r="I86" s="221"/>
    </row>
    <row r="87" spans="9:9">
      <c r="I87" s="221"/>
    </row>
    <row r="88" spans="9:9">
      <c r="I88" s="221"/>
    </row>
    <row r="89" spans="9:9">
      <c r="I89" s="221"/>
    </row>
    <row r="90" spans="9:9">
      <c r="I90" s="221"/>
    </row>
    <row r="91" spans="9:9">
      <c r="I91" s="221"/>
    </row>
    <row r="92" spans="9:9">
      <c r="I92" s="221"/>
    </row>
    <row r="93" spans="9:9">
      <c r="I93" s="221"/>
    </row>
    <row r="94" spans="9:9">
      <c r="I94" s="221"/>
    </row>
    <row r="95" spans="9:9">
      <c r="I95" s="221"/>
    </row>
    <row r="96" spans="9:9">
      <c r="I96" s="221"/>
    </row>
    <row r="97" spans="9:9">
      <c r="I97" s="221"/>
    </row>
    <row r="98" spans="9:9">
      <c r="I98" s="221"/>
    </row>
    <row r="99" spans="9:9">
      <c r="I99" s="221"/>
    </row>
    <row r="100" spans="9:9">
      <c r="I100" s="221"/>
    </row>
    <row r="101" spans="9:9">
      <c r="I101" s="221"/>
    </row>
    <row r="102" spans="9:9">
      <c r="I102" s="221"/>
    </row>
    <row r="103" spans="9:9">
      <c r="I103" s="221"/>
    </row>
    <row r="104" spans="9:9">
      <c r="I104" s="221"/>
    </row>
    <row r="105" spans="9:9">
      <c r="I105" s="221"/>
    </row>
    <row r="106" spans="9:9">
      <c r="I106" s="221"/>
    </row>
    <row r="107" spans="9:9">
      <c r="I107" s="221"/>
    </row>
    <row r="108" spans="9:9">
      <c r="I108" s="221"/>
    </row>
    <row r="109" spans="9:9">
      <c r="I109" s="221"/>
    </row>
    <row r="110" spans="9:9">
      <c r="I110" s="221"/>
    </row>
    <row r="111" spans="9:9">
      <c r="I111" s="221"/>
    </row>
    <row r="112" spans="9:9">
      <c r="I112" s="221"/>
    </row>
    <row r="113" spans="9:9">
      <c r="I113" s="221"/>
    </row>
    <row r="114" spans="9:9">
      <c r="I114" s="221"/>
    </row>
    <row r="115" spans="9:9">
      <c r="I115" s="221"/>
    </row>
    <row r="116" spans="9:9">
      <c r="I116" s="221"/>
    </row>
    <row r="117" spans="9:9">
      <c r="I117" s="221"/>
    </row>
    <row r="118" spans="9:9">
      <c r="I118" s="221"/>
    </row>
    <row r="119" spans="9:9">
      <c r="I119" s="221"/>
    </row>
    <row r="120" spans="9:9">
      <c r="I120" s="221"/>
    </row>
    <row r="121" spans="9:9">
      <c r="I121" s="221"/>
    </row>
    <row r="122" spans="9:9">
      <c r="I122" s="221"/>
    </row>
    <row r="123" spans="9:9">
      <c r="I123" s="221"/>
    </row>
    <row r="124" spans="9:9">
      <c r="I124" s="221"/>
    </row>
    <row r="125" spans="9:9">
      <c r="I125" s="221"/>
    </row>
    <row r="126" spans="9:9">
      <c r="I126" s="221"/>
    </row>
    <row r="127" spans="9:9">
      <c r="I127" s="221"/>
    </row>
    <row r="128" spans="9:9">
      <c r="I128" s="221"/>
    </row>
    <row r="129" spans="9:9">
      <c r="I129" s="221"/>
    </row>
    <row r="130" spans="9:9">
      <c r="I130" s="221"/>
    </row>
    <row r="131" spans="9:9">
      <c r="I131" s="221"/>
    </row>
    <row r="132" spans="9:9">
      <c r="I132" s="221"/>
    </row>
    <row r="133" spans="9:9">
      <c r="I133" s="221"/>
    </row>
    <row r="134" spans="9:9">
      <c r="I134" s="221"/>
    </row>
    <row r="135" spans="9:9">
      <c r="I135" s="221"/>
    </row>
    <row r="136" spans="9:9">
      <c r="I136" s="221"/>
    </row>
    <row r="137" spans="9:9">
      <c r="I137" s="221"/>
    </row>
    <row r="138" spans="9:9">
      <c r="I138" s="221"/>
    </row>
    <row r="139" spans="9:9">
      <c r="I139" s="221"/>
    </row>
    <row r="140" spans="9:9">
      <c r="I140" s="221"/>
    </row>
    <row r="141" spans="9:9">
      <c r="I141" s="221"/>
    </row>
    <row r="142" spans="9:9">
      <c r="I142" s="221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mergeCells count="25"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  <mergeCell ref="Y4:AE4"/>
    <mergeCell ref="Q5:S5"/>
    <mergeCell ref="AH7:AI8"/>
    <mergeCell ref="J23:J24"/>
    <mergeCell ref="K23:K24"/>
    <mergeCell ref="L23:L24"/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A1:AC57"/>
  <sheetViews>
    <sheetView tabSelected="1" workbookViewId="0">
      <selection sqref="A1:U40"/>
    </sheetView>
  </sheetViews>
  <sheetFormatPr defaultRowHeight="12.75"/>
  <cols>
    <col min="1" max="1" width="4.7109375" customWidth="1"/>
    <col min="2" max="2" width="14" customWidth="1"/>
    <col min="3" max="3" width="7.7109375" customWidth="1"/>
    <col min="4" max="4" width="11.28515625" customWidth="1"/>
    <col min="5" max="17" width="4.7109375" customWidth="1"/>
    <col min="18" max="18" width="14" customWidth="1"/>
    <col min="19" max="19" width="7.7109375" customWidth="1"/>
    <col min="20" max="20" width="11.28515625" customWidth="1"/>
    <col min="21" max="21" width="4.7109375" customWidth="1"/>
    <col min="25" max="26" width="3.140625" customWidth="1"/>
    <col min="27" max="27" width="3.85546875" customWidth="1"/>
  </cols>
  <sheetData>
    <row r="1" spans="1:29" ht="24" customHeight="1">
      <c r="A1" s="359" t="s">
        <v>22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110"/>
      <c r="W1" s="110"/>
      <c r="X1" s="112"/>
      <c r="Y1" s="110"/>
      <c r="Z1" s="110"/>
      <c r="AA1" s="110"/>
      <c r="AB1" s="110"/>
    </row>
    <row r="2" spans="1:29" ht="27.75" customHeight="1" thickBot="1">
      <c r="A2" s="360" t="s">
        <v>23</v>
      </c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110"/>
      <c r="W2" s="110"/>
      <c r="X2" s="112"/>
      <c r="Y2" s="110"/>
      <c r="Z2" s="110"/>
      <c r="AA2" s="110"/>
      <c r="AB2" s="110"/>
    </row>
    <row r="3" spans="1:29" ht="33" customHeight="1" thickBot="1">
      <c r="A3" s="110"/>
      <c r="B3" s="110"/>
      <c r="C3" s="324" t="str">
        <f>[1]реквизиты!$A$2</f>
        <v>Всероссийские соревнования по самбо, XIV Всероссийский турнир по боевому самбо памяти генерал-лейтенанта ФСБ России Чуйкина В.М.</v>
      </c>
      <c r="D3" s="325"/>
      <c r="E3" s="325"/>
      <c r="F3" s="325"/>
      <c r="G3" s="325"/>
      <c r="H3" s="325"/>
      <c r="I3" s="325"/>
      <c r="J3" s="325"/>
      <c r="K3" s="325"/>
      <c r="L3" s="325"/>
      <c r="M3" s="325"/>
      <c r="N3" s="325"/>
      <c r="O3" s="325"/>
      <c r="P3" s="325"/>
      <c r="Q3" s="325"/>
      <c r="R3" s="326"/>
      <c r="S3" s="110"/>
      <c r="T3" s="110"/>
      <c r="U3" s="110"/>
      <c r="V3" s="110"/>
      <c r="W3" s="110"/>
      <c r="X3" s="112"/>
      <c r="Y3" s="110"/>
      <c r="Z3" s="110"/>
      <c r="AA3" s="110"/>
      <c r="AB3" s="110"/>
    </row>
    <row r="4" spans="1:29" ht="15.75" customHeight="1" thickBot="1">
      <c r="A4" s="119"/>
      <c r="B4" s="119"/>
      <c r="C4" s="327" t="str">
        <f>[1]реквизиты!$A$3</f>
        <v>12-14  октября 2018г.                                              г.Лахденпохья</v>
      </c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119"/>
      <c r="T4" s="110"/>
      <c r="U4" s="110"/>
      <c r="V4" s="110"/>
      <c r="W4" s="110"/>
      <c r="X4" s="112"/>
      <c r="Y4" s="110"/>
      <c r="Z4" s="110"/>
      <c r="AA4" s="110"/>
      <c r="AB4" s="110"/>
    </row>
    <row r="5" spans="1:29" ht="20.25" customHeight="1" thickBot="1">
      <c r="A5" s="110"/>
      <c r="B5" s="110"/>
      <c r="C5" s="110"/>
      <c r="D5" s="110"/>
      <c r="E5" s="110"/>
      <c r="F5" s="110"/>
      <c r="G5" s="110"/>
      <c r="H5" s="110"/>
      <c r="I5" s="120"/>
      <c r="J5" s="330" t="str">
        <f>пр.взв!D4</f>
        <v>В.к.62  кг.</v>
      </c>
      <c r="K5" s="331"/>
      <c r="L5" s="332"/>
      <c r="M5" s="333" t="str">
        <f>Y5&amp;" "&amp;Z5</f>
        <v>12 участников</v>
      </c>
      <c r="N5" s="334"/>
      <c r="O5" s="335"/>
      <c r="P5" s="110"/>
      <c r="Q5" s="110"/>
      <c r="R5" s="53"/>
      <c r="S5" s="110"/>
      <c r="T5" s="110"/>
      <c r="U5" s="110"/>
      <c r="V5" s="110"/>
      <c r="W5" s="121"/>
      <c r="X5" s="111"/>
      <c r="Y5" s="111">
        <f>пр.взв!AH7</f>
        <v>12</v>
      </c>
      <c r="Z5" s="262" t="s">
        <v>93</v>
      </c>
      <c r="AA5" s="112"/>
      <c r="AB5" s="112"/>
    </row>
    <row r="6" spans="1:29" ht="18" customHeight="1" thickBot="1">
      <c r="A6" s="339" t="s">
        <v>0</v>
      </c>
      <c r="B6" s="339"/>
      <c r="C6" s="242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22"/>
      <c r="S6" s="122"/>
      <c r="T6" s="110"/>
      <c r="U6" s="122" t="s">
        <v>1</v>
      </c>
      <c r="V6" s="110"/>
      <c r="W6" s="123"/>
      <c r="X6" s="113"/>
      <c r="Y6" s="113"/>
      <c r="Z6" s="111"/>
      <c r="AA6" s="112"/>
      <c r="AB6" s="112"/>
    </row>
    <row r="7" spans="1:29" ht="12.75" customHeight="1" thickBot="1">
      <c r="A7" s="342">
        <v>1</v>
      </c>
      <c r="B7" s="340" t="str">
        <f>IFERROR(VLOOKUP(A7,пр.взв!$B$7:$H$22,2,0),"")</f>
        <v>Кибишев Залим Арсенович</v>
      </c>
      <c r="C7" s="328" t="str">
        <f>IFERROR(VLOOKUP(A7,пр.взв!$B$7:$H$22,3,0),"")</f>
        <v>19.06.94, мс</v>
      </c>
      <c r="D7" s="328" t="str">
        <f>IFERROR(VLOOKUP(A7,пр.взв!$B$7:$H$22,5,0),"")</f>
        <v>Ставропольский, Ставрополь</v>
      </c>
      <c r="E7" s="124"/>
      <c r="F7" s="240"/>
      <c r="G7" s="240"/>
      <c r="H7" s="240"/>
      <c r="I7" s="125" t="s">
        <v>25</v>
      </c>
      <c r="J7" s="240"/>
      <c r="K7" s="240"/>
      <c r="L7" s="240"/>
      <c r="M7" s="126"/>
      <c r="N7" s="126"/>
      <c r="O7" s="126"/>
      <c r="P7" s="126"/>
      <c r="Q7" s="127"/>
      <c r="R7" s="328" t="str">
        <f>IFERROR(VLOOKUP(U7,пр.взв!$B$7:$H$22,2,0),"")</f>
        <v>Мишанин Константин Олегович</v>
      </c>
      <c r="S7" s="294" t="str">
        <f>IFERROR(VLOOKUP(U7,пр.взв!$B$7:$H$22,3,0),"")</f>
        <v>16.06.89, кмс</v>
      </c>
      <c r="T7" s="294" t="str">
        <f>IFERROR(VLOOKUP(U7,пр.взв!$B$7:$H$22,5,0),"")</f>
        <v>Рязанская, Рязань "Юпитер"</v>
      </c>
      <c r="U7" s="356">
        <v>2</v>
      </c>
      <c r="V7" s="110"/>
      <c r="W7" s="123"/>
      <c r="X7" s="113"/>
      <c r="Y7" s="113"/>
      <c r="Z7" s="111"/>
      <c r="AA7" s="111"/>
      <c r="AB7" s="111"/>
      <c r="AC7" s="4"/>
    </row>
    <row r="8" spans="1:29" ht="12.75" customHeight="1">
      <c r="A8" s="343"/>
      <c r="B8" s="341"/>
      <c r="C8" s="329"/>
      <c r="D8" s="329"/>
      <c r="E8" s="128">
        <v>1</v>
      </c>
      <c r="F8" s="126"/>
      <c r="G8" s="126"/>
      <c r="H8" s="129">
        <v>4</v>
      </c>
      <c r="I8" s="345" t="str">
        <f>IFERROR(VLOOKUP(H8,пр.взв!$B$7:$I$22,2,0),"")</f>
        <v>Бычков Александр Юрьевич</v>
      </c>
      <c r="J8" s="346"/>
      <c r="K8" s="346"/>
      <c r="L8" s="346"/>
      <c r="M8" s="347"/>
      <c r="N8" s="126"/>
      <c r="O8" s="126"/>
      <c r="P8" s="126"/>
      <c r="Q8" s="128">
        <v>2</v>
      </c>
      <c r="R8" s="329"/>
      <c r="S8" s="295"/>
      <c r="T8" s="295"/>
      <c r="U8" s="357"/>
      <c r="V8" s="110"/>
      <c r="W8" s="123"/>
      <c r="X8" s="113"/>
      <c r="Y8" s="113"/>
      <c r="Z8" s="111"/>
      <c r="AA8" s="111"/>
      <c r="AB8" s="111"/>
      <c r="AC8" s="4"/>
    </row>
    <row r="9" spans="1:29" ht="12.75" customHeight="1" thickBot="1">
      <c r="A9" s="343">
        <v>9</v>
      </c>
      <c r="B9" s="336" t="str">
        <f>IFERROR(VLOOKUP(A9,пр.взв!$B$7:$H$22,2,0),"")</f>
        <v>Загиров Рагим Имирханович</v>
      </c>
      <c r="C9" s="336" t="str">
        <f>IFERROR(VLOOKUP(A9,пр.взв!$B$7:$H$22,3,0),"")</f>
        <v>28.01.90, кмс</v>
      </c>
      <c r="D9" s="295" t="str">
        <f>IFERROR(VLOOKUP(A9,пр.взв!$B$7:$H$22,5,0),"")</f>
        <v>Санкт-Петербург</v>
      </c>
      <c r="E9" s="130" t="s">
        <v>137</v>
      </c>
      <c r="F9" s="243"/>
      <c r="G9" s="126"/>
      <c r="H9" s="240"/>
      <c r="I9" s="348"/>
      <c r="J9" s="349"/>
      <c r="K9" s="349"/>
      <c r="L9" s="349"/>
      <c r="M9" s="350"/>
      <c r="N9" s="126"/>
      <c r="O9" s="126"/>
      <c r="P9" s="131"/>
      <c r="Q9" s="130" t="s">
        <v>138</v>
      </c>
      <c r="R9" s="336" t="str">
        <f>IFERROR(VLOOKUP(U9,пр.взв!$B$7:$H$22,2,0),"")</f>
        <v>Шевцов Иван Николаевич</v>
      </c>
      <c r="S9" s="336" t="str">
        <f>IFERROR(VLOOKUP(U9,пр.взв!$B$7:$H$22,3,0),"")</f>
        <v>09.07.00, кмс</v>
      </c>
      <c r="T9" s="336" t="str">
        <f>IFERROR(VLOOKUP(U9,пр.взв!$B$7:$H$22,5,0),"")</f>
        <v>Мурманская, Мурманск</v>
      </c>
      <c r="U9" s="357">
        <v>10</v>
      </c>
      <c r="V9" s="110"/>
      <c r="W9" s="123"/>
      <c r="X9" s="113"/>
      <c r="Y9" s="113"/>
      <c r="Z9" s="111"/>
      <c r="AA9" s="111"/>
      <c r="AB9" s="111"/>
      <c r="AC9" s="4"/>
    </row>
    <row r="10" spans="1:29" ht="12.75" customHeight="1" thickBot="1">
      <c r="A10" s="344"/>
      <c r="B10" s="337"/>
      <c r="C10" s="337"/>
      <c r="D10" s="329"/>
      <c r="E10" s="132"/>
      <c r="F10" s="244"/>
      <c r="G10" s="128">
        <v>1</v>
      </c>
      <c r="H10" s="240"/>
      <c r="I10" s="127"/>
      <c r="J10" s="127"/>
      <c r="K10" s="245"/>
      <c r="L10" s="127"/>
      <c r="M10" s="126"/>
      <c r="N10" s="126"/>
      <c r="O10" s="128">
        <v>2</v>
      </c>
      <c r="P10" s="133"/>
      <c r="Q10" s="127"/>
      <c r="R10" s="337"/>
      <c r="S10" s="337"/>
      <c r="T10" s="337"/>
      <c r="U10" s="358"/>
      <c r="V10" s="110"/>
      <c r="W10" s="123"/>
      <c r="X10" s="114"/>
      <c r="Y10" s="113"/>
      <c r="Z10" s="111"/>
      <c r="AA10" s="111"/>
      <c r="AB10" s="111"/>
      <c r="AC10" s="4"/>
    </row>
    <row r="11" spans="1:29" ht="12.75" customHeight="1" thickBot="1">
      <c r="A11" s="342">
        <v>5</v>
      </c>
      <c r="B11" s="340" t="str">
        <f>IFERROR(VLOOKUP(A11,пр.взв!$B$7:$H$22,2,0),"")</f>
        <v>Гашимов Субхан Ализахир оглы</v>
      </c>
      <c r="C11" s="328" t="str">
        <f>IFERROR(VLOOKUP(A11,пр.взв!$B$7:$H$22,3,0),"")</f>
        <v>20.08.99, кмс</v>
      </c>
      <c r="D11" s="328" t="str">
        <f>IFERROR(VLOOKUP(A11,пр.взв!$B$7:$H$22,5,0),"")</f>
        <v>Р.Карелия, Петрозаводск</v>
      </c>
      <c r="E11" s="124"/>
      <c r="F11" s="244"/>
      <c r="G11" s="130" t="s">
        <v>137</v>
      </c>
      <c r="H11" s="134"/>
      <c r="I11" s="240"/>
      <c r="J11" s="127"/>
      <c r="K11" s="127"/>
      <c r="L11" s="127"/>
      <c r="M11" s="126"/>
      <c r="N11" s="131"/>
      <c r="O11" s="130" t="s">
        <v>137</v>
      </c>
      <c r="P11" s="133"/>
      <c r="Q11" s="127"/>
      <c r="R11" s="294" t="str">
        <f>IFERROR(VLOOKUP(U11,пр.взв!$B$7:$H$22,2,0),"")</f>
        <v>Магомедов Расул Ахметович</v>
      </c>
      <c r="S11" s="294" t="str">
        <f>IFERROR(VLOOKUP(U11,пр.взв!$B$7:$H$22,3,0),"")</f>
        <v>06.04.94, кмс</v>
      </c>
      <c r="T11" s="294" t="str">
        <f>IFERROR(VLOOKUP(U11,пр.взв!$B$7:$H$22,5,0),"")</f>
        <v>Р.Карелия, Петрозаводск</v>
      </c>
      <c r="U11" s="353">
        <v>6</v>
      </c>
      <c r="V11" s="110"/>
      <c r="W11" s="123"/>
      <c r="X11" s="114"/>
      <c r="Y11" s="113"/>
      <c r="Z11" s="111"/>
      <c r="AA11" s="111"/>
      <c r="AB11" s="111"/>
      <c r="AC11" s="4"/>
    </row>
    <row r="12" spans="1:29" ht="12.75" customHeight="1">
      <c r="A12" s="343"/>
      <c r="B12" s="341"/>
      <c r="C12" s="329"/>
      <c r="D12" s="329"/>
      <c r="E12" s="128">
        <v>5</v>
      </c>
      <c r="F12" s="246"/>
      <c r="G12" s="126"/>
      <c r="H12" s="135"/>
      <c r="I12" s="240"/>
      <c r="J12" s="290" t="s">
        <v>19</v>
      </c>
      <c r="K12" s="290"/>
      <c r="L12" s="290"/>
      <c r="M12" s="126"/>
      <c r="N12" s="133"/>
      <c r="O12" s="126"/>
      <c r="P12" s="238"/>
      <c r="Q12" s="128"/>
      <c r="R12" s="295"/>
      <c r="S12" s="295"/>
      <c r="T12" s="295"/>
      <c r="U12" s="357"/>
      <c r="V12" s="110"/>
      <c r="W12" s="123"/>
      <c r="X12" s="114"/>
      <c r="Y12" s="113"/>
      <c r="Z12" s="111"/>
      <c r="AA12" s="111"/>
      <c r="AB12" s="111"/>
      <c r="AC12" s="4"/>
    </row>
    <row r="13" spans="1:29" ht="12.75" customHeight="1" thickBot="1">
      <c r="A13" s="343">
        <v>13</v>
      </c>
      <c r="B13" s="336" t="str">
        <f>IFERROR(VLOOKUP(A13,пр.взв!$B$7:$H$22,2,0),"")</f>
        <v/>
      </c>
      <c r="C13" s="336" t="str">
        <f>IFERROR(VLOOKUP(A13,пр.взв!$B$7:$H$22,3,0),"")</f>
        <v/>
      </c>
      <c r="D13" s="295" t="str">
        <f>IFERROR(VLOOKUP(A13,пр.взв!$B$7:$H$22,5,0),"")</f>
        <v/>
      </c>
      <c r="E13" s="130"/>
      <c r="F13" s="126"/>
      <c r="G13" s="126"/>
      <c r="H13" s="135"/>
      <c r="I13" s="136"/>
      <c r="J13" s="137"/>
      <c r="K13" s="137"/>
      <c r="L13" s="240"/>
      <c r="M13" s="126"/>
      <c r="N13" s="133"/>
      <c r="O13" s="126"/>
      <c r="P13" s="126"/>
      <c r="Q13" s="130"/>
      <c r="R13" s="336" t="str">
        <f>IFERROR(VLOOKUP(U13,пр.взв!$B$7:$H$22,2,0),"")</f>
        <v/>
      </c>
      <c r="S13" s="336" t="str">
        <f>IFERROR(VLOOKUP(U13,пр.взв!$B$7:$H$22,3,0),"")</f>
        <v/>
      </c>
      <c r="T13" s="336" t="str">
        <f>IFERROR(VLOOKUP(U13,пр.взв!$B$7:$H$22,5,0),"")</f>
        <v/>
      </c>
      <c r="U13" s="357">
        <v>14</v>
      </c>
      <c r="V13" s="110"/>
      <c r="W13" s="123"/>
      <c r="X13" s="114"/>
      <c r="Y13" s="113"/>
      <c r="Z13" s="111"/>
      <c r="AA13" s="111"/>
      <c r="AB13" s="111"/>
      <c r="AC13" s="4"/>
    </row>
    <row r="14" spans="1:29" ht="12.75" customHeight="1" thickBot="1">
      <c r="A14" s="344"/>
      <c r="B14" s="337"/>
      <c r="C14" s="337"/>
      <c r="D14" s="329"/>
      <c r="E14" s="132"/>
      <c r="F14" s="338"/>
      <c r="G14" s="338"/>
      <c r="H14" s="135"/>
      <c r="I14" s="128">
        <v>3</v>
      </c>
      <c r="J14" s="240"/>
      <c r="K14" s="240"/>
      <c r="L14" s="240"/>
      <c r="M14" s="128">
        <v>4</v>
      </c>
      <c r="N14" s="136"/>
      <c r="O14" s="126"/>
      <c r="P14" s="126"/>
      <c r="Q14" s="127"/>
      <c r="R14" s="337"/>
      <c r="S14" s="337"/>
      <c r="T14" s="337"/>
      <c r="U14" s="354"/>
      <c r="V14" s="110"/>
      <c r="W14" s="123"/>
      <c r="X14" s="114"/>
      <c r="Y14" s="113"/>
      <c r="Z14" s="111"/>
      <c r="AA14" s="111"/>
      <c r="AB14" s="111"/>
      <c r="AC14" s="4"/>
    </row>
    <row r="15" spans="1:29" ht="12.75" customHeight="1" thickBot="1">
      <c r="A15" s="342">
        <v>3</v>
      </c>
      <c r="B15" s="340" t="str">
        <f>IFERROR(VLOOKUP(A15,пр.взв!$B$7:$H$22,2,0),"")</f>
        <v>Расулов Шамиль Садрутдинович</v>
      </c>
      <c r="C15" s="328" t="str">
        <f>IFERROR(VLOOKUP(A15,пр.взв!$B$7:$H$22,3,0),"")</f>
        <v>09.04.93, мс</v>
      </c>
      <c r="D15" s="328" t="str">
        <f>IFERROR(VLOOKUP(A15,пр.взв!$B$7:$H$22,5,0),"")</f>
        <v>Санкт-Петербург</v>
      </c>
      <c r="E15" s="124"/>
      <c r="F15" s="126"/>
      <c r="G15" s="126"/>
      <c r="H15" s="135"/>
      <c r="I15" s="130" t="s">
        <v>137</v>
      </c>
      <c r="J15" s="240"/>
      <c r="K15" s="240"/>
      <c r="L15" s="240"/>
      <c r="M15" s="130" t="s">
        <v>137</v>
      </c>
      <c r="N15" s="133"/>
      <c r="O15" s="126"/>
      <c r="P15" s="126"/>
      <c r="Q15" s="127"/>
      <c r="R15" s="294" t="str">
        <f>IFERROR(VLOOKUP(U15,пр.взв!$B$7:$H$22,2,0),"")</f>
        <v>Бычков Александр Юрьевич</v>
      </c>
      <c r="S15" s="294" t="str">
        <f>IFERROR(VLOOKUP(U15,пр.взв!$B$7:$H$22,3,0),"")</f>
        <v>11.01.87, кмс</v>
      </c>
      <c r="T15" s="294" t="str">
        <f>IFERROR(VLOOKUP(U15,пр.взв!$B$7:$H$22,5,0),"")</f>
        <v>Р.Карелия, Петрозаводск</v>
      </c>
      <c r="U15" s="356">
        <v>4</v>
      </c>
      <c r="V15" s="110"/>
      <c r="W15" s="123"/>
      <c r="X15" s="114"/>
      <c r="Y15" s="113"/>
      <c r="Z15" s="111"/>
      <c r="AA15" s="111"/>
      <c r="AB15" s="111"/>
      <c r="AC15" s="4"/>
    </row>
    <row r="16" spans="1:29" ht="12.75" customHeight="1">
      <c r="A16" s="343"/>
      <c r="B16" s="341"/>
      <c r="C16" s="329"/>
      <c r="D16" s="329"/>
      <c r="E16" s="128">
        <v>3</v>
      </c>
      <c r="F16" s="126"/>
      <c r="G16" s="126"/>
      <c r="H16" s="135"/>
      <c r="I16" s="240"/>
      <c r="J16" s="240"/>
      <c r="K16" s="240"/>
      <c r="L16" s="240"/>
      <c r="M16" s="126"/>
      <c r="N16" s="133"/>
      <c r="O16" s="126"/>
      <c r="P16" s="126"/>
      <c r="Q16" s="128">
        <v>4</v>
      </c>
      <c r="R16" s="295"/>
      <c r="S16" s="295"/>
      <c r="T16" s="295"/>
      <c r="U16" s="357"/>
      <c r="V16" s="110"/>
      <c r="W16" s="123"/>
      <c r="X16" s="114"/>
      <c r="Y16" s="113"/>
      <c r="Z16" s="111"/>
      <c r="AA16" s="111"/>
      <c r="AB16" s="111"/>
      <c r="AC16" s="4"/>
    </row>
    <row r="17" spans="1:29" ht="12.75" customHeight="1" thickBot="1">
      <c r="A17" s="343">
        <v>11</v>
      </c>
      <c r="B17" s="336" t="str">
        <f>IFERROR(VLOOKUP(A17,пр.взв!$B$7:$H$22,2,0),"")</f>
        <v>Гаджиев Али Джабраилович</v>
      </c>
      <c r="C17" s="336" t="str">
        <f>IFERROR(VLOOKUP(A17,пр.взв!$B$7:$H$22,3,0),"")</f>
        <v>28.11.97, кмс</v>
      </c>
      <c r="D17" s="295" t="str">
        <f>IFERROR(VLOOKUP(A17,пр.взв!$B$7:$H$22,5,0),"")</f>
        <v>Санкт-Петербург</v>
      </c>
      <c r="E17" s="130"/>
      <c r="F17" s="243"/>
      <c r="G17" s="126"/>
      <c r="H17" s="135"/>
      <c r="I17" s="240"/>
      <c r="J17" s="240"/>
      <c r="K17" s="240"/>
      <c r="L17" s="240"/>
      <c r="M17" s="126"/>
      <c r="N17" s="133"/>
      <c r="O17" s="126"/>
      <c r="P17" s="131"/>
      <c r="Q17" s="130" t="s">
        <v>137</v>
      </c>
      <c r="R17" s="336" t="str">
        <f>IFERROR(VLOOKUP(U17,пр.взв!$B$7:$H$22,2,0),"")</f>
        <v>Бурлаков Анатолий Николаевич</v>
      </c>
      <c r="S17" s="336" t="str">
        <f>IFERROR(VLOOKUP(U17,пр.взв!$B$7:$H$22,3,0),"")</f>
        <v>26.09.97, кмс</v>
      </c>
      <c r="T17" s="336" t="str">
        <f>IFERROR(VLOOKUP(U17,пр.взв!$B$7:$H$22,5,0),"")</f>
        <v>Санкт-Петербург</v>
      </c>
      <c r="U17" s="357">
        <v>12</v>
      </c>
      <c r="V17" s="110"/>
      <c r="W17" s="123"/>
      <c r="X17" s="114"/>
      <c r="Y17" s="113"/>
      <c r="Z17" s="111"/>
      <c r="AA17" s="111"/>
      <c r="AB17" s="111"/>
      <c r="AC17" s="4"/>
    </row>
    <row r="18" spans="1:29" ht="12.75" customHeight="1" thickBot="1">
      <c r="A18" s="344"/>
      <c r="B18" s="337"/>
      <c r="C18" s="337"/>
      <c r="D18" s="329"/>
      <c r="E18" s="132"/>
      <c r="F18" s="244"/>
      <c r="G18" s="128">
        <v>3</v>
      </c>
      <c r="H18" s="138"/>
      <c r="I18" s="125" t="s">
        <v>26</v>
      </c>
      <c r="J18" s="240"/>
      <c r="K18" s="240"/>
      <c r="L18" s="240"/>
      <c r="M18" s="126"/>
      <c r="N18" s="238"/>
      <c r="O18" s="128">
        <v>4</v>
      </c>
      <c r="P18" s="133"/>
      <c r="Q18" s="127"/>
      <c r="R18" s="337"/>
      <c r="S18" s="337"/>
      <c r="T18" s="337"/>
      <c r="U18" s="358"/>
      <c r="V18" s="110"/>
      <c r="W18" s="123"/>
      <c r="X18" s="114"/>
      <c r="Y18" s="113"/>
      <c r="Z18" s="111"/>
      <c r="AA18" s="112"/>
      <c r="AB18" s="112"/>
    </row>
    <row r="19" spans="1:29" ht="12.75" customHeight="1" thickBot="1">
      <c r="A19" s="342">
        <v>7</v>
      </c>
      <c r="B19" s="340" t="str">
        <f>IFERROR(VLOOKUP(A19,пр.взв!$B$7:$H$22,2,0),"")</f>
        <v>Шалимов Олег Валентинович</v>
      </c>
      <c r="C19" s="328" t="str">
        <f>IFERROR(VLOOKUP(A19,пр.взв!$B$7:$H$22,3,0),"")</f>
        <v>24.07.00, кмс</v>
      </c>
      <c r="D19" s="328" t="str">
        <f>IFERROR(VLOOKUP(A19,пр.взв!$B$7:$H$22,5,0),"")</f>
        <v>Вологодская, Вологда</v>
      </c>
      <c r="E19" s="124"/>
      <c r="F19" s="139"/>
      <c r="G19" s="130" t="s">
        <v>137</v>
      </c>
      <c r="H19" s="129"/>
      <c r="I19" s="127"/>
      <c r="J19" s="127"/>
      <c r="K19" s="127"/>
      <c r="L19" s="127"/>
      <c r="M19" s="127"/>
      <c r="N19" s="126"/>
      <c r="O19" s="130" t="s">
        <v>137</v>
      </c>
      <c r="P19" s="133"/>
      <c r="Q19" s="127"/>
      <c r="R19" s="294" t="str">
        <f>IFERROR(VLOOKUP(U19,пр.взв!$B$7:$H$22,2,0),"")</f>
        <v>Тайгибов Магомед Магомедрасулович</v>
      </c>
      <c r="S19" s="294" t="str">
        <f>IFERROR(VLOOKUP(U19,пр.взв!$B$7:$H$22,3,0),"")</f>
        <v>27.03.98, кмс</v>
      </c>
      <c r="T19" s="294" t="str">
        <f>IFERROR(VLOOKUP(U19,пр.взв!$B$7:$H$22,5,0),"")</f>
        <v>Санкт-Петербург</v>
      </c>
      <c r="U19" s="352">
        <v>8</v>
      </c>
      <c r="V19" s="110"/>
      <c r="W19" s="121"/>
      <c r="X19" s="115"/>
      <c r="Y19" s="111"/>
      <c r="Z19" s="111"/>
      <c r="AA19" s="112"/>
      <c r="AB19" s="112"/>
    </row>
    <row r="20" spans="1:29" ht="12.75" customHeight="1">
      <c r="A20" s="343"/>
      <c r="B20" s="341"/>
      <c r="C20" s="329"/>
      <c r="D20" s="329"/>
      <c r="E20" s="128">
        <v>7</v>
      </c>
      <c r="F20" s="140"/>
      <c r="G20" s="132"/>
      <c r="H20" s="129">
        <f>AA29</f>
        <v>3</v>
      </c>
      <c r="I20" s="296" t="str">
        <f>IFERROR(VLOOKUP(H20,пр.взв!$B$7:$I$22,2,0),"")</f>
        <v>Расулов Шамиль Садрутдинович</v>
      </c>
      <c r="J20" s="297"/>
      <c r="K20" s="297"/>
      <c r="L20" s="297"/>
      <c r="M20" s="298"/>
      <c r="N20" s="126"/>
      <c r="O20" s="126"/>
      <c r="P20" s="141"/>
      <c r="Q20" s="128">
        <v>8</v>
      </c>
      <c r="R20" s="295"/>
      <c r="S20" s="295"/>
      <c r="T20" s="295"/>
      <c r="U20" s="353"/>
      <c r="V20" s="110"/>
      <c r="W20" s="110"/>
      <c r="X20" s="112"/>
      <c r="Y20" s="112"/>
      <c r="Z20" s="112"/>
      <c r="AA20" s="112"/>
      <c r="AB20" s="112"/>
    </row>
    <row r="21" spans="1:29" ht="12.75" customHeight="1" thickBot="1">
      <c r="A21" s="343">
        <v>15</v>
      </c>
      <c r="B21" s="336" t="str">
        <f>IFERROR(VLOOKUP(A21,пр.взв!$B$7:$H$22,2,0),"")</f>
        <v/>
      </c>
      <c r="C21" s="336" t="str">
        <f>IFERROR(VLOOKUP(A21,пр.взв!$B$7:$H$22,3,0),"")</f>
        <v/>
      </c>
      <c r="D21" s="295" t="str">
        <f>IFERROR(VLOOKUP(A21,пр.взв!$B$7:$H$22,5,0),"")</f>
        <v/>
      </c>
      <c r="E21" s="130"/>
      <c r="F21" s="132"/>
      <c r="G21" s="132"/>
      <c r="H21" s="241"/>
      <c r="I21" s="299"/>
      <c r="J21" s="300"/>
      <c r="K21" s="300"/>
      <c r="L21" s="300"/>
      <c r="M21" s="301"/>
      <c r="N21" s="126"/>
      <c r="O21" s="126"/>
      <c r="P21" s="126"/>
      <c r="Q21" s="130"/>
      <c r="R21" s="336" t="str">
        <f>IFERROR(VLOOKUP(U21,пр.взв!$B$7:$H$22,2,0),"")</f>
        <v/>
      </c>
      <c r="S21" s="336" t="str">
        <f>IFERROR(VLOOKUP(U21,пр.взв!$B$7:$H$22,3,0),"")</f>
        <v/>
      </c>
      <c r="T21" s="336" t="str">
        <f>IFERROR(VLOOKUP(U21,пр.взв!$B$7:$H$22,5,0),"")</f>
        <v/>
      </c>
      <c r="U21" s="354">
        <v>16</v>
      </c>
      <c r="V21" s="110"/>
      <c r="W21" s="110"/>
      <c r="X21" s="112"/>
      <c r="Y21" s="112"/>
      <c r="Z21" s="112"/>
      <c r="AA21" s="112"/>
      <c r="AB21" s="112"/>
    </row>
    <row r="22" spans="1:29" ht="12.75" customHeight="1" thickBot="1">
      <c r="A22" s="344"/>
      <c r="B22" s="337"/>
      <c r="C22" s="337"/>
      <c r="D22" s="351"/>
      <c r="E22" s="132"/>
      <c r="F22" s="124"/>
      <c r="G22" s="124"/>
      <c r="H22" s="127"/>
      <c r="I22" s="127"/>
      <c r="J22" s="127"/>
      <c r="K22" s="127"/>
      <c r="L22" s="127"/>
      <c r="M22" s="127"/>
      <c r="N22" s="127"/>
      <c r="O22" s="240"/>
      <c r="P22" s="240"/>
      <c r="Q22" s="127"/>
      <c r="R22" s="337"/>
      <c r="S22" s="337"/>
      <c r="T22" s="337"/>
      <c r="U22" s="355"/>
      <c r="V22" s="110"/>
      <c r="W22" s="110"/>
      <c r="X22" s="112"/>
      <c r="Y22" s="112"/>
      <c r="Z22" s="112"/>
      <c r="AA22" s="112"/>
      <c r="AB22" s="112"/>
    </row>
    <row r="23" spans="1:29" ht="12.75" customHeight="1">
      <c r="A23" s="142"/>
      <c r="B23" s="142"/>
      <c r="C23" s="247"/>
      <c r="D23" s="121"/>
      <c r="E23" s="143"/>
      <c r="F23" s="143"/>
      <c r="G23" s="143"/>
      <c r="H23" s="291" t="s">
        <v>24</v>
      </c>
      <c r="I23" s="291"/>
      <c r="J23" s="291"/>
      <c r="K23" s="291"/>
      <c r="L23" s="291"/>
      <c r="M23" s="291"/>
      <c r="N23" s="291"/>
      <c r="O23" s="144"/>
      <c r="P23" s="144"/>
      <c r="Q23" s="127"/>
      <c r="R23" s="145"/>
      <c r="S23" s="145"/>
      <c r="T23" s="145"/>
      <c r="U23" s="110"/>
      <c r="V23" s="110"/>
      <c r="W23" s="121"/>
      <c r="X23" s="112"/>
      <c r="Y23" s="112"/>
      <c r="Z23" s="112"/>
      <c r="AA23" s="112"/>
      <c r="AB23" s="112"/>
    </row>
    <row r="24" spans="1:29" ht="12" customHeight="1" thickBot="1">
      <c r="A24" s="110"/>
      <c r="B24" s="110"/>
      <c r="C24" s="110"/>
      <c r="D24" s="146" t="s">
        <v>2</v>
      </c>
      <c r="E24" s="110"/>
      <c r="F24" s="110"/>
      <c r="G24" s="110"/>
      <c r="H24" s="110"/>
      <c r="I24" s="110"/>
      <c r="J24" s="110"/>
      <c r="K24" s="121"/>
      <c r="L24" s="121"/>
      <c r="M24" s="121"/>
      <c r="N24" s="121"/>
      <c r="O24" s="146" t="s">
        <v>3</v>
      </c>
      <c r="P24" s="121"/>
      <c r="Q24" s="121"/>
      <c r="R24" s="121"/>
      <c r="S24" s="121"/>
      <c r="T24" s="121"/>
      <c r="U24" s="147"/>
      <c r="V24" s="121"/>
      <c r="W24" s="110"/>
      <c r="X24" s="112"/>
      <c r="Y24" s="117" t="s">
        <v>68</v>
      </c>
      <c r="Z24" s="117" t="s">
        <v>69</v>
      </c>
      <c r="AA24" s="177" t="s">
        <v>69</v>
      </c>
      <c r="AB24" s="112"/>
    </row>
    <row r="25" spans="1:29" ht="12.75" customHeight="1">
      <c r="A25" s="148">
        <f>Y29</f>
        <v>9</v>
      </c>
      <c r="B25" s="302" t="str">
        <f>IFERROR(VLOOKUP(A25,пр.взв!$B$7:$H$22,2,0),"")</f>
        <v>Загиров Рагим Имирханович</v>
      </c>
      <c r="C25" s="304"/>
      <c r="D25" s="110"/>
      <c r="E25" s="110"/>
      <c r="F25" s="110"/>
      <c r="G25" s="110"/>
      <c r="H25" s="110"/>
      <c r="I25" s="149">
        <v>12</v>
      </c>
      <c r="J25" s="302" t="str">
        <f>IFERROR(VLOOKUP(I25,пр.взв!$B$7:$H$22,2,0),"")</f>
        <v>Бурлаков Анатолий Николаевич</v>
      </c>
      <c r="K25" s="303"/>
      <c r="L25" s="303"/>
      <c r="M25" s="304"/>
      <c r="N25" s="121"/>
      <c r="O25" s="121"/>
      <c r="P25" s="121"/>
      <c r="Q25" s="121"/>
      <c r="R25" s="121"/>
      <c r="S25" s="121"/>
      <c r="T25" s="121"/>
      <c r="U25" s="121"/>
      <c r="V25" s="121"/>
      <c r="W25" s="110"/>
      <c r="X25" s="112"/>
      <c r="Y25" s="118">
        <f>IF(G10=""," ",IF(G10=E8,E12,E8))</f>
        <v>5</v>
      </c>
      <c r="Z25" s="117">
        <f>IF(A25=""," ",IF(A25=C26,A27,A25))</f>
        <v>9</v>
      </c>
      <c r="AA25" s="117">
        <f>IF(D29=""," ",IF(D29=E32,C35,D29))</f>
        <v>7</v>
      </c>
      <c r="AB25" s="112"/>
    </row>
    <row r="26" spans="1:29" ht="12.75" customHeight="1" thickBot="1">
      <c r="A26" s="147"/>
      <c r="B26" s="305"/>
      <c r="C26" s="307"/>
      <c r="D26" s="150"/>
      <c r="E26" s="151"/>
      <c r="F26" s="151"/>
      <c r="G26" s="151"/>
      <c r="H26" s="151"/>
      <c r="I26" s="152"/>
      <c r="J26" s="305"/>
      <c r="K26" s="306"/>
      <c r="L26" s="306"/>
      <c r="M26" s="307"/>
      <c r="N26" s="150"/>
      <c r="O26" s="150"/>
      <c r="P26" s="150"/>
      <c r="Q26" s="150"/>
      <c r="R26" s="153"/>
      <c r="S26" s="150"/>
      <c r="T26" s="150"/>
      <c r="U26" s="147"/>
      <c r="V26" s="121"/>
      <c r="W26" s="110"/>
      <c r="X26" s="112"/>
      <c r="Y26" s="118">
        <f>IF(O10=""," ",IF(O10=Q8,Q12,Q8))</f>
        <v>0</v>
      </c>
      <c r="Z26" s="117">
        <f>IF(I25=""," ",IF(I25=M26,I27,I25))</f>
        <v>12</v>
      </c>
      <c r="AA26" s="117">
        <f>IF(N29=""," ",IF(N29=Q32,M35,N29))</f>
        <v>8</v>
      </c>
      <c r="AB26" s="112"/>
    </row>
    <row r="27" spans="1:29" ht="12.75" customHeight="1">
      <c r="A27" s="266">
        <f>Y25</f>
        <v>5</v>
      </c>
      <c r="B27" s="293" t="str">
        <f>IFERROR(VLOOKUP(A27,пр.взв!$B$7:$H$22,2,0),"")</f>
        <v>Гашимов Субхан Ализахир оглы</v>
      </c>
      <c r="C27" s="263"/>
      <c r="D27" s="150"/>
      <c r="E27" s="156"/>
      <c r="F27" s="156"/>
      <c r="G27" s="156"/>
      <c r="H27" s="156"/>
      <c r="I27" s="268">
        <f>Y26</f>
        <v>0</v>
      </c>
      <c r="J27" s="292" t="str">
        <f>IFERROR(VLOOKUP(I27,пр.взв!$B$7:$H$22,2,0),"")</f>
        <v/>
      </c>
      <c r="K27" s="292"/>
      <c r="L27" s="292"/>
      <c r="M27" s="263"/>
      <c r="N27" s="125"/>
      <c r="O27" s="125"/>
      <c r="P27" s="125"/>
      <c r="Q27" s="125"/>
      <c r="R27" s="150"/>
      <c r="S27" s="150"/>
      <c r="T27" s="150"/>
      <c r="U27" s="121"/>
      <c r="V27" s="121"/>
      <c r="W27" s="110"/>
      <c r="X27" s="112"/>
      <c r="Y27" s="118">
        <f>IF(G18=""," ",IF(G18=E16,E20,E16))</f>
        <v>7</v>
      </c>
      <c r="Z27" s="117">
        <f>IF(A31=""," ",IF(A31=C32,A33,A31))</f>
        <v>7</v>
      </c>
      <c r="AA27" s="117" t="str">
        <f>IF(C32=""," ",IF(C32=D29,C26,C32))</f>
        <v xml:space="preserve"> </v>
      </c>
      <c r="AB27" s="112"/>
    </row>
    <row r="28" spans="1:29" ht="12.75" customHeight="1">
      <c r="A28" s="266"/>
      <c r="B28" s="293"/>
      <c r="C28" s="158"/>
      <c r="D28" s="150"/>
      <c r="E28" s="125"/>
      <c r="F28" s="125"/>
      <c r="G28" s="156"/>
      <c r="H28" s="156"/>
      <c r="I28" s="167"/>
      <c r="J28" s="292"/>
      <c r="K28" s="292"/>
      <c r="L28" s="292"/>
      <c r="M28" s="158"/>
      <c r="N28" s="125"/>
      <c r="O28" s="125"/>
      <c r="P28" s="125"/>
      <c r="Q28" s="125"/>
      <c r="R28" s="150"/>
      <c r="S28" s="159"/>
      <c r="T28" s="150"/>
      <c r="U28" s="121"/>
      <c r="V28" s="121"/>
      <c r="W28" s="110"/>
      <c r="X28" s="112"/>
      <c r="Y28" s="118">
        <f>IF(O18=""," ",IF(O18=Q16,Q20,Q16))</f>
        <v>8</v>
      </c>
      <c r="Z28" s="117">
        <f>IF(I31=""," ",IF(I31=M32,I33,I31))</f>
        <v>8</v>
      </c>
      <c r="AA28" s="117" t="str">
        <f>IF(M32=""," ",IF(M32=N29,M26,M32))</f>
        <v xml:space="preserve"> </v>
      </c>
      <c r="AB28" s="112"/>
    </row>
    <row r="29" spans="1:29" ht="12.75" customHeight="1">
      <c r="A29" s="154"/>
      <c r="B29" s="160"/>
      <c r="C29" s="158"/>
      <c r="D29" s="126">
        <v>7</v>
      </c>
      <c r="E29" s="125"/>
      <c r="F29" s="125"/>
      <c r="G29" s="156"/>
      <c r="H29" s="156"/>
      <c r="I29" s="157"/>
      <c r="J29" s="241"/>
      <c r="K29" s="160"/>
      <c r="L29" s="161"/>
      <c r="M29" s="158"/>
      <c r="N29" s="322">
        <v>8</v>
      </c>
      <c r="O29" s="323"/>
      <c r="P29" s="323"/>
      <c r="Q29" s="125"/>
      <c r="R29" s="150"/>
      <c r="S29" s="150"/>
      <c r="T29" s="150"/>
      <c r="U29" s="121"/>
      <c r="V29" s="121"/>
      <c r="W29" s="110"/>
      <c r="X29" s="112"/>
      <c r="Y29" s="118">
        <f>IF(G10=""," ",IF(G10=A7,A9,IF(G10=A9,A7,IF(G10=A11,A13,A11))))</f>
        <v>9</v>
      </c>
      <c r="Z29" s="117">
        <f>IF(AND(OR(A7=G10,A9=G10),A11=E12),A13,IF(AND(OR(A7=G10,A9=G10),A13=E12),A11,IF(A7=E8,A9,A7)))</f>
        <v>13</v>
      </c>
      <c r="AA29" s="117">
        <f>IF(H8="","",IF(H8=I14,M14,I14))</f>
        <v>3</v>
      </c>
      <c r="AB29" s="112"/>
    </row>
    <row r="30" spans="1:29" ht="12.75" customHeight="1" thickBot="1">
      <c r="A30" s="154"/>
      <c r="B30" s="162"/>
      <c r="C30" s="158"/>
      <c r="D30" s="155"/>
      <c r="E30" s="125"/>
      <c r="F30" s="110" t="s">
        <v>44</v>
      </c>
      <c r="G30" s="156"/>
      <c r="H30" s="156"/>
      <c r="I30" s="157"/>
      <c r="J30" s="241"/>
      <c r="K30" s="162"/>
      <c r="L30" s="161"/>
      <c r="M30" s="158"/>
      <c r="N30" s="125"/>
      <c r="O30" s="163"/>
      <c r="P30" s="164"/>
      <c r="Q30" s="125"/>
      <c r="R30" s="110" t="s">
        <v>44</v>
      </c>
      <c r="S30" s="150"/>
      <c r="T30" s="150"/>
      <c r="U30" s="121"/>
      <c r="V30" s="121"/>
      <c r="W30" s="110"/>
      <c r="X30" s="112"/>
      <c r="Y30" s="118">
        <f>IF(O10=""," ",IF(O10=U7,U9,IF(O10=U9,U7,IF(O10=U11,U13,U11))))</f>
        <v>10</v>
      </c>
      <c r="Z30" s="117">
        <f>IF(AND(U7=O10,U11=Q12),U13,IF(AND(U7=O10,U13=Q12),U11,IF(AND(U9=O10,U11=Q12),U13,IF(AND(U9=O10,U13=Q12),U11,IF(U7=Q8,U9,U7)))))</f>
        <v>10</v>
      </c>
      <c r="AA30" s="117"/>
      <c r="AB30" s="112"/>
    </row>
    <row r="31" spans="1:29" ht="13.5" customHeight="1" thickBot="1">
      <c r="A31" s="165">
        <v>7</v>
      </c>
      <c r="B31" s="302" t="str">
        <f>IFERROR(VLOOKUP(A31,пр.взв!$B$7:$H$22,2,0),"")</f>
        <v>Шалимов Олег Валентинович</v>
      </c>
      <c r="C31" s="304"/>
      <c r="D31" s="166"/>
      <c r="E31" s="129"/>
      <c r="F31" s="125"/>
      <c r="G31" s="125"/>
      <c r="H31" s="125"/>
      <c r="I31" s="167">
        <v>8</v>
      </c>
      <c r="J31" s="302" t="str">
        <f>IFERROR(VLOOKUP(I31,пр.взв!$B$7:$H$22,2,0),"")</f>
        <v>Тайгибов Магомед Магомедрасулович</v>
      </c>
      <c r="K31" s="303"/>
      <c r="L31" s="303"/>
      <c r="M31" s="304"/>
      <c r="N31" s="125"/>
      <c r="O31" s="125"/>
      <c r="P31" s="168"/>
      <c r="Q31" s="125"/>
      <c r="R31" s="150"/>
      <c r="S31" s="150"/>
      <c r="T31" s="150"/>
      <c r="U31" s="121"/>
      <c r="V31" s="121"/>
      <c r="W31" s="110"/>
      <c r="X31" s="112"/>
      <c r="Y31" s="118">
        <f>IF(G18=""," ",IF(G18=A15,A17,IF(G18=A17,A15,IF(G18=A19,A21,A19))))</f>
        <v>11</v>
      </c>
      <c r="Z31" s="117">
        <f>IF(AND(OR(A15=G18,A17=G18),A19=E20),A21,IF(AND(OR(A15=G18,A17=G18),A21=E20),A19,IF(A15=E16,A17,A15)))</f>
        <v>15</v>
      </c>
      <c r="AA31" s="117"/>
      <c r="AB31" s="112"/>
    </row>
    <row r="32" spans="1:29" ht="13.5" customHeight="1" thickBot="1">
      <c r="A32" s="165"/>
      <c r="B32" s="305"/>
      <c r="C32" s="307"/>
      <c r="D32" s="166"/>
      <c r="E32" s="239">
        <v>1</v>
      </c>
      <c r="F32" s="316" t="str">
        <f>IFERROR(VLOOKUP(E32,пр.взв!$B$7:$H$22,2,0),"")</f>
        <v>Кибишев Залим Арсенович</v>
      </c>
      <c r="G32" s="317"/>
      <c r="H32" s="318"/>
      <c r="I32" s="169"/>
      <c r="J32" s="305"/>
      <c r="K32" s="306"/>
      <c r="L32" s="306"/>
      <c r="M32" s="307"/>
      <c r="N32" s="170"/>
      <c r="O32" s="170"/>
      <c r="P32" s="168"/>
      <c r="Q32" s="239">
        <v>2</v>
      </c>
      <c r="R32" s="288" t="str">
        <f>IFERROR(VLOOKUP(Q32,пр.взв!$B$7:$H$22,2,0),"")</f>
        <v>Мишанин Константин Олегович</v>
      </c>
      <c r="S32" s="170"/>
      <c r="T32" s="170"/>
      <c r="U32" s="170"/>
      <c r="V32" s="121"/>
      <c r="W32" s="110"/>
      <c r="X32" s="112"/>
      <c r="Y32" s="118">
        <f>IF(O18=""," ",IF(O18=U15,U17,IF(O18=U17,U15,IF(O18=U19,U21,U19))))</f>
        <v>12</v>
      </c>
      <c r="Z32" s="117">
        <f>IF(AND(U15=O18,U19=Q20),U21,IF(AND(U15=O18,U21=Q20),U19,IF(AND(U17=O18,U19=Q20),U21,IF(AND(U17=O18,U21=Q20),U19,IF(U15=Q16,U17,U15)))))</f>
        <v>16</v>
      </c>
      <c r="AA32" s="117"/>
      <c r="AB32" s="112"/>
    </row>
    <row r="33" spans="1:28" ht="13.5" customHeight="1" thickBot="1">
      <c r="A33" s="264">
        <f>Y27</f>
        <v>7</v>
      </c>
      <c r="B33" s="293" t="str">
        <f>IFERROR(VLOOKUP(A33,пр.взв!$B$7:$H$22,2,0),"")</f>
        <v>Шалимов Олег Валентинович</v>
      </c>
      <c r="C33" s="163"/>
      <c r="D33" s="166"/>
      <c r="E33" s="171"/>
      <c r="F33" s="319"/>
      <c r="G33" s="320"/>
      <c r="H33" s="321"/>
      <c r="I33" s="267">
        <f>Y28</f>
        <v>8</v>
      </c>
      <c r="J33" s="293" t="str">
        <f>IFERROR(VLOOKUP(I33,пр.взв!$B$7:$H$22,2,0),"")</f>
        <v>Тайгибов Магомед Магомедрасулович</v>
      </c>
      <c r="K33" s="293"/>
      <c r="L33" s="293"/>
      <c r="M33" s="173"/>
      <c r="N33" s="170"/>
      <c r="O33" s="170"/>
      <c r="P33" s="168"/>
      <c r="Q33" s="163"/>
      <c r="R33" s="289"/>
      <c r="S33" s="170"/>
      <c r="T33" s="170"/>
      <c r="U33" s="170"/>
      <c r="V33" s="121"/>
      <c r="W33" s="110"/>
      <c r="X33" s="112"/>
      <c r="Y33" s="116">
        <f>IF(I14="","",IF(G10=I14,G18,G10))</f>
        <v>1</v>
      </c>
      <c r="Z33" s="112"/>
      <c r="AA33" s="112"/>
      <c r="AB33" s="112"/>
    </row>
    <row r="34" spans="1:28" ht="13.5" customHeight="1" thickBot="1">
      <c r="A34" s="265"/>
      <c r="B34" s="293"/>
      <c r="C34" s="150"/>
      <c r="D34" s="166"/>
      <c r="E34" s="125"/>
      <c r="F34" s="125"/>
      <c r="G34" s="125"/>
      <c r="H34" s="125"/>
      <c r="I34" s="172"/>
      <c r="J34" s="293"/>
      <c r="K34" s="293"/>
      <c r="L34" s="293"/>
      <c r="M34" s="125"/>
      <c r="N34" s="125"/>
      <c r="O34" s="125"/>
      <c r="P34" s="168"/>
      <c r="Q34" s="125"/>
      <c r="R34" s="150"/>
      <c r="S34" s="150"/>
      <c r="T34" s="150"/>
      <c r="U34" s="121"/>
      <c r="V34" s="121"/>
      <c r="W34" s="110"/>
      <c r="X34" s="112"/>
      <c r="Y34" s="116">
        <f>IF(M14="","",IF(O10=M14,O18,O10))</f>
        <v>2</v>
      </c>
      <c r="Z34" s="112"/>
      <c r="AA34" s="112"/>
      <c r="AB34" s="112"/>
    </row>
    <row r="35" spans="1:28">
      <c r="A35" s="121"/>
      <c r="B35" s="150"/>
      <c r="C35" s="167">
        <v>1</v>
      </c>
      <c r="D35" s="314" t="str">
        <f>IFERROR(VLOOKUP(C35,пр.взв!$B$7:$H$22,2,0),"")</f>
        <v>Кибишев Залим Арсенович</v>
      </c>
      <c r="E35" s="125"/>
      <c r="F35" s="125"/>
      <c r="G35" s="125"/>
      <c r="H35" s="125"/>
      <c r="I35" s="129"/>
      <c r="J35" s="156"/>
      <c r="K35" s="125"/>
      <c r="L35" s="125"/>
      <c r="M35" s="167">
        <v>2</v>
      </c>
      <c r="N35" s="302" t="str">
        <f>IFERROR(VLOOKUP(M35,пр.взв!$B$7:$H$22,2,0),"")</f>
        <v>Мишанин Константин Олегович</v>
      </c>
      <c r="O35" s="309"/>
      <c r="P35" s="310"/>
      <c r="Q35" s="125"/>
      <c r="R35" s="150"/>
      <c r="S35" s="150"/>
      <c r="T35" s="150"/>
      <c r="U35" s="121"/>
      <c r="V35" s="121"/>
      <c r="W35" s="110"/>
      <c r="X35" s="112"/>
      <c r="Y35" s="112"/>
      <c r="Z35" s="112"/>
      <c r="AA35" s="112"/>
      <c r="AB35" s="112"/>
    </row>
    <row r="36" spans="1:28" ht="13.5" thickBot="1">
      <c r="A36" s="110"/>
      <c r="B36" s="150"/>
      <c r="C36" s="178"/>
      <c r="D36" s="315"/>
      <c r="E36" s="125"/>
      <c r="F36" s="125"/>
      <c r="G36" s="125"/>
      <c r="H36" s="125"/>
      <c r="I36" s="125"/>
      <c r="J36" s="156"/>
      <c r="K36" s="125"/>
      <c r="L36" s="125"/>
      <c r="M36" s="125"/>
      <c r="N36" s="311"/>
      <c r="O36" s="312"/>
      <c r="P36" s="313"/>
      <c r="Q36" s="125"/>
      <c r="R36" s="150"/>
      <c r="S36" s="150"/>
      <c r="T36" s="150"/>
      <c r="U36" s="121"/>
      <c r="V36" s="121"/>
      <c r="W36" s="110"/>
      <c r="X36" s="112"/>
      <c r="Y36" s="112"/>
      <c r="Z36" s="112"/>
      <c r="AA36" s="112"/>
      <c r="AB36" s="112"/>
    </row>
    <row r="37" spans="1:28">
      <c r="A37" s="248"/>
      <c r="B37" s="249"/>
      <c r="C37" s="249"/>
      <c r="D37" s="250"/>
      <c r="E37" s="251"/>
      <c r="F37" s="251"/>
      <c r="G37" s="251"/>
      <c r="H37" s="252"/>
      <c r="I37" s="252"/>
      <c r="J37" s="252"/>
      <c r="K37" s="251"/>
      <c r="L37" s="251"/>
      <c r="M37" s="251"/>
      <c r="N37" s="251"/>
      <c r="O37" s="251"/>
      <c r="P37" s="251"/>
      <c r="Q37" s="251"/>
      <c r="R37" s="249"/>
      <c r="S37" s="249"/>
      <c r="T37" s="249"/>
      <c r="U37" s="249"/>
      <c r="V37" s="249"/>
      <c r="W37" s="110"/>
      <c r="X37" s="112"/>
      <c r="Y37" s="112"/>
      <c r="Z37" s="112"/>
      <c r="AA37" s="112"/>
      <c r="AB37" s="112"/>
    </row>
    <row r="38" spans="1:28" ht="16.5">
      <c r="A38" s="308" t="str">
        <f>[1]реквизиты!$A$6</f>
        <v>Гл. судья, судья ВК</v>
      </c>
      <c r="B38" s="308"/>
      <c r="C38" s="308"/>
      <c r="D38" s="110"/>
      <c r="E38" s="253"/>
      <c r="F38" s="253"/>
      <c r="G38" s="254"/>
      <c r="H38" s="110"/>
      <c r="I38" s="110"/>
      <c r="J38" s="255" t="str">
        <f>[1]реквизиты!$G$6</f>
        <v>А.В.Лоптунов</v>
      </c>
      <c r="K38" s="86"/>
      <c r="L38" s="4"/>
      <c r="M38" s="4"/>
      <c r="N38" s="256" t="str">
        <f>[1]реквизиты!$G$7</f>
        <v>/Кандалакша/</v>
      </c>
      <c r="O38" s="257"/>
      <c r="P38" s="143"/>
      <c r="Q38" s="143"/>
      <c r="R38" s="121"/>
      <c r="S38" s="121"/>
      <c r="T38" s="121"/>
      <c r="U38" s="121"/>
      <c r="V38" s="121"/>
      <c r="W38" s="110"/>
      <c r="X38" s="112"/>
      <c r="Y38" s="112"/>
      <c r="Z38" s="112"/>
      <c r="AA38" s="112"/>
      <c r="AB38" s="112"/>
    </row>
    <row r="39" spans="1:28">
      <c r="A39" s="145"/>
      <c r="B39" s="145"/>
      <c r="C39" s="145"/>
      <c r="D39" s="121"/>
      <c r="E39" s="143"/>
      <c r="F39" s="143"/>
      <c r="G39" s="143"/>
      <c r="H39" s="143"/>
      <c r="I39" s="143"/>
      <c r="K39" s="86"/>
      <c r="L39" s="4"/>
      <c r="M39" s="4"/>
      <c r="N39" s="208"/>
      <c r="O39" s="127"/>
      <c r="P39" s="127"/>
      <c r="Q39" s="127"/>
      <c r="R39" s="110"/>
      <c r="S39" s="110"/>
      <c r="T39" s="110"/>
      <c r="U39" s="110"/>
      <c r="V39" s="110"/>
      <c r="W39" s="110"/>
      <c r="X39" s="112"/>
      <c r="Y39" s="112"/>
      <c r="Z39" s="112"/>
      <c r="AA39" s="112"/>
      <c r="AB39" s="112"/>
    </row>
    <row r="40" spans="1:28" ht="16.5">
      <c r="A40" s="258" t="str">
        <f>[1]реквизиты!$A$8</f>
        <v>Гл. секретарь, судья ВК</v>
      </c>
      <c r="B40" s="175"/>
      <c r="C40" s="176"/>
      <c r="D40" s="259"/>
      <c r="E40" s="260"/>
      <c r="F40" s="254"/>
      <c r="G40" s="254"/>
      <c r="H40" s="121"/>
      <c r="I40" s="121"/>
      <c r="J40" s="255" t="str">
        <f>[1]реквизиты!$G$8</f>
        <v>А.С.Тимошин</v>
      </c>
      <c r="K40" s="86"/>
      <c r="L40" s="209"/>
      <c r="M40" s="209"/>
      <c r="N40" s="256" t="str">
        <f>[1]реквизиты!$G$9</f>
        <v>/Рыбинск/</v>
      </c>
      <c r="O40" s="143"/>
      <c r="P40" s="143"/>
      <c r="Q40" s="110"/>
      <c r="R40" s="110"/>
      <c r="S40" s="110"/>
      <c r="T40" s="110"/>
      <c r="U40" s="110"/>
      <c r="V40" s="110"/>
      <c r="W40" s="110"/>
      <c r="X40" s="112"/>
      <c r="Y40" s="112"/>
      <c r="Z40" s="112"/>
      <c r="AA40" s="112"/>
      <c r="AB40" s="112"/>
    </row>
    <row r="41" spans="1:28" ht="15">
      <c r="A41" s="110"/>
      <c r="B41" s="110"/>
      <c r="C41" s="110"/>
      <c r="D41" s="174"/>
      <c r="E41" s="174"/>
      <c r="F41" s="174"/>
      <c r="G41" s="259"/>
      <c r="H41" s="259"/>
      <c r="I41" s="121"/>
      <c r="Q41" s="121"/>
      <c r="R41" s="242"/>
      <c r="S41" s="127"/>
      <c r="T41" s="127"/>
      <c r="U41" s="110"/>
      <c r="V41" s="110"/>
      <c r="W41" s="110"/>
      <c r="X41" s="112"/>
    </row>
    <row r="42" spans="1:28" ht="15">
      <c r="D42" s="63"/>
      <c r="E42" s="63"/>
      <c r="F42" s="64"/>
      <c r="G42" s="208"/>
      <c r="H42" s="208"/>
      <c r="I42" s="4"/>
      <c r="J42" s="4"/>
      <c r="K42" s="4"/>
      <c r="L42" s="4"/>
      <c r="M42" s="59"/>
      <c r="N42" s="59"/>
      <c r="O42" s="59"/>
      <c r="P42" s="59"/>
      <c r="Q42" s="208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">
      <c r="B44" s="50" t="s">
        <v>92</v>
      </c>
      <c r="C44" s="49"/>
      <c r="D44" s="63"/>
      <c r="E44" s="63"/>
      <c r="F44" s="63"/>
      <c r="G44" s="86"/>
      <c r="H44" s="86"/>
      <c r="M44" s="261" t="s">
        <v>92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0"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  <mergeCell ref="B13:B14"/>
    <mergeCell ref="U19:U20"/>
    <mergeCell ref="U21:U22"/>
    <mergeCell ref="R19:R20"/>
    <mergeCell ref="R21:R22"/>
    <mergeCell ref="T21:T22"/>
    <mergeCell ref="T19:T20"/>
    <mergeCell ref="S21:S22"/>
    <mergeCell ref="S19:S2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D19:D20"/>
    <mergeCell ref="D21:D22"/>
    <mergeCell ref="A9:A10"/>
    <mergeCell ref="B9:B10"/>
    <mergeCell ref="C9:C10"/>
    <mergeCell ref="T7:T8"/>
    <mergeCell ref="I8:M9"/>
    <mergeCell ref="R9:R10"/>
    <mergeCell ref="T9:T10"/>
    <mergeCell ref="S9:S10"/>
    <mergeCell ref="T17:T18"/>
    <mergeCell ref="D15:D16"/>
    <mergeCell ref="D17:D18"/>
    <mergeCell ref="T13:T14"/>
    <mergeCell ref="R17:R18"/>
    <mergeCell ref="S17:S18"/>
    <mergeCell ref="S15:S16"/>
    <mergeCell ref="F14:G14"/>
    <mergeCell ref="D13:D14"/>
    <mergeCell ref="S13:S14"/>
    <mergeCell ref="R13:R14"/>
    <mergeCell ref="T15:T16"/>
    <mergeCell ref="B25:C26"/>
    <mergeCell ref="B31:C32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A6:B6"/>
    <mergeCell ref="B7:B8"/>
    <mergeCell ref="C7:C8"/>
    <mergeCell ref="A7:A8"/>
    <mergeCell ref="A38:C38"/>
    <mergeCell ref="N35:P36"/>
    <mergeCell ref="D35:D36"/>
    <mergeCell ref="B27:B28"/>
    <mergeCell ref="B33:B34"/>
    <mergeCell ref="F32:H33"/>
    <mergeCell ref="N29:P29"/>
    <mergeCell ref="R32:R33"/>
    <mergeCell ref="J12:L12"/>
    <mergeCell ref="H23:N23"/>
    <mergeCell ref="J27:L28"/>
    <mergeCell ref="J33:L34"/>
    <mergeCell ref="R15:R16"/>
    <mergeCell ref="I20:M21"/>
    <mergeCell ref="J25:M26"/>
    <mergeCell ref="J31:M32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scale="32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T62"/>
  <sheetViews>
    <sheetView workbookViewId="0">
      <selection activeCell="N67" sqref="N67"/>
    </sheetView>
  </sheetViews>
  <sheetFormatPr defaultRowHeight="12.75"/>
  <cols>
    <col min="1" max="2" width="4.140625" customWidth="1"/>
    <col min="3" max="3" width="22.7109375" customWidth="1"/>
    <col min="5" max="5" width="8.28515625" customWidth="1"/>
    <col min="6" max="6" width="10.140625" customWidth="1"/>
    <col min="7" max="7" width="19" customWidth="1"/>
    <col min="8" max="8" width="5.140625" customWidth="1"/>
    <col min="9" max="9" width="5.85546875" customWidth="1"/>
    <col min="11" max="11" width="4.42578125" customWidth="1"/>
    <col min="12" max="12" width="4.5703125" customWidth="1"/>
    <col min="13" max="13" width="22.7109375" customWidth="1"/>
    <col min="15" max="15" width="7.7109375" customWidth="1"/>
    <col min="16" max="16" width="11" customWidth="1"/>
    <col min="17" max="17" width="20" customWidth="1"/>
    <col min="18" max="18" width="5" customWidth="1"/>
    <col min="19" max="19" width="5.42578125" customWidth="1"/>
  </cols>
  <sheetData>
    <row r="1" spans="1:20" ht="15.75" customHeight="1">
      <c r="B1" s="436" t="s">
        <v>37</v>
      </c>
      <c r="C1" s="436"/>
      <c r="D1" s="436"/>
      <c r="E1" s="436"/>
      <c r="F1" s="436"/>
      <c r="G1" s="436"/>
      <c r="H1" s="436"/>
      <c r="I1" s="436"/>
      <c r="J1" s="436"/>
      <c r="L1" s="436" t="s">
        <v>37</v>
      </c>
      <c r="M1" s="436"/>
      <c r="N1" s="436"/>
      <c r="O1" s="436"/>
      <c r="P1" s="436"/>
      <c r="Q1" s="436"/>
      <c r="R1" s="436"/>
      <c r="S1" s="436"/>
      <c r="T1" s="436"/>
    </row>
    <row r="2" spans="1:20" ht="15.75" customHeight="1">
      <c r="B2" s="437" t="str">
        <f>пр.взв!D4</f>
        <v>В.к.62  кг.</v>
      </c>
      <c r="C2" s="438"/>
      <c r="D2" s="438"/>
      <c r="E2" s="438"/>
      <c r="F2" s="438"/>
      <c r="G2" s="438"/>
      <c r="H2" s="438"/>
      <c r="I2" s="438"/>
      <c r="J2" s="438"/>
      <c r="L2" s="437" t="str">
        <f>B2</f>
        <v>В.к.62  кг.</v>
      </c>
      <c r="M2" s="438"/>
      <c r="N2" s="438"/>
      <c r="O2" s="438"/>
      <c r="P2" s="438"/>
      <c r="Q2" s="438"/>
      <c r="R2" s="438"/>
      <c r="S2" s="438"/>
      <c r="T2" s="438"/>
    </row>
    <row r="4" spans="1:20" ht="16.5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400" t="s">
        <v>39</v>
      </c>
      <c r="B5" s="434" t="s">
        <v>4</v>
      </c>
      <c r="C5" s="394" t="s">
        <v>5</v>
      </c>
      <c r="D5" s="391" t="s">
        <v>12</v>
      </c>
      <c r="E5" s="422" t="s">
        <v>13</v>
      </c>
      <c r="F5" s="423"/>
      <c r="G5" s="394" t="s">
        <v>14</v>
      </c>
      <c r="H5" s="396" t="s">
        <v>40</v>
      </c>
      <c r="I5" s="398" t="s">
        <v>15</v>
      </c>
      <c r="J5" s="385" t="s">
        <v>16</v>
      </c>
      <c r="K5" s="400" t="s">
        <v>39</v>
      </c>
      <c r="L5" s="434" t="s">
        <v>4</v>
      </c>
      <c r="M5" s="394" t="s">
        <v>5</v>
      </c>
      <c r="N5" s="391" t="s">
        <v>12</v>
      </c>
      <c r="O5" s="422" t="s">
        <v>13</v>
      </c>
      <c r="P5" s="423"/>
      <c r="Q5" s="394" t="s">
        <v>14</v>
      </c>
      <c r="R5" s="396" t="s">
        <v>40</v>
      </c>
      <c r="S5" s="398" t="s">
        <v>15</v>
      </c>
      <c r="T5" s="385" t="s">
        <v>16</v>
      </c>
    </row>
    <row r="6" spans="1:20" ht="13.5" customHeight="1" thickBot="1">
      <c r="A6" s="401"/>
      <c r="B6" s="435" t="s">
        <v>33</v>
      </c>
      <c r="C6" s="395"/>
      <c r="D6" s="393"/>
      <c r="E6" s="424"/>
      <c r="F6" s="425"/>
      <c r="G6" s="395"/>
      <c r="H6" s="397"/>
      <c r="I6" s="399"/>
      <c r="J6" s="386" t="s">
        <v>34</v>
      </c>
      <c r="K6" s="401"/>
      <c r="L6" s="435" t="s">
        <v>33</v>
      </c>
      <c r="M6" s="395"/>
      <c r="N6" s="393"/>
      <c r="O6" s="424"/>
      <c r="P6" s="425"/>
      <c r="Q6" s="395"/>
      <c r="R6" s="397"/>
      <c r="S6" s="399"/>
      <c r="T6" s="386" t="s">
        <v>34</v>
      </c>
    </row>
    <row r="7" spans="1:20" ht="12.75" customHeight="1">
      <c r="A7" s="419">
        <v>1</v>
      </c>
      <c r="B7" s="428">
        <v>1</v>
      </c>
      <c r="C7" s="382" t="str">
        <f>VLOOKUP(B7,пр.взв!B$7:E$22,2,FALSE)</f>
        <v>Кибишев Залим Арсенович</v>
      </c>
      <c r="D7" s="383" t="str">
        <f>VLOOKUP(B7,пр.взв!B$7:E$22,3,FALSE)</f>
        <v>19.06.94, мс</v>
      </c>
      <c r="E7" s="384" t="str">
        <f>VLOOKUP(B7,пр.взв!B$7:E$22,4,FALSE)</f>
        <v>СКФО</v>
      </c>
      <c r="F7" s="384" t="str">
        <f>VLOOKUP(B7,пр.взв!B$7:F$22,5,FALSE)</f>
        <v>Ставропольский, Ставрополь</v>
      </c>
      <c r="G7" s="361"/>
      <c r="H7" s="363"/>
      <c r="I7" s="364"/>
      <c r="J7" s="366"/>
      <c r="K7" s="419">
        <v>5</v>
      </c>
      <c r="L7" s="428">
        <v>2</v>
      </c>
      <c r="M7" s="431" t="str">
        <f>VLOOKUP(L7,пр.взв!B$7:F$22,2,FALSE)</f>
        <v>Мишанин Константин Олегович</v>
      </c>
      <c r="N7" s="384" t="str">
        <f>VLOOKUP(L7,пр.взв!B$7:F$22,3,FALSE)</f>
        <v>16.06.89, кмс</v>
      </c>
      <c r="O7" s="384" t="str">
        <f>VLOOKUP(L7,пр.взв!B$7:F$22,4,FALSE)</f>
        <v>ЦФО</v>
      </c>
      <c r="P7" s="384" t="str">
        <f>VLOOKUP(L7,пр.взв!B$7:F$22,5,FALSE)</f>
        <v>Рязанская, Рязань "Юпитер"</v>
      </c>
      <c r="Q7" s="361"/>
      <c r="R7" s="363"/>
      <c r="S7" s="364"/>
      <c r="T7" s="366"/>
    </row>
    <row r="8" spans="1:20" ht="12.75" customHeight="1">
      <c r="A8" s="420"/>
      <c r="B8" s="418"/>
      <c r="C8" s="433"/>
      <c r="D8" s="384"/>
      <c r="E8" s="362"/>
      <c r="F8" s="362"/>
      <c r="G8" s="362"/>
      <c r="H8" s="362"/>
      <c r="I8" s="365"/>
      <c r="J8" s="278"/>
      <c r="K8" s="420"/>
      <c r="L8" s="418"/>
      <c r="M8" s="432"/>
      <c r="N8" s="362"/>
      <c r="O8" s="362"/>
      <c r="P8" s="362"/>
      <c r="Q8" s="362"/>
      <c r="R8" s="362"/>
      <c r="S8" s="365"/>
      <c r="T8" s="278"/>
    </row>
    <row r="9" spans="1:20" ht="12.75" customHeight="1">
      <c r="A9" s="420"/>
      <c r="B9" s="418">
        <v>9</v>
      </c>
      <c r="C9" s="369" t="str">
        <f>VLOOKUP(B9,пр.взв!B$7:E$22,2,FALSE)</f>
        <v>Загиров Рагим Имирханович</v>
      </c>
      <c r="D9" s="371" t="str">
        <f>VLOOKUP(B9,пр.взв!B$7:E$22,3,FALSE)</f>
        <v>28.01.90, кмс</v>
      </c>
      <c r="E9" s="371" t="str">
        <f>VLOOKUP(B9,пр.взв!B$7:E$22,4,FALSE)</f>
        <v>СП</v>
      </c>
      <c r="F9" s="371" t="str">
        <f>VLOOKUP(B9,пр.взв!B$7:F$22,5,FALSE)</f>
        <v>Санкт-Петербург</v>
      </c>
      <c r="G9" s="373"/>
      <c r="H9" s="373"/>
      <c r="I9" s="279"/>
      <c r="J9" s="279"/>
      <c r="K9" s="420"/>
      <c r="L9" s="418">
        <v>10</v>
      </c>
      <c r="M9" s="369" t="str">
        <f>VLOOKUP(L9,пр.взв!B$7:F$22,2,FALSE)</f>
        <v>Шевцов Иван Николаевич</v>
      </c>
      <c r="N9" s="371" t="str">
        <f>VLOOKUP(L9,пр.взв!B$7:F$22,3,FALSE)</f>
        <v>09.07.00, кмс</v>
      </c>
      <c r="O9" s="371" t="str">
        <f>VLOOKUP(L9,пр.взв!B$7:F$22,4,FALSE)</f>
        <v>СЗФО</v>
      </c>
      <c r="P9" s="371" t="str">
        <f>VLOOKUP(L9,пр.взв!B$7:F$22,5,FALSE)</f>
        <v>Мурманская, Мурманск</v>
      </c>
      <c r="Q9" s="373"/>
      <c r="R9" s="373"/>
      <c r="S9" s="279"/>
      <c r="T9" s="279"/>
    </row>
    <row r="10" spans="1:20" ht="13.5" customHeight="1" thickBot="1">
      <c r="A10" s="421"/>
      <c r="B10" s="415"/>
      <c r="C10" s="370"/>
      <c r="D10" s="372"/>
      <c r="E10" s="372"/>
      <c r="F10" s="372"/>
      <c r="G10" s="374"/>
      <c r="H10" s="374"/>
      <c r="I10" s="375"/>
      <c r="J10" s="375"/>
      <c r="K10" s="421"/>
      <c r="L10" s="415"/>
      <c r="M10" s="370"/>
      <c r="N10" s="372"/>
      <c r="O10" s="372"/>
      <c r="P10" s="372"/>
      <c r="Q10" s="374"/>
      <c r="R10" s="374"/>
      <c r="S10" s="375"/>
      <c r="T10" s="375"/>
    </row>
    <row r="11" spans="1:20" ht="12.75" customHeight="1">
      <c r="A11" s="419">
        <v>2</v>
      </c>
      <c r="B11" s="429">
        <v>5</v>
      </c>
      <c r="C11" s="381" t="str">
        <f>VLOOKUP(B11,пр.взв!B$7:E$22,2,FALSE)</f>
        <v>Гашимов Субхан Ализахир оглы</v>
      </c>
      <c r="D11" s="383" t="str">
        <f>VLOOKUP(B11,пр.взв!B$7:E$22,3,FALSE)</f>
        <v>20.08.99, кмс</v>
      </c>
      <c r="E11" s="383" t="str">
        <f>VLOOKUP(B11,пр.взв!B$7:E$22,4,FALSE)</f>
        <v>СЗФО</v>
      </c>
      <c r="F11" s="383" t="str">
        <f>VLOOKUP(B11,пр.взв!B$7:F$22,5,FALSE)</f>
        <v>Р.Карелия, Петрозаводск</v>
      </c>
      <c r="G11" s="388"/>
      <c r="H11" s="389"/>
      <c r="I11" s="390"/>
      <c r="J11" s="416"/>
      <c r="K11" s="419">
        <v>6</v>
      </c>
      <c r="L11" s="428">
        <v>6</v>
      </c>
      <c r="M11" s="381" t="str">
        <f>VLOOKUP(L11,пр.взв!B$7:F$22,2,FALSE)</f>
        <v>Магомедов Расул Ахметович</v>
      </c>
      <c r="N11" s="383" t="str">
        <f>VLOOKUP(L11,пр.взв!B$7:F$22,3,FALSE)</f>
        <v>06.04.94, кмс</v>
      </c>
      <c r="O11" s="383" t="str">
        <f>VLOOKUP(L11,пр.взв!B$7:F$22,4,FALSE)</f>
        <v>СЗФО</v>
      </c>
      <c r="P11" s="383" t="str">
        <f>VLOOKUP(L11,пр.взв!B$7:F$22,5,FALSE)</f>
        <v>Р.Карелия, Петрозаводск</v>
      </c>
      <c r="Q11" s="388"/>
      <c r="R11" s="389"/>
      <c r="S11" s="390"/>
      <c r="T11" s="416"/>
    </row>
    <row r="12" spans="1:20" ht="12.75" customHeight="1">
      <c r="A12" s="420"/>
      <c r="B12" s="418"/>
      <c r="C12" s="382"/>
      <c r="D12" s="384"/>
      <c r="E12" s="384"/>
      <c r="F12" s="384"/>
      <c r="G12" s="362"/>
      <c r="H12" s="362"/>
      <c r="I12" s="365"/>
      <c r="J12" s="278"/>
      <c r="K12" s="420"/>
      <c r="L12" s="418"/>
      <c r="M12" s="382"/>
      <c r="N12" s="384"/>
      <c r="O12" s="384"/>
      <c r="P12" s="384"/>
      <c r="Q12" s="362"/>
      <c r="R12" s="362"/>
      <c r="S12" s="365"/>
      <c r="T12" s="278"/>
    </row>
    <row r="13" spans="1:20" ht="12.75" customHeight="1">
      <c r="A13" s="420"/>
      <c r="B13" s="418">
        <v>13</v>
      </c>
      <c r="C13" s="369" t="e">
        <f>VLOOKUP(B13,пр.взв!B$7:E$22,2,FALSE)</f>
        <v>#N/A</v>
      </c>
      <c r="D13" s="371" t="e">
        <f>VLOOKUP(B13,пр.взв!B$7:E$22,3,FALSE)</f>
        <v>#N/A</v>
      </c>
      <c r="E13" s="371" t="e">
        <f>VLOOKUP(B13,пр.взв!B$7:E$22,4,FALSE)</f>
        <v>#N/A</v>
      </c>
      <c r="F13" s="371" t="e">
        <f>VLOOKUP(B13,пр.взв!B$7:F$22,5,FALSE)</f>
        <v>#N/A</v>
      </c>
      <c r="G13" s="373"/>
      <c r="H13" s="373"/>
      <c r="I13" s="279"/>
      <c r="J13" s="279"/>
      <c r="K13" s="420"/>
      <c r="L13" s="418">
        <v>14</v>
      </c>
      <c r="M13" s="369" t="e">
        <f>VLOOKUP(L13,пр.взв!B$7:F$22,2,FALSE)</f>
        <v>#N/A</v>
      </c>
      <c r="N13" s="371" t="e">
        <f>VLOOKUP(L13,пр.взв!B$7:F$22,3,FALSE)</f>
        <v>#N/A</v>
      </c>
      <c r="O13" s="371" t="e">
        <f>VLOOKUP(L13,пр.взв!B$7:F$22,4,FALSE)</f>
        <v>#N/A</v>
      </c>
      <c r="P13" s="371" t="e">
        <f>VLOOKUP(L13,пр.взв!B$7:F$22,5,FALSE)</f>
        <v>#N/A</v>
      </c>
      <c r="Q13" s="373"/>
      <c r="R13" s="373"/>
      <c r="S13" s="279"/>
      <c r="T13" s="279"/>
    </row>
    <row r="14" spans="1:20" ht="13.5" customHeight="1" thickBot="1">
      <c r="A14" s="421"/>
      <c r="B14" s="415"/>
      <c r="C14" s="370"/>
      <c r="D14" s="372"/>
      <c r="E14" s="372"/>
      <c r="F14" s="372"/>
      <c r="G14" s="374"/>
      <c r="H14" s="374"/>
      <c r="I14" s="375"/>
      <c r="J14" s="375"/>
      <c r="K14" s="421"/>
      <c r="L14" s="430"/>
      <c r="M14" s="370"/>
      <c r="N14" s="372"/>
      <c r="O14" s="372"/>
      <c r="P14" s="372"/>
      <c r="Q14" s="374"/>
      <c r="R14" s="374"/>
      <c r="S14" s="375"/>
      <c r="T14" s="375"/>
    </row>
    <row r="15" spans="1:20" ht="12.75" customHeight="1">
      <c r="A15" s="419">
        <v>3</v>
      </c>
      <c r="B15" s="429">
        <v>3</v>
      </c>
      <c r="C15" s="381" t="str">
        <f>VLOOKUP(B15,пр.взв!B$7:E$22,2,FALSE)</f>
        <v>Расулов Шамиль Садрутдинович</v>
      </c>
      <c r="D15" s="383" t="str">
        <f>VLOOKUP(B15,пр.взв!B$7:E$22,3,FALSE)</f>
        <v>09.04.93, мс</v>
      </c>
      <c r="E15" s="383" t="str">
        <f>VLOOKUP(B15,пр.взв!B$7:E$22,4,FALSE)</f>
        <v>СП</v>
      </c>
      <c r="F15" s="383" t="str">
        <f>VLOOKUP(B15,пр.взв!B$7:F$22,5,FALSE)</f>
        <v>Санкт-Петербург</v>
      </c>
      <c r="G15" s="361"/>
      <c r="H15" s="363"/>
      <c r="I15" s="364"/>
      <c r="J15" s="366"/>
      <c r="K15" s="419">
        <v>7</v>
      </c>
      <c r="L15" s="429">
        <v>4</v>
      </c>
      <c r="M15" s="381" t="str">
        <f>VLOOKUP(L15,пр.взв!B$7:F$22,2,FALSE)</f>
        <v>Бычков Александр Юрьевич</v>
      </c>
      <c r="N15" s="383" t="str">
        <f>VLOOKUP(L15,пр.взв!B$7:F$22,3,FALSE)</f>
        <v>11.01.87, кмс</v>
      </c>
      <c r="O15" s="383" t="str">
        <f>VLOOKUP(L15,пр.взв!B$7:F$22,4,FALSE)</f>
        <v>СЗФО</v>
      </c>
      <c r="P15" s="383" t="str">
        <f>VLOOKUP(L15,пр.взв!B$7:F$22,5,FALSE)</f>
        <v>Р.Карелия, Петрозаводск</v>
      </c>
      <c r="Q15" s="361"/>
      <c r="R15" s="363"/>
      <c r="S15" s="364"/>
      <c r="T15" s="366"/>
    </row>
    <row r="16" spans="1:20" ht="12.75" customHeight="1">
      <c r="A16" s="420"/>
      <c r="B16" s="418"/>
      <c r="C16" s="382"/>
      <c r="D16" s="384"/>
      <c r="E16" s="384"/>
      <c r="F16" s="384"/>
      <c r="G16" s="362"/>
      <c r="H16" s="362"/>
      <c r="I16" s="365"/>
      <c r="J16" s="278"/>
      <c r="K16" s="420"/>
      <c r="L16" s="418"/>
      <c r="M16" s="382"/>
      <c r="N16" s="384"/>
      <c r="O16" s="384"/>
      <c r="P16" s="384"/>
      <c r="Q16" s="362"/>
      <c r="R16" s="362"/>
      <c r="S16" s="365"/>
      <c r="T16" s="278"/>
    </row>
    <row r="17" spans="1:20" ht="12.75" customHeight="1">
      <c r="A17" s="420"/>
      <c r="B17" s="418">
        <v>11</v>
      </c>
      <c r="C17" s="369" t="str">
        <f>VLOOKUP(B17,пр.взв!B$7:E$22,2,FALSE)</f>
        <v>Гаджиев Али Джабраилович</v>
      </c>
      <c r="D17" s="371" t="str">
        <f>VLOOKUP(B17,пр.взв!B$7:E$22,3,FALSE)</f>
        <v>28.11.97, кмс</v>
      </c>
      <c r="E17" s="371" t="str">
        <f>VLOOKUP(B17,пр.взв!B$7:E$22,4,FALSE)</f>
        <v>СП</v>
      </c>
      <c r="F17" s="371" t="str">
        <f>VLOOKUP(B17,пр.взв!B$7:F$22,5,FALSE)</f>
        <v>Санкт-Петербург</v>
      </c>
      <c r="G17" s="373"/>
      <c r="H17" s="373"/>
      <c r="I17" s="279"/>
      <c r="J17" s="279"/>
      <c r="K17" s="420"/>
      <c r="L17" s="418">
        <v>12</v>
      </c>
      <c r="M17" s="369" t="str">
        <f>VLOOKUP(L17,пр.взв!B$7:F$22,2,FALSE)</f>
        <v>Бурлаков Анатолий Николаевич</v>
      </c>
      <c r="N17" s="371" t="str">
        <f>VLOOKUP(L17,пр.взв!B$7:F$22,3,FALSE)</f>
        <v>26.09.97, кмс</v>
      </c>
      <c r="O17" s="371" t="str">
        <f>VLOOKUP(L17,пр.взв!B$7:F$22,4,FALSE)</f>
        <v>СП</v>
      </c>
      <c r="P17" s="371" t="str">
        <f>VLOOKUP(L17,пр.взв!B$7:F$22,5,FALSE)</f>
        <v>Санкт-Петербург</v>
      </c>
      <c r="Q17" s="373"/>
      <c r="R17" s="373"/>
      <c r="S17" s="279"/>
      <c r="T17" s="279"/>
    </row>
    <row r="18" spans="1:20" ht="13.5" customHeight="1" thickBot="1">
      <c r="A18" s="421"/>
      <c r="B18" s="415"/>
      <c r="C18" s="370"/>
      <c r="D18" s="372"/>
      <c r="E18" s="372"/>
      <c r="F18" s="372"/>
      <c r="G18" s="374"/>
      <c r="H18" s="374"/>
      <c r="I18" s="375"/>
      <c r="J18" s="375"/>
      <c r="K18" s="421"/>
      <c r="L18" s="415"/>
      <c r="M18" s="370"/>
      <c r="N18" s="372"/>
      <c r="O18" s="372"/>
      <c r="P18" s="372"/>
      <c r="Q18" s="374"/>
      <c r="R18" s="374"/>
      <c r="S18" s="375"/>
      <c r="T18" s="375"/>
    </row>
    <row r="19" spans="1:20" ht="12.75" customHeight="1">
      <c r="A19" s="419">
        <v>4</v>
      </c>
      <c r="B19" s="429">
        <v>7</v>
      </c>
      <c r="C19" s="381" t="str">
        <f>VLOOKUP(B19,пр.взв!B$7:E$22,2,FALSE)</f>
        <v>Шалимов Олег Валентинович</v>
      </c>
      <c r="D19" s="383" t="str">
        <f>VLOOKUP(B19,пр.взв!B$7:E$22,3,FALSE)</f>
        <v>24.07.00, кмс</v>
      </c>
      <c r="E19" s="383" t="str">
        <f>VLOOKUP(B19,пр.взв!B$7:E$22,4,FALSE)</f>
        <v>СЗФО</v>
      </c>
      <c r="F19" s="383" t="str">
        <f>VLOOKUP(B19,пр.взв!B$7:F$22,5,FALSE)</f>
        <v>Вологодская, Вологда</v>
      </c>
      <c r="G19" s="362"/>
      <c r="H19" s="426"/>
      <c r="I19" s="365"/>
      <c r="J19" s="427"/>
      <c r="K19" s="419">
        <v>8</v>
      </c>
      <c r="L19" s="428">
        <v>8</v>
      </c>
      <c r="M19" s="381" t="str">
        <f>VLOOKUP(L19,пр.взв!B$7:F$22,2,FALSE)</f>
        <v>Тайгибов Магомед Магомедрасулович</v>
      </c>
      <c r="N19" s="383" t="str">
        <f>VLOOKUP(L19,пр.взв!B$7:F$22,3,FALSE)</f>
        <v>27.03.98, кмс</v>
      </c>
      <c r="O19" s="383" t="str">
        <f>VLOOKUP(L19,пр.взв!B$7:F$22,4,FALSE)</f>
        <v>СП</v>
      </c>
      <c r="P19" s="383" t="str">
        <f>VLOOKUP(L19,пр.взв!B$7:F$22,5,FALSE)</f>
        <v>Санкт-Петербург</v>
      </c>
      <c r="Q19" s="362"/>
      <c r="R19" s="426"/>
      <c r="S19" s="365"/>
      <c r="T19" s="427"/>
    </row>
    <row r="20" spans="1:20" ht="12.75" customHeight="1">
      <c r="A20" s="420"/>
      <c r="B20" s="418"/>
      <c r="C20" s="382"/>
      <c r="D20" s="384"/>
      <c r="E20" s="384"/>
      <c r="F20" s="384"/>
      <c r="G20" s="362"/>
      <c r="H20" s="362"/>
      <c r="I20" s="365"/>
      <c r="J20" s="278"/>
      <c r="K20" s="420"/>
      <c r="L20" s="418"/>
      <c r="M20" s="382"/>
      <c r="N20" s="384"/>
      <c r="O20" s="384"/>
      <c r="P20" s="384"/>
      <c r="Q20" s="362"/>
      <c r="R20" s="362"/>
      <c r="S20" s="365"/>
      <c r="T20" s="278"/>
    </row>
    <row r="21" spans="1:20" ht="12.75" customHeight="1">
      <c r="A21" s="420"/>
      <c r="B21" s="418">
        <v>15</v>
      </c>
      <c r="C21" s="369" t="e">
        <f>VLOOKUP(B21,пр.взв!B$7:E$22,2,FALSE)</f>
        <v>#N/A</v>
      </c>
      <c r="D21" s="371" t="e">
        <f>VLOOKUP(B21,пр.взв!B$7:E$22,3,FALSE)</f>
        <v>#N/A</v>
      </c>
      <c r="E21" s="371" t="e">
        <f>VLOOKUP(B21,пр.взв!B$7:E$22,4,FALSE)</f>
        <v>#N/A</v>
      </c>
      <c r="F21" s="371" t="e">
        <f>VLOOKUP(B21,пр.взв!B$7:F$22,5,FALSE)</f>
        <v>#N/A</v>
      </c>
      <c r="G21" s="373"/>
      <c r="H21" s="373"/>
      <c r="I21" s="279"/>
      <c r="J21" s="279"/>
      <c r="K21" s="420"/>
      <c r="L21" s="418">
        <v>16</v>
      </c>
      <c r="M21" s="369" t="e">
        <f>VLOOKUP(L21,пр.взв!B$7:F$22,2,FALSE)</f>
        <v>#N/A</v>
      </c>
      <c r="N21" s="371" t="e">
        <f>VLOOKUP(L21,пр.взв!B$7:F$22,3,FALSE)</f>
        <v>#N/A</v>
      </c>
      <c r="O21" s="371" t="e">
        <f>VLOOKUP(L21,пр.взв!B$7:F$22,4,FALSE)</f>
        <v>#N/A</v>
      </c>
      <c r="P21" s="371" t="e">
        <f>VLOOKUP(L21,пр.взв!B$7:F$22,5,FALSE)</f>
        <v>#N/A</v>
      </c>
      <c r="Q21" s="373"/>
      <c r="R21" s="373"/>
      <c r="S21" s="279"/>
      <c r="T21" s="279"/>
    </row>
    <row r="22" spans="1:20" ht="12.75" customHeight="1" thickBot="1">
      <c r="A22" s="421"/>
      <c r="B22" s="415"/>
      <c r="C22" s="370"/>
      <c r="D22" s="372"/>
      <c r="E22" s="372"/>
      <c r="F22" s="372"/>
      <c r="G22" s="374"/>
      <c r="H22" s="374"/>
      <c r="I22" s="375"/>
      <c r="J22" s="375"/>
      <c r="K22" s="421"/>
      <c r="L22" s="415"/>
      <c r="M22" s="370"/>
      <c r="N22" s="372"/>
      <c r="O22" s="372"/>
      <c r="P22" s="372"/>
      <c r="Q22" s="374"/>
      <c r="R22" s="374"/>
      <c r="S22" s="375"/>
      <c r="T22" s="375"/>
    </row>
    <row r="24" spans="1:20" ht="16.5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В.к.62 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В.к.62  кг.</v>
      </c>
      <c r="R24" s="77"/>
      <c r="S24" s="77"/>
      <c r="T24" s="77"/>
    </row>
    <row r="25" spans="1:20" ht="12.75" customHeight="1">
      <c r="A25" s="400" t="s">
        <v>39</v>
      </c>
      <c r="B25" s="402" t="s">
        <v>4</v>
      </c>
      <c r="C25" s="394" t="s">
        <v>5</v>
      </c>
      <c r="D25" s="391" t="s">
        <v>12</v>
      </c>
      <c r="E25" s="422" t="s">
        <v>13</v>
      </c>
      <c r="F25" s="423"/>
      <c r="G25" s="394" t="s">
        <v>14</v>
      </c>
      <c r="H25" s="396" t="s">
        <v>40</v>
      </c>
      <c r="I25" s="398" t="s">
        <v>15</v>
      </c>
      <c r="J25" s="385" t="s">
        <v>16</v>
      </c>
      <c r="K25" s="400" t="s">
        <v>39</v>
      </c>
      <c r="L25" s="402" t="s">
        <v>4</v>
      </c>
      <c r="M25" s="394" t="s">
        <v>5</v>
      </c>
      <c r="N25" s="391" t="s">
        <v>12</v>
      </c>
      <c r="O25" s="410" t="s">
        <v>13</v>
      </c>
      <c r="P25" s="411"/>
      <c r="Q25" s="394" t="s">
        <v>14</v>
      </c>
      <c r="R25" s="396" t="s">
        <v>40</v>
      </c>
      <c r="S25" s="398" t="s">
        <v>15</v>
      </c>
      <c r="T25" s="385" t="s">
        <v>16</v>
      </c>
    </row>
    <row r="26" spans="1:20" ht="13.5" customHeight="1" thickBot="1">
      <c r="A26" s="401"/>
      <c r="B26" s="403" t="s">
        <v>33</v>
      </c>
      <c r="C26" s="395"/>
      <c r="D26" s="393"/>
      <c r="E26" s="424"/>
      <c r="F26" s="425"/>
      <c r="G26" s="395"/>
      <c r="H26" s="397"/>
      <c r="I26" s="399"/>
      <c r="J26" s="386" t="s">
        <v>34</v>
      </c>
      <c r="K26" s="401"/>
      <c r="L26" s="403" t="s">
        <v>33</v>
      </c>
      <c r="M26" s="395"/>
      <c r="N26" s="393"/>
      <c r="O26" s="412"/>
      <c r="P26" s="413"/>
      <c r="Q26" s="395"/>
      <c r="R26" s="397"/>
      <c r="S26" s="399"/>
      <c r="T26" s="386" t="s">
        <v>34</v>
      </c>
    </row>
    <row r="27" spans="1:20" ht="12.75" customHeight="1">
      <c r="A27" s="419">
        <v>1</v>
      </c>
      <c r="B27" s="417">
        <f>пр.хода!E8</f>
        <v>1</v>
      </c>
      <c r="C27" s="381" t="str">
        <f>VLOOKUP(B27,пр.взв!B$7:E$22,2,FALSE)</f>
        <v>Кибишев Залим Арсенович</v>
      </c>
      <c r="D27" s="383" t="str">
        <f>VLOOKUP(B27,пр.взв!B$7:E$22,3,FALSE)</f>
        <v>19.06.94, мс</v>
      </c>
      <c r="E27" s="383" t="str">
        <f>VLOOKUP(B27,пр.взв!B$7:E$22,4,FALSE)</f>
        <v>СКФО</v>
      </c>
      <c r="F27" s="383" t="str">
        <f>VLOOKUP(B27,пр.взв!B$7:F$22,5,FALSE)</f>
        <v>Ставропольский, Ставрополь</v>
      </c>
      <c r="G27" s="388"/>
      <c r="H27" s="389"/>
      <c r="I27" s="390"/>
      <c r="J27" s="391"/>
      <c r="K27" s="376">
        <v>3</v>
      </c>
      <c r="L27" s="417">
        <f>пр.хода!Q8</f>
        <v>2</v>
      </c>
      <c r="M27" s="381" t="str">
        <f>VLOOKUP(L27,пр.взв!B$7:F$22,2,FALSE)</f>
        <v>Мишанин Константин Олегович</v>
      </c>
      <c r="N27" s="383" t="str">
        <f>VLOOKUP(L27,пр.взв!B$7:F$22,3,FALSE)</f>
        <v>16.06.89, кмс</v>
      </c>
      <c r="O27" s="383" t="str">
        <f>VLOOKUP(L27,пр.взв!B$7:F$22,4,FALSE)</f>
        <v>ЦФО</v>
      </c>
      <c r="P27" s="383" t="str">
        <f>VLOOKUP(L27,пр.взв!B$7:F$22,5,FALSE)</f>
        <v>Рязанская, Рязань "Юпитер"</v>
      </c>
      <c r="Q27" s="388"/>
      <c r="R27" s="389"/>
      <c r="S27" s="390"/>
      <c r="T27" s="391"/>
    </row>
    <row r="28" spans="1:20">
      <c r="A28" s="420"/>
      <c r="B28" s="418"/>
      <c r="C28" s="382"/>
      <c r="D28" s="384"/>
      <c r="E28" s="384"/>
      <c r="F28" s="384"/>
      <c r="G28" s="362"/>
      <c r="H28" s="362"/>
      <c r="I28" s="365"/>
      <c r="J28" s="278"/>
      <c r="K28" s="377"/>
      <c r="L28" s="418"/>
      <c r="M28" s="382"/>
      <c r="N28" s="384"/>
      <c r="O28" s="384"/>
      <c r="P28" s="384"/>
      <c r="Q28" s="362"/>
      <c r="R28" s="362"/>
      <c r="S28" s="365"/>
      <c r="T28" s="278"/>
    </row>
    <row r="29" spans="1:20" ht="12.75" customHeight="1">
      <c r="A29" s="420"/>
      <c r="B29" s="414">
        <f>пр.хода!E12</f>
        <v>5</v>
      </c>
      <c r="C29" s="369" t="str">
        <f>VLOOKUP(B29,пр.взв!B$7:E$22,2,FALSE)</f>
        <v>Гашимов Субхан Ализахир оглы</v>
      </c>
      <c r="D29" s="371" t="str">
        <f>VLOOKUP(B29,пр.взв!B$7:E$22,3,FALSE)</f>
        <v>20.08.99, кмс</v>
      </c>
      <c r="E29" s="371" t="str">
        <f>VLOOKUP(B29,пр.взв!B$7:E$22,4,FALSE)</f>
        <v>СЗФО</v>
      </c>
      <c r="F29" s="371" t="str">
        <f>VLOOKUP(B29,пр.взв!B$7:F$22,5,FALSE)</f>
        <v>Р.Карелия, Петрозаводск</v>
      </c>
      <c r="G29" s="373"/>
      <c r="H29" s="373"/>
      <c r="I29" s="279"/>
      <c r="J29" s="279"/>
      <c r="K29" s="377"/>
      <c r="L29" s="414">
        <f>пр.хода!Q12</f>
        <v>0</v>
      </c>
      <c r="M29" s="369" t="e">
        <f>VLOOKUP(L29,пр.взв!B$7:F$22,2,FALSE)</f>
        <v>#N/A</v>
      </c>
      <c r="N29" s="371" t="e">
        <f>VLOOKUP(L29,пр.взв!B$7:F$22,3,FALSE)</f>
        <v>#N/A</v>
      </c>
      <c r="O29" s="371" t="e">
        <f>VLOOKUP(L29,пр.взв!B$7:F$22,4,FALSE)</f>
        <v>#N/A</v>
      </c>
      <c r="P29" s="371" t="e">
        <f>VLOOKUP(L29,пр.взв!B$7:F$22,5,FALSE)</f>
        <v>#N/A</v>
      </c>
      <c r="Q29" s="373"/>
      <c r="R29" s="373"/>
      <c r="S29" s="279"/>
      <c r="T29" s="279"/>
    </row>
    <row r="30" spans="1:20" ht="13.5" thickBot="1">
      <c r="A30" s="421"/>
      <c r="B30" s="415"/>
      <c r="C30" s="370"/>
      <c r="D30" s="372"/>
      <c r="E30" s="372"/>
      <c r="F30" s="372"/>
      <c r="G30" s="374"/>
      <c r="H30" s="374"/>
      <c r="I30" s="375"/>
      <c r="J30" s="375"/>
      <c r="K30" s="378"/>
      <c r="L30" s="415"/>
      <c r="M30" s="370"/>
      <c r="N30" s="372"/>
      <c r="O30" s="372"/>
      <c r="P30" s="372"/>
      <c r="Q30" s="374"/>
      <c r="R30" s="374"/>
      <c r="S30" s="375"/>
      <c r="T30" s="375"/>
    </row>
    <row r="31" spans="1:20" ht="12.75" customHeight="1">
      <c r="A31" s="419">
        <v>2</v>
      </c>
      <c r="B31" s="417">
        <f>пр.хода!E16</f>
        <v>3</v>
      </c>
      <c r="C31" s="381" t="str">
        <f>VLOOKUP(B31,пр.взв!B$7:E$22,2,FALSE)</f>
        <v>Расулов Шамиль Садрутдинович</v>
      </c>
      <c r="D31" s="383" t="str">
        <f>VLOOKUP(B31,пр.взв!B$7:E$22,3,FALSE)</f>
        <v>09.04.93, мс</v>
      </c>
      <c r="E31" s="383" t="str">
        <f>VLOOKUP(B31,пр.взв!B$7:E$22,4,FALSE)</f>
        <v>СП</v>
      </c>
      <c r="F31" s="383" t="str">
        <f>VLOOKUP(B31,пр.взв!B$7:F$22,5,FALSE)</f>
        <v>Санкт-Петербург</v>
      </c>
      <c r="G31" s="388"/>
      <c r="H31" s="389"/>
      <c r="I31" s="390"/>
      <c r="J31" s="416"/>
      <c r="K31" s="376">
        <v>4</v>
      </c>
      <c r="L31" s="417">
        <f>пр.хода!Q16</f>
        <v>4</v>
      </c>
      <c r="M31" s="381" t="str">
        <f>VLOOKUP(L31,пр.взв!B$7:F$22,2,FALSE)</f>
        <v>Бычков Александр Юрьевич</v>
      </c>
      <c r="N31" s="383" t="str">
        <f>VLOOKUP(L31,пр.взв!B$7:F$22,3,FALSE)</f>
        <v>11.01.87, кмс</v>
      </c>
      <c r="O31" s="383" t="str">
        <f>VLOOKUP(L31,пр.взв!B$7:F$22,4,FALSE)</f>
        <v>СЗФО</v>
      </c>
      <c r="P31" s="383" t="str">
        <f>VLOOKUP(L31,пр.взв!B$7:F$22,5,FALSE)</f>
        <v>Р.Карелия, Петрозаводск</v>
      </c>
      <c r="Q31" s="388"/>
      <c r="R31" s="389"/>
      <c r="S31" s="390"/>
      <c r="T31" s="416"/>
    </row>
    <row r="32" spans="1:20">
      <c r="A32" s="420"/>
      <c r="B32" s="418"/>
      <c r="C32" s="382"/>
      <c r="D32" s="384"/>
      <c r="E32" s="384"/>
      <c r="F32" s="384"/>
      <c r="G32" s="362"/>
      <c r="H32" s="362"/>
      <c r="I32" s="365"/>
      <c r="J32" s="278"/>
      <c r="K32" s="377"/>
      <c r="L32" s="418"/>
      <c r="M32" s="382"/>
      <c r="N32" s="384"/>
      <c r="O32" s="384"/>
      <c r="P32" s="384"/>
      <c r="Q32" s="362"/>
      <c r="R32" s="362"/>
      <c r="S32" s="365"/>
      <c r="T32" s="278"/>
    </row>
    <row r="33" spans="1:20" ht="12.75" customHeight="1">
      <c r="A33" s="420"/>
      <c r="B33" s="414">
        <f>пр.хода!E20</f>
        <v>7</v>
      </c>
      <c r="C33" s="369" t="str">
        <f>VLOOKUP(B33,пр.взв!B$7:E$22,2,FALSE)</f>
        <v>Шалимов Олег Валентинович</v>
      </c>
      <c r="D33" s="371" t="str">
        <f>VLOOKUP(B33,пр.взв!B$7:E$22,3,FALSE)</f>
        <v>24.07.00, кмс</v>
      </c>
      <c r="E33" s="371" t="str">
        <f>VLOOKUP(B33,пр.взв!B$7:E$22,4,FALSE)</f>
        <v>СЗФО</v>
      </c>
      <c r="F33" s="371" t="str">
        <f>VLOOKUP(B33,пр.взв!B$7:F$22,5,FALSE)</f>
        <v>Вологодская, Вологда</v>
      </c>
      <c r="G33" s="373"/>
      <c r="H33" s="373"/>
      <c r="I33" s="279"/>
      <c r="J33" s="279"/>
      <c r="K33" s="377"/>
      <c r="L33" s="414">
        <f>пр.хода!Q20</f>
        <v>8</v>
      </c>
      <c r="M33" s="369" t="str">
        <f>VLOOKUP(L33,пр.взв!B$7:F$22,2,FALSE)</f>
        <v>Тайгибов Магомед Магомедрасулович</v>
      </c>
      <c r="N33" s="371" t="str">
        <f>VLOOKUP(L33,пр.взв!B$7:F$22,3,FALSE)</f>
        <v>27.03.98, кмс</v>
      </c>
      <c r="O33" s="371" t="str">
        <f>VLOOKUP(L33,пр.взв!B$7:F$22,4,FALSE)</f>
        <v>СП</v>
      </c>
      <c r="P33" s="371" t="str">
        <f>VLOOKUP(L33,пр.взв!B$7:F$22,5,FALSE)</f>
        <v>Санкт-Петербург</v>
      </c>
      <c r="Q33" s="373"/>
      <c r="R33" s="373"/>
      <c r="S33" s="279"/>
      <c r="T33" s="279"/>
    </row>
    <row r="34" spans="1:20" ht="13.5" thickBot="1">
      <c r="A34" s="421"/>
      <c r="B34" s="415"/>
      <c r="C34" s="370"/>
      <c r="D34" s="372"/>
      <c r="E34" s="372"/>
      <c r="F34" s="372"/>
      <c r="G34" s="374"/>
      <c r="H34" s="374"/>
      <c r="I34" s="375"/>
      <c r="J34" s="375"/>
      <c r="K34" s="378"/>
      <c r="L34" s="415"/>
      <c r="M34" s="370"/>
      <c r="N34" s="372"/>
      <c r="O34" s="372"/>
      <c r="P34" s="372"/>
      <c r="Q34" s="374"/>
      <c r="R34" s="374"/>
      <c r="S34" s="375"/>
      <c r="T34" s="375"/>
    </row>
    <row r="36" spans="1:20" ht="16.5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В.к.62 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В.к.62  кг.</v>
      </c>
      <c r="R36" s="79"/>
      <c r="S36" s="79"/>
      <c r="T36" s="79"/>
    </row>
    <row r="37" spans="1:20" ht="12.75" customHeight="1">
      <c r="A37" s="400" t="s">
        <v>39</v>
      </c>
      <c r="B37" s="402" t="s">
        <v>4</v>
      </c>
      <c r="C37" s="394" t="s">
        <v>5</v>
      </c>
      <c r="D37" s="391" t="s">
        <v>12</v>
      </c>
      <c r="E37" s="422" t="s">
        <v>13</v>
      </c>
      <c r="F37" s="423"/>
      <c r="G37" s="394" t="s">
        <v>14</v>
      </c>
      <c r="H37" s="396" t="s">
        <v>40</v>
      </c>
      <c r="I37" s="398" t="s">
        <v>15</v>
      </c>
      <c r="J37" s="385" t="s">
        <v>16</v>
      </c>
      <c r="K37" s="400" t="s">
        <v>39</v>
      </c>
      <c r="L37" s="402" t="s">
        <v>4</v>
      </c>
      <c r="M37" s="394" t="s">
        <v>5</v>
      </c>
      <c r="N37" s="391" t="s">
        <v>12</v>
      </c>
      <c r="O37" s="410" t="s">
        <v>13</v>
      </c>
      <c r="P37" s="411"/>
      <c r="Q37" s="394" t="s">
        <v>14</v>
      </c>
      <c r="R37" s="396" t="s">
        <v>40</v>
      </c>
      <c r="S37" s="398" t="s">
        <v>15</v>
      </c>
      <c r="T37" s="385" t="s">
        <v>16</v>
      </c>
    </row>
    <row r="38" spans="1:20" ht="13.5" customHeight="1" thickBot="1">
      <c r="A38" s="401"/>
      <c r="B38" s="403" t="s">
        <v>33</v>
      </c>
      <c r="C38" s="395"/>
      <c r="D38" s="393"/>
      <c r="E38" s="424"/>
      <c r="F38" s="425"/>
      <c r="G38" s="395"/>
      <c r="H38" s="397"/>
      <c r="I38" s="399"/>
      <c r="J38" s="386" t="s">
        <v>34</v>
      </c>
      <c r="K38" s="401"/>
      <c r="L38" s="403" t="s">
        <v>33</v>
      </c>
      <c r="M38" s="395"/>
      <c r="N38" s="393"/>
      <c r="O38" s="412"/>
      <c r="P38" s="413"/>
      <c r="Q38" s="395"/>
      <c r="R38" s="397"/>
      <c r="S38" s="399"/>
      <c r="T38" s="386" t="s">
        <v>34</v>
      </c>
    </row>
    <row r="39" spans="1:20" ht="12.75" customHeight="1">
      <c r="A39" s="405">
        <v>1</v>
      </c>
      <c r="B39" s="408">
        <f>пр.хода!G10</f>
        <v>1</v>
      </c>
      <c r="C39" s="381" t="str">
        <f>VLOOKUP(B39,пр.взв!B$7:E$22,2,FALSE)</f>
        <v>Кибишев Залим Арсенович</v>
      </c>
      <c r="D39" s="383" t="str">
        <f>VLOOKUP(B39,пр.взв!B$7:E$22,3,FALSE)</f>
        <v>19.06.94, мс</v>
      </c>
      <c r="E39" s="383" t="str">
        <f>VLOOKUP(B39,пр.взв!B$7:E$22,4,FALSE)</f>
        <v>СКФО</v>
      </c>
      <c r="F39" s="383" t="str">
        <f>VLOOKUP(B39,пр.взв!B$7:F$22,5,FALSE)</f>
        <v>Ставропольский, Ставрополь</v>
      </c>
      <c r="G39" s="388"/>
      <c r="H39" s="389"/>
      <c r="I39" s="390"/>
      <c r="J39" s="391"/>
      <c r="K39" s="405">
        <v>2</v>
      </c>
      <c r="L39" s="408">
        <f>пр.хода!O10</f>
        <v>2</v>
      </c>
      <c r="M39" s="381" t="str">
        <f>VLOOKUP(L39,пр.взв!B$7:F$22,2,FALSE)</f>
        <v>Мишанин Константин Олегович</v>
      </c>
      <c r="N39" s="383" t="str">
        <f>VLOOKUP(L39,пр.взв!B$7:F$22,3,FALSE)</f>
        <v>16.06.89, кмс</v>
      </c>
      <c r="O39" s="383" t="str">
        <f>VLOOKUP(L39,пр.взв!B$7:F$22,4,FALSE)</f>
        <v>ЦФО</v>
      </c>
      <c r="P39" s="383" t="str">
        <f>VLOOKUP(L39,пр.взв!B$7:F$22,5,FALSE)</f>
        <v>Рязанская, Рязань "Юпитер"</v>
      </c>
      <c r="Q39" s="388"/>
      <c r="R39" s="389"/>
      <c r="S39" s="390"/>
      <c r="T39" s="391"/>
    </row>
    <row r="40" spans="1:20">
      <c r="A40" s="406"/>
      <c r="B40" s="380"/>
      <c r="C40" s="382"/>
      <c r="D40" s="384"/>
      <c r="E40" s="384"/>
      <c r="F40" s="384"/>
      <c r="G40" s="362"/>
      <c r="H40" s="362"/>
      <c r="I40" s="365"/>
      <c r="J40" s="278"/>
      <c r="K40" s="406"/>
      <c r="L40" s="380"/>
      <c r="M40" s="382"/>
      <c r="N40" s="384"/>
      <c r="O40" s="384"/>
      <c r="P40" s="384"/>
      <c r="Q40" s="362"/>
      <c r="R40" s="362"/>
      <c r="S40" s="365"/>
      <c r="T40" s="278"/>
    </row>
    <row r="41" spans="1:20" ht="12.75" customHeight="1">
      <c r="A41" s="406"/>
      <c r="B41" s="409">
        <f>пр.хода!G18</f>
        <v>3</v>
      </c>
      <c r="C41" s="369" t="str">
        <f>VLOOKUP(B41,пр.взв!B$7:E$22,2,FALSE)</f>
        <v>Расулов Шамиль Садрутдинович</v>
      </c>
      <c r="D41" s="371" t="str">
        <f>VLOOKUP(B41,пр.взв!B$7:E$22,3,FALSE)</f>
        <v>09.04.93, мс</v>
      </c>
      <c r="E41" s="371" t="str">
        <f>VLOOKUP(B41,пр.взв!B$7:E$22,4,FALSE)</f>
        <v>СП</v>
      </c>
      <c r="F41" s="371" t="str">
        <f>VLOOKUP(B41,пр.взв!B$7:F$22,5,FALSE)</f>
        <v>Санкт-Петербург</v>
      </c>
      <c r="G41" s="373"/>
      <c r="H41" s="373"/>
      <c r="I41" s="279"/>
      <c r="J41" s="279"/>
      <c r="K41" s="406"/>
      <c r="L41" s="409">
        <f>пр.хода!O18</f>
        <v>4</v>
      </c>
      <c r="M41" s="369" t="str">
        <f>VLOOKUP(L41,пр.взв!B$7:F$22,2,FALSE)</f>
        <v>Бычков Александр Юрьевич</v>
      </c>
      <c r="N41" s="371" t="str">
        <f>VLOOKUP(L41,пр.взв!B$7:F$22,3,FALSE)</f>
        <v>11.01.87, кмс</v>
      </c>
      <c r="O41" s="371" t="str">
        <f>VLOOKUP(L41,пр.взв!B$7:F$22,4,FALSE)</f>
        <v>СЗФО</v>
      </c>
      <c r="P41" s="371" t="str">
        <f>VLOOKUP(L41,пр.взв!B$7:F$22,5,FALSE)</f>
        <v>Р.Карелия, Петрозаводск</v>
      </c>
      <c r="Q41" s="373"/>
      <c r="R41" s="373"/>
      <c r="S41" s="279"/>
      <c r="T41" s="279"/>
    </row>
    <row r="42" spans="1:20" ht="13.5" thickBot="1">
      <c r="A42" s="407"/>
      <c r="B42" s="368"/>
      <c r="C42" s="370"/>
      <c r="D42" s="372"/>
      <c r="E42" s="372"/>
      <c r="F42" s="372"/>
      <c r="G42" s="374"/>
      <c r="H42" s="374"/>
      <c r="I42" s="375"/>
      <c r="J42" s="375"/>
      <c r="K42" s="407"/>
      <c r="L42" s="368"/>
      <c r="M42" s="370"/>
      <c r="N42" s="372"/>
      <c r="O42" s="372"/>
      <c r="P42" s="372"/>
      <c r="Q42" s="374"/>
      <c r="R42" s="374"/>
      <c r="S42" s="375"/>
      <c r="T42" s="375"/>
    </row>
    <row r="44" spans="1:20" ht="15">
      <c r="A44" s="404" t="s">
        <v>42</v>
      </c>
      <c r="B44" s="404"/>
      <c r="C44" s="404"/>
      <c r="D44" s="404"/>
      <c r="E44" s="404"/>
      <c r="F44" s="404"/>
      <c r="G44" s="404"/>
      <c r="H44" s="404"/>
      <c r="I44" s="404"/>
      <c r="J44" s="404"/>
      <c r="K44" s="404" t="s">
        <v>43</v>
      </c>
      <c r="L44" s="404"/>
      <c r="M44" s="404"/>
      <c r="N44" s="404"/>
      <c r="O44" s="404"/>
      <c r="P44" s="404"/>
      <c r="Q44" s="404"/>
      <c r="R44" s="404"/>
      <c r="S44" s="404"/>
      <c r="T44" s="404"/>
    </row>
    <row r="45" spans="1:20" ht="16.5" thickBot="1">
      <c r="B45" s="75" t="s">
        <v>32</v>
      </c>
      <c r="C45" s="80"/>
      <c r="D45" s="80"/>
      <c r="E45" s="80"/>
      <c r="F45" s="80"/>
      <c r="G45" s="83" t="str">
        <f>G36</f>
        <v>В.к.62 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В.к.62  кг.</v>
      </c>
      <c r="R45" s="78"/>
      <c r="S45" s="78"/>
      <c r="T45" s="78"/>
    </row>
    <row r="46" spans="1:20" ht="12.75" customHeight="1">
      <c r="A46" s="400" t="s">
        <v>39</v>
      </c>
      <c r="B46" s="402" t="s">
        <v>4</v>
      </c>
      <c r="C46" s="394" t="s">
        <v>5</v>
      </c>
      <c r="D46" s="391" t="s">
        <v>12</v>
      </c>
      <c r="E46" s="422" t="s">
        <v>13</v>
      </c>
      <c r="F46" s="423"/>
      <c r="G46" s="394" t="s">
        <v>14</v>
      </c>
      <c r="H46" s="396" t="s">
        <v>40</v>
      </c>
      <c r="I46" s="398" t="s">
        <v>15</v>
      </c>
      <c r="J46" s="385" t="s">
        <v>16</v>
      </c>
      <c r="K46" s="400" t="s">
        <v>39</v>
      </c>
      <c r="L46" s="402" t="s">
        <v>4</v>
      </c>
      <c r="M46" s="394" t="s">
        <v>5</v>
      </c>
      <c r="N46" s="391" t="s">
        <v>12</v>
      </c>
      <c r="O46" s="410" t="s">
        <v>13</v>
      </c>
      <c r="P46" s="411"/>
      <c r="Q46" s="394" t="s">
        <v>14</v>
      </c>
      <c r="R46" s="396" t="s">
        <v>40</v>
      </c>
      <c r="S46" s="398" t="s">
        <v>15</v>
      </c>
      <c r="T46" s="385" t="s">
        <v>16</v>
      </c>
    </row>
    <row r="47" spans="1:20" ht="13.5" customHeight="1" thickBot="1">
      <c r="A47" s="401"/>
      <c r="B47" s="403" t="s">
        <v>33</v>
      </c>
      <c r="C47" s="395"/>
      <c r="D47" s="393"/>
      <c r="E47" s="424"/>
      <c r="F47" s="425"/>
      <c r="G47" s="395"/>
      <c r="H47" s="397"/>
      <c r="I47" s="399"/>
      <c r="J47" s="386" t="s">
        <v>34</v>
      </c>
      <c r="K47" s="401"/>
      <c r="L47" s="403" t="s">
        <v>33</v>
      </c>
      <c r="M47" s="395"/>
      <c r="N47" s="393"/>
      <c r="O47" s="412"/>
      <c r="P47" s="413"/>
      <c r="Q47" s="395"/>
      <c r="R47" s="397"/>
      <c r="S47" s="399"/>
      <c r="T47" s="386" t="s">
        <v>34</v>
      </c>
    </row>
    <row r="48" spans="1:20" ht="12.75" customHeight="1">
      <c r="A48" s="376">
        <v>1</v>
      </c>
      <c r="B48" s="379">
        <f>пр.хода!A25</f>
        <v>9</v>
      </c>
      <c r="C48" s="381" t="str">
        <f>VLOOKUP(B48,пр.взв!B$7:E$22,2,FALSE)</f>
        <v>Загиров Рагим Имирханович</v>
      </c>
      <c r="D48" s="383" t="str">
        <f>VLOOKUP(B48,пр.взв!B$7:E$22,3,FALSE)</f>
        <v>28.01.90, кмс</v>
      </c>
      <c r="E48" s="383" t="str">
        <f>VLOOKUP(B48,пр.взв!B$7:E$22,4,FALSE)</f>
        <v>СП</v>
      </c>
      <c r="F48" s="383" t="str">
        <f>VLOOKUP(B48,пр.взв!B$7:F$22,5,FALSE)</f>
        <v>Санкт-Петербург</v>
      </c>
      <c r="G48" s="388"/>
      <c r="H48" s="389"/>
      <c r="I48" s="390"/>
      <c r="J48" s="391"/>
      <c r="K48" s="376">
        <v>3</v>
      </c>
      <c r="L48" s="392">
        <f>пр.хода!I25</f>
        <v>12</v>
      </c>
      <c r="M48" s="381" t="str">
        <f>VLOOKUP(L48,пр.взв!B$7:F$22,2,FALSE)</f>
        <v>Бурлаков Анатолий Николаевич</v>
      </c>
      <c r="N48" s="383" t="str">
        <f>VLOOKUP(L48,пр.взв!B$7:F$22,3,FALSE)</f>
        <v>26.09.97, кмс</v>
      </c>
      <c r="O48" s="383" t="str">
        <f>VLOOKUP(L48,пр.взв!B$7:F$22,4,FALSE)</f>
        <v>СП</v>
      </c>
      <c r="P48" s="383" t="str">
        <f>VLOOKUP(L48,пр.взв!B$7:F$22,5,FALSE)</f>
        <v>Санкт-Петербург</v>
      </c>
      <c r="Q48" s="361"/>
      <c r="R48" s="363"/>
      <c r="S48" s="364"/>
      <c r="T48" s="366"/>
    </row>
    <row r="49" spans="1:20">
      <c r="A49" s="377"/>
      <c r="B49" s="380"/>
      <c r="C49" s="382"/>
      <c r="D49" s="384"/>
      <c r="E49" s="384"/>
      <c r="F49" s="384"/>
      <c r="G49" s="362"/>
      <c r="H49" s="362"/>
      <c r="I49" s="365"/>
      <c r="J49" s="278"/>
      <c r="K49" s="377"/>
      <c r="L49" s="380"/>
      <c r="M49" s="382"/>
      <c r="N49" s="384"/>
      <c r="O49" s="384"/>
      <c r="P49" s="384"/>
      <c r="Q49" s="362"/>
      <c r="R49" s="362"/>
      <c r="S49" s="365"/>
      <c r="T49" s="278"/>
    </row>
    <row r="50" spans="1:20" ht="12.75" customHeight="1">
      <c r="A50" s="377"/>
      <c r="B50" s="367">
        <f>пр.хода!A27</f>
        <v>5</v>
      </c>
      <c r="C50" s="369" t="str">
        <f>VLOOKUP(B50,пр.взв!B$7:E$22,2,FALSE)</f>
        <v>Гашимов Субхан Ализахир оглы</v>
      </c>
      <c r="D50" s="371" t="str">
        <f>VLOOKUP(B50,пр.взв!B$7:E$22,3,FALSE)</f>
        <v>20.08.99, кмс</v>
      </c>
      <c r="E50" s="371" t="str">
        <f>VLOOKUP(B50,пр.взв!B$7:E$22,4,FALSE)</f>
        <v>СЗФО</v>
      </c>
      <c r="F50" s="371" t="str">
        <f>VLOOKUP(B50,пр.взв!B$7:F$22,5,FALSE)</f>
        <v>Р.Карелия, Петрозаводск</v>
      </c>
      <c r="G50" s="373"/>
      <c r="H50" s="373"/>
      <c r="I50" s="279"/>
      <c r="J50" s="279"/>
      <c r="K50" s="377"/>
      <c r="L50" s="367">
        <f>пр.хода!I27</f>
        <v>0</v>
      </c>
      <c r="M50" s="369" t="e">
        <f>VLOOKUP(L50,пр.взв!B$7:F$22,2,FALSE)</f>
        <v>#N/A</v>
      </c>
      <c r="N50" s="371" t="e">
        <f>VLOOKUP(L50,пр.взв!B$7:F$22,3,FALSE)</f>
        <v>#N/A</v>
      </c>
      <c r="O50" s="371" t="e">
        <f>VLOOKUP(L50,пр.взв!B$7:F$22,4,FALSE)</f>
        <v>#N/A</v>
      </c>
      <c r="P50" s="371" t="e">
        <f>VLOOKUP(L50,пр.взв!B$7:F$22,5,FALSE)</f>
        <v>#N/A</v>
      </c>
      <c r="Q50" s="373"/>
      <c r="R50" s="373"/>
      <c r="S50" s="279"/>
      <c r="T50" s="279"/>
    </row>
    <row r="51" spans="1:20" ht="13.5" thickBot="1">
      <c r="A51" s="387"/>
      <c r="B51" s="368"/>
      <c r="C51" s="370"/>
      <c r="D51" s="372"/>
      <c r="E51" s="372"/>
      <c r="F51" s="372"/>
      <c r="G51" s="374"/>
      <c r="H51" s="374"/>
      <c r="I51" s="375"/>
      <c r="J51" s="375"/>
      <c r="K51" s="378"/>
      <c r="L51" s="368"/>
      <c r="M51" s="370"/>
      <c r="N51" s="372"/>
      <c r="O51" s="372"/>
      <c r="P51" s="372"/>
      <c r="Q51" s="374"/>
      <c r="R51" s="374"/>
      <c r="S51" s="375"/>
      <c r="T51" s="375"/>
    </row>
    <row r="52" spans="1:20" ht="12.75" customHeight="1">
      <c r="A52" s="376">
        <v>2</v>
      </c>
      <c r="B52" s="379">
        <f>пр.хода!A31</f>
        <v>7</v>
      </c>
      <c r="C52" s="381" t="str">
        <f>VLOOKUP(B52,пр.взв!B$7:E$22,2,FALSE)</f>
        <v>Шалимов Олег Валентинович</v>
      </c>
      <c r="D52" s="383" t="str">
        <f>VLOOKUP(B52,пр.взв!B$7:E$22,3,FALSE)</f>
        <v>24.07.00, кмс</v>
      </c>
      <c r="E52" s="383" t="str">
        <f>VLOOKUP(B52,пр.взв!B$7:E$22,4,FALSE)</f>
        <v>СЗФО</v>
      </c>
      <c r="F52" s="383" t="str">
        <f>VLOOKUP(B52,пр.взв!B$7:F$22,5,FALSE)</f>
        <v>Вологодская, Вологда</v>
      </c>
      <c r="G52" s="361"/>
      <c r="H52" s="363"/>
      <c r="I52" s="364"/>
      <c r="J52" s="366"/>
      <c r="K52" s="377">
        <v>4</v>
      </c>
      <c r="L52" s="379">
        <f>пр.хода!I31</f>
        <v>8</v>
      </c>
      <c r="M52" s="381" t="str">
        <f>VLOOKUP(L52,пр.взв!B$7:F$22,2,FALSE)</f>
        <v>Тайгибов Магомед Магомедрасулович</v>
      </c>
      <c r="N52" s="383" t="str">
        <f>VLOOKUP(L52,пр.взв!B$7:F$22,3,FALSE)</f>
        <v>27.03.98, кмс</v>
      </c>
      <c r="O52" s="383" t="str">
        <f>VLOOKUP(L52,пр.взв!B$7:F$22,4,FALSE)</f>
        <v>СП</v>
      </c>
      <c r="P52" s="383" t="str">
        <f>VLOOKUP(L52,пр.взв!B$7:F$22,5,FALSE)</f>
        <v>Санкт-Петербург</v>
      </c>
      <c r="Q52" s="361"/>
      <c r="R52" s="363"/>
      <c r="S52" s="364"/>
      <c r="T52" s="366"/>
    </row>
    <row r="53" spans="1:20">
      <c r="A53" s="377"/>
      <c r="B53" s="380"/>
      <c r="C53" s="382"/>
      <c r="D53" s="384"/>
      <c r="E53" s="384"/>
      <c r="F53" s="384"/>
      <c r="G53" s="362"/>
      <c r="H53" s="362"/>
      <c r="I53" s="365"/>
      <c r="J53" s="278"/>
      <c r="K53" s="377"/>
      <c r="L53" s="380"/>
      <c r="M53" s="382"/>
      <c r="N53" s="384"/>
      <c r="O53" s="384"/>
      <c r="P53" s="384"/>
      <c r="Q53" s="362"/>
      <c r="R53" s="362"/>
      <c r="S53" s="365"/>
      <c r="T53" s="278"/>
    </row>
    <row r="54" spans="1:20" ht="12.75" customHeight="1">
      <c r="A54" s="377"/>
      <c r="B54" s="367">
        <f>пр.хода!A33</f>
        <v>7</v>
      </c>
      <c r="C54" s="369" t="str">
        <f>VLOOKUP(B54,пр.взв!B$7:E$22,2,FALSE)</f>
        <v>Шалимов Олег Валентинович</v>
      </c>
      <c r="D54" s="371" t="str">
        <f>VLOOKUP(B54,пр.взв!B$7:E$22,3,FALSE)</f>
        <v>24.07.00, кмс</v>
      </c>
      <c r="E54" s="371" t="str">
        <f>VLOOKUP(B54,пр.взв!B$7:E$22,4,FALSE)</f>
        <v>СЗФО</v>
      </c>
      <c r="F54" s="371" t="str">
        <f>VLOOKUP(B54,пр.взв!B$7:F$22,5,FALSE)</f>
        <v>Вологодская, Вологда</v>
      </c>
      <c r="G54" s="373"/>
      <c r="H54" s="373"/>
      <c r="I54" s="279"/>
      <c r="J54" s="279"/>
      <c r="K54" s="377"/>
      <c r="L54" s="367">
        <f>пр.хода!I33</f>
        <v>8</v>
      </c>
      <c r="M54" s="369" t="str">
        <f>VLOOKUP(L54,пр.взв!B$7:F$22,2,FALSE)</f>
        <v>Тайгибов Магомед Магомедрасулович</v>
      </c>
      <c r="N54" s="371" t="str">
        <f>VLOOKUP(L54,пр.взв!B$7:F$22,3,FALSE)</f>
        <v>27.03.98, кмс</v>
      </c>
      <c r="O54" s="371" t="str">
        <f>VLOOKUP(L54,пр.взв!B$7:F$22,4,FALSE)</f>
        <v>СП</v>
      </c>
      <c r="P54" s="371" t="str">
        <f>VLOOKUP(L54,пр.взв!B$7:F$22,5,FALSE)</f>
        <v>Санкт-Петербург</v>
      </c>
      <c r="Q54" s="373"/>
      <c r="R54" s="373"/>
      <c r="S54" s="279"/>
      <c r="T54" s="279"/>
    </row>
    <row r="55" spans="1:20" ht="13.5" thickBot="1">
      <c r="A55" s="378"/>
      <c r="B55" s="368"/>
      <c r="C55" s="370"/>
      <c r="D55" s="372"/>
      <c r="E55" s="372"/>
      <c r="F55" s="372"/>
      <c r="G55" s="374"/>
      <c r="H55" s="374"/>
      <c r="I55" s="375"/>
      <c r="J55" s="375"/>
      <c r="K55" s="378"/>
      <c r="L55" s="368"/>
      <c r="M55" s="370"/>
      <c r="N55" s="372"/>
      <c r="O55" s="372"/>
      <c r="P55" s="372"/>
      <c r="Q55" s="374"/>
      <c r="R55" s="374"/>
      <c r="S55" s="375"/>
      <c r="T55" s="375"/>
    </row>
    <row r="56" spans="1:20" ht="13.5" thickBot="1"/>
    <row r="57" spans="1:20" ht="12.75" customHeight="1">
      <c r="A57" s="400" t="s">
        <v>39</v>
      </c>
      <c r="B57" s="402" t="s">
        <v>4</v>
      </c>
      <c r="C57" s="394" t="s">
        <v>5</v>
      </c>
      <c r="D57" s="391" t="s">
        <v>12</v>
      </c>
      <c r="E57" s="422" t="s">
        <v>13</v>
      </c>
      <c r="F57" s="423"/>
      <c r="G57" s="394" t="s">
        <v>14</v>
      </c>
      <c r="H57" s="396" t="s">
        <v>40</v>
      </c>
      <c r="I57" s="398" t="s">
        <v>15</v>
      </c>
      <c r="J57" s="385" t="s">
        <v>16</v>
      </c>
      <c r="K57" s="400" t="s">
        <v>39</v>
      </c>
      <c r="L57" s="441" t="s">
        <v>4</v>
      </c>
      <c r="M57" s="394" t="s">
        <v>5</v>
      </c>
      <c r="N57" s="391" t="s">
        <v>12</v>
      </c>
      <c r="O57" s="410" t="s">
        <v>13</v>
      </c>
      <c r="P57" s="411"/>
      <c r="Q57" s="394" t="s">
        <v>14</v>
      </c>
      <c r="R57" s="396" t="s">
        <v>40</v>
      </c>
      <c r="S57" s="398" t="s">
        <v>15</v>
      </c>
      <c r="T57" s="385" t="s">
        <v>16</v>
      </c>
    </row>
    <row r="58" spans="1:20" ht="13.5" customHeight="1" thickBot="1">
      <c r="A58" s="401"/>
      <c r="B58" s="403" t="s">
        <v>33</v>
      </c>
      <c r="C58" s="395"/>
      <c r="D58" s="393"/>
      <c r="E58" s="424"/>
      <c r="F58" s="425"/>
      <c r="G58" s="395"/>
      <c r="H58" s="397"/>
      <c r="I58" s="399"/>
      <c r="J58" s="386" t="s">
        <v>34</v>
      </c>
      <c r="K58" s="401"/>
      <c r="L58" s="442" t="s">
        <v>33</v>
      </c>
      <c r="M58" s="395"/>
      <c r="N58" s="393"/>
      <c r="O58" s="412"/>
      <c r="P58" s="413"/>
      <c r="Q58" s="395"/>
      <c r="R58" s="397"/>
      <c r="S58" s="399"/>
      <c r="T58" s="386" t="s">
        <v>34</v>
      </c>
    </row>
    <row r="59" spans="1:20" ht="12.75" customHeight="1">
      <c r="A59" s="376">
        <v>1</v>
      </c>
      <c r="B59" s="439">
        <f>пр.хода!C26</f>
        <v>0</v>
      </c>
      <c r="C59" s="381" t="e">
        <f>VLOOKUP(B59,пр.взв!B$7:E$22,2,FALSE)</f>
        <v>#N/A</v>
      </c>
      <c r="D59" s="383" t="e">
        <f>VLOOKUP(B59,пр.взв!B$7:E$22,3,FALSE)</f>
        <v>#N/A</v>
      </c>
      <c r="E59" s="383" t="e">
        <f>VLOOKUP(B59,пр.взв!B$7:E$22,4,FALSE)</f>
        <v>#N/A</v>
      </c>
      <c r="F59" s="383" t="e">
        <f>VLOOKUP(B59,пр.взв!B$7:F$22,5,FALSE)</f>
        <v>#N/A</v>
      </c>
      <c r="G59" s="388"/>
      <c r="H59" s="389"/>
      <c r="I59" s="390"/>
      <c r="J59" s="391"/>
      <c r="K59" s="376">
        <v>2</v>
      </c>
      <c r="L59" s="408">
        <f>пр.хода!M26</f>
        <v>0</v>
      </c>
      <c r="M59" s="381" t="e">
        <f>VLOOKUP(L59,пр.взв!B$7:F$22,2,FALSE)</f>
        <v>#N/A</v>
      </c>
      <c r="N59" s="383" t="e">
        <f>VLOOKUP(L59,пр.взв!B$7:F$22,3,FALSE)</f>
        <v>#N/A</v>
      </c>
      <c r="O59" s="383" t="e">
        <f>VLOOKUP(L59,пр.взв!B$7:F$22,4,FALSE)</f>
        <v>#N/A</v>
      </c>
      <c r="P59" s="383" t="e">
        <f>VLOOKUP(L59,пр.взв!B$7:F$22,5,FALSE)</f>
        <v>#N/A</v>
      </c>
      <c r="Q59" s="361"/>
      <c r="R59" s="363"/>
      <c r="S59" s="364"/>
      <c r="T59" s="366"/>
    </row>
    <row r="60" spans="1:20">
      <c r="A60" s="377"/>
      <c r="B60" s="440"/>
      <c r="C60" s="382"/>
      <c r="D60" s="384"/>
      <c r="E60" s="384"/>
      <c r="F60" s="384"/>
      <c r="G60" s="362"/>
      <c r="H60" s="362"/>
      <c r="I60" s="365"/>
      <c r="J60" s="278"/>
      <c r="K60" s="377"/>
      <c r="L60" s="440"/>
      <c r="M60" s="382"/>
      <c r="N60" s="384"/>
      <c r="O60" s="384"/>
      <c r="P60" s="384"/>
      <c r="Q60" s="362"/>
      <c r="R60" s="362"/>
      <c r="S60" s="365"/>
      <c r="T60" s="278"/>
    </row>
    <row r="61" spans="1:20" ht="12.75" customHeight="1">
      <c r="A61" s="377"/>
      <c r="B61" s="409">
        <f>пр.хода!C32</f>
        <v>0</v>
      </c>
      <c r="C61" s="369" t="e">
        <f>VLOOKUP(B61,пр.взв!B$7:E$22,2,FALSE)</f>
        <v>#N/A</v>
      </c>
      <c r="D61" s="371" t="e">
        <f>VLOOKUP(B61,пр.взв!B$7:E$22,3,FALSE)</f>
        <v>#N/A</v>
      </c>
      <c r="E61" s="371" t="e">
        <f>VLOOKUP(B61,пр.взв!B$7:E$22,4,FALSE)</f>
        <v>#N/A</v>
      </c>
      <c r="F61" s="371" t="e">
        <f>VLOOKUP(B61,пр.взв!B$7:F$22,5,FALSE)</f>
        <v>#N/A</v>
      </c>
      <c r="G61" s="373"/>
      <c r="H61" s="373"/>
      <c r="I61" s="279"/>
      <c r="J61" s="279"/>
      <c r="K61" s="377"/>
      <c r="L61" s="409">
        <f>пр.хода!M32</f>
        <v>0</v>
      </c>
      <c r="M61" s="369" t="e">
        <f>VLOOKUP(L61,пр.взв!B$7:F$22,2,FALSE)</f>
        <v>#N/A</v>
      </c>
      <c r="N61" s="371" t="e">
        <f>VLOOKUP(L61,пр.взв!B$7:F$22,3,FALSE)</f>
        <v>#N/A</v>
      </c>
      <c r="O61" s="371" t="e">
        <f>VLOOKUP(L61,пр.взв!B$7:F$22,4,FALSE)</f>
        <v>#N/A</v>
      </c>
      <c r="P61" s="371" t="e">
        <f>VLOOKUP(L61,пр.взв!B$7:F$22,5,FALSE)</f>
        <v>#N/A</v>
      </c>
      <c r="Q61" s="373"/>
      <c r="R61" s="373"/>
      <c r="S61" s="279"/>
      <c r="T61" s="279"/>
    </row>
    <row r="62" spans="1:20" ht="13.5" thickBot="1">
      <c r="A62" s="378"/>
      <c r="B62" s="443"/>
      <c r="C62" s="370"/>
      <c r="D62" s="372"/>
      <c r="E62" s="372"/>
      <c r="F62" s="372"/>
      <c r="G62" s="374"/>
      <c r="H62" s="374"/>
      <c r="I62" s="375"/>
      <c r="J62" s="375"/>
      <c r="K62" s="378"/>
      <c r="L62" s="443"/>
      <c r="M62" s="370"/>
      <c r="N62" s="372"/>
      <c r="O62" s="372"/>
      <c r="P62" s="372"/>
      <c r="Q62" s="374"/>
      <c r="R62" s="374"/>
      <c r="S62" s="375"/>
      <c r="T62" s="375"/>
    </row>
  </sheetData>
  <mergeCells count="476">
    <mergeCell ref="E48:E49"/>
    <mergeCell ref="O57:P58"/>
    <mergeCell ref="E57:F58"/>
    <mergeCell ref="O59:O60"/>
    <mergeCell ref="O54:O55"/>
    <mergeCell ref="O52:O53"/>
    <mergeCell ref="O50:O51"/>
    <mergeCell ref="O48:O49"/>
    <mergeCell ref="N59:N60"/>
    <mergeCell ref="P59:P60"/>
    <mergeCell ref="L59:L60"/>
    <mergeCell ref="M59:M60"/>
    <mergeCell ref="K52:K55"/>
    <mergeCell ref="L52:L53"/>
    <mergeCell ref="M52:M53"/>
    <mergeCell ref="L54:L55"/>
    <mergeCell ref="M54:M55"/>
    <mergeCell ref="N52:N53"/>
    <mergeCell ref="P52:P53"/>
    <mergeCell ref="E61:E62"/>
    <mergeCell ref="E59:E60"/>
    <mergeCell ref="E54:E55"/>
    <mergeCell ref="E52:E53"/>
    <mergeCell ref="E50:E51"/>
    <mergeCell ref="E31:E32"/>
    <mergeCell ref="A44:J44"/>
    <mergeCell ref="A46:A47"/>
    <mergeCell ref="B46:B47"/>
    <mergeCell ref="C46:C47"/>
    <mergeCell ref="B61:B62"/>
    <mergeCell ref="C61:C62"/>
    <mergeCell ref="D61:D62"/>
    <mergeCell ref="C57:C58"/>
    <mergeCell ref="D57:D58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N61:N62"/>
    <mergeCell ref="P61:P62"/>
    <mergeCell ref="Q61:Q62"/>
    <mergeCell ref="R61:R62"/>
    <mergeCell ref="O61:O62"/>
    <mergeCell ref="S59:S60"/>
    <mergeCell ref="T59:T60"/>
    <mergeCell ref="F61:F62"/>
    <mergeCell ref="G61:G62"/>
    <mergeCell ref="H61:H62"/>
    <mergeCell ref="I61:I62"/>
    <mergeCell ref="J61:J62"/>
    <mergeCell ref="Q59:Q60"/>
    <mergeCell ref="R59:R60"/>
    <mergeCell ref="J59:J60"/>
    <mergeCell ref="K59:K62"/>
    <mergeCell ref="L61:L62"/>
    <mergeCell ref="M61:M62"/>
    <mergeCell ref="S57:S58"/>
    <mergeCell ref="T57:T58"/>
    <mergeCell ref="A59:A62"/>
    <mergeCell ref="B59:B60"/>
    <mergeCell ref="C59:C60"/>
    <mergeCell ref="D59:D60"/>
    <mergeCell ref="F59:F60"/>
    <mergeCell ref="G59:G60"/>
    <mergeCell ref="H59:H60"/>
    <mergeCell ref="I59:I60"/>
    <mergeCell ref="N57:N58"/>
    <mergeCell ref="Q57:Q58"/>
    <mergeCell ref="R57:R58"/>
    <mergeCell ref="J57:J58"/>
    <mergeCell ref="K57:K58"/>
    <mergeCell ref="L57:L58"/>
    <mergeCell ref="M57:M58"/>
    <mergeCell ref="G57:G58"/>
    <mergeCell ref="H57:H58"/>
    <mergeCell ref="I57:I58"/>
    <mergeCell ref="A57:A58"/>
    <mergeCell ref="B57:B58"/>
    <mergeCell ref="S61:S62"/>
    <mergeCell ref="T61:T62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</sheetPr>
  <dimension ref="A1:I44"/>
  <sheetViews>
    <sheetView workbookViewId="0">
      <selection activeCell="C34" sqref="C34:C35"/>
    </sheetView>
  </sheetViews>
  <sheetFormatPr defaultRowHeight="12.75"/>
  <cols>
    <col min="1" max="1" width="4.7109375" customWidth="1"/>
    <col min="2" max="2" width="5.140625" customWidth="1"/>
    <col min="3" max="3" width="21.5703125" customWidth="1"/>
    <col min="4" max="4" width="8.42578125" customWidth="1"/>
    <col min="5" max="5" width="6.140625" customWidth="1"/>
    <col min="6" max="6" width="17.85546875" customWidth="1"/>
    <col min="7" max="7" width="22.5703125" customWidth="1"/>
    <col min="8" max="9" width="7.140625" customWidth="1"/>
  </cols>
  <sheetData>
    <row r="1" spans="1:9" ht="32.450000000000003" customHeight="1">
      <c r="A1" s="454" t="str">
        <f>пр.взв!B2</f>
        <v>Всероссийские соревнования по самбо, XIV Всероссийский турнир по боевому самбо памяти генерал-лейтенанта ФСБ России Чуйкина В.М.</v>
      </c>
      <c r="B1" s="455"/>
      <c r="C1" s="455"/>
      <c r="D1" s="455"/>
      <c r="E1" s="455"/>
      <c r="F1" s="455"/>
      <c r="G1" s="455"/>
      <c r="H1" s="455"/>
      <c r="I1" s="455"/>
    </row>
    <row r="2" spans="1:9" ht="27" customHeight="1">
      <c r="D2" s="53"/>
      <c r="E2" s="68" t="str">
        <f>HYPERLINK(пр.взв!D4)</f>
        <v>В.к.62  кг.</v>
      </c>
    </row>
    <row r="3" spans="1:9" ht="21.6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78" t="s">
        <v>11</v>
      </c>
      <c r="B5" s="278" t="s">
        <v>4</v>
      </c>
      <c r="C5" s="366" t="s">
        <v>5</v>
      </c>
      <c r="D5" s="278" t="s">
        <v>12</v>
      </c>
      <c r="E5" s="444" t="s">
        <v>13</v>
      </c>
      <c r="F5" s="445"/>
      <c r="G5" s="278" t="s">
        <v>14</v>
      </c>
      <c r="H5" s="278" t="s">
        <v>15</v>
      </c>
      <c r="I5" s="278" t="s">
        <v>16</v>
      </c>
    </row>
    <row r="6" spans="1:9">
      <c r="A6" s="279"/>
      <c r="B6" s="279"/>
      <c r="C6" s="279"/>
      <c r="D6" s="279"/>
      <c r="E6" s="446"/>
      <c r="F6" s="447"/>
      <c r="G6" s="279"/>
      <c r="H6" s="279"/>
      <c r="I6" s="279"/>
    </row>
    <row r="7" spans="1:9">
      <c r="A7" s="450"/>
      <c r="B7" s="427">
        <f>пр.хода!D29</f>
        <v>7</v>
      </c>
      <c r="C7" s="449" t="str">
        <f>VLOOKUP(B7,пр.взв!B7:D22,2,FALSE)</f>
        <v>Шалимов Олег Валентинович</v>
      </c>
      <c r="D7" s="449" t="str">
        <f>VLOOKUP(B7,пр.взв!B7:F38,3,FALSE)</f>
        <v>24.07.00, кмс</v>
      </c>
      <c r="E7" s="448" t="str">
        <f>VLOOKUP(B7,пр.взв!B7:F38,4,FALSE)</f>
        <v>СЗФО</v>
      </c>
      <c r="F7" s="449" t="str">
        <f>VLOOKUP(B7,пр.взв!B7:G28,5,FALSE)</f>
        <v>Вологодская, Вологда</v>
      </c>
      <c r="G7" s="362"/>
      <c r="H7" s="365"/>
      <c r="I7" s="278"/>
    </row>
    <row r="8" spans="1:9">
      <c r="A8" s="450"/>
      <c r="B8" s="278"/>
      <c r="C8" s="449"/>
      <c r="D8" s="449"/>
      <c r="E8" s="448"/>
      <c r="F8" s="449"/>
      <c r="G8" s="362"/>
      <c r="H8" s="365"/>
      <c r="I8" s="278"/>
    </row>
    <row r="9" spans="1:9">
      <c r="A9" s="451"/>
      <c r="B9" s="427">
        <f>пр.хода!C35</f>
        <v>1</v>
      </c>
      <c r="C9" s="449" t="e">
        <f>VLOOKUP(B9,пр.взв!B9:D22,2,FALSE)</f>
        <v>#N/A</v>
      </c>
      <c r="D9" s="449" t="e">
        <f>VLOOKUP(B9,пр.взв!B9:F40,3,FALSE)</f>
        <v>#N/A</v>
      </c>
      <c r="E9" s="448" t="e">
        <f>VLOOKUP(B9,пр.взв!B9:F40,4,FALSE)</f>
        <v>#N/A</v>
      </c>
      <c r="F9" s="449" t="e">
        <f>VLOOKUP(B9,пр.взв!B9:G30,5,FALSE)</f>
        <v>#N/A</v>
      </c>
      <c r="G9" s="362"/>
      <c r="H9" s="278"/>
      <c r="I9" s="278"/>
    </row>
    <row r="10" spans="1:9">
      <c r="A10" s="451"/>
      <c r="B10" s="278"/>
      <c r="C10" s="449"/>
      <c r="D10" s="449"/>
      <c r="E10" s="448"/>
      <c r="F10" s="449"/>
      <c r="G10" s="362"/>
      <c r="H10" s="278"/>
      <c r="I10" s="278"/>
    </row>
    <row r="11" spans="1:9" ht="29.25" customHeight="1">
      <c r="A11" s="2" t="s">
        <v>17</v>
      </c>
      <c r="B11" s="2"/>
    </row>
    <row r="12" spans="1:9" ht="20.100000000000001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00000000000001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00000000000001" customHeight="1"/>
    <row r="15" spans="1:9" ht="20.100000000000001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В.к.62  кг.</v>
      </c>
    </row>
    <row r="17" spans="1:9" ht="12.75" customHeight="1">
      <c r="A17" s="278" t="s">
        <v>11</v>
      </c>
      <c r="B17" s="278" t="s">
        <v>4</v>
      </c>
      <c r="C17" s="366" t="s">
        <v>5</v>
      </c>
      <c r="D17" s="278" t="s">
        <v>12</v>
      </c>
      <c r="E17" s="444" t="s">
        <v>13</v>
      </c>
      <c r="F17" s="445"/>
      <c r="G17" s="278" t="s">
        <v>14</v>
      </c>
      <c r="H17" s="278" t="s">
        <v>15</v>
      </c>
      <c r="I17" s="278" t="s">
        <v>16</v>
      </c>
    </row>
    <row r="18" spans="1:9">
      <c r="A18" s="279"/>
      <c r="B18" s="279"/>
      <c r="C18" s="279"/>
      <c r="D18" s="279"/>
      <c r="E18" s="446"/>
      <c r="F18" s="447"/>
      <c r="G18" s="279"/>
      <c r="H18" s="279"/>
      <c r="I18" s="279"/>
    </row>
    <row r="19" spans="1:9">
      <c r="A19" s="450"/>
      <c r="B19" s="427">
        <f>пр.хода!N29</f>
        <v>8</v>
      </c>
      <c r="C19" s="452" t="str">
        <f>VLOOKUP(B19,пр.взв!B1:D22,2,FALSE)</f>
        <v>Тайгибов Магомед Магомедрасулович</v>
      </c>
      <c r="D19" s="452" t="str">
        <f>VLOOKUP(B19,пр.взв!B1:F22,3,FALSE)</f>
        <v>27.03.98, кмс</v>
      </c>
      <c r="E19" s="457" t="str">
        <f>VLOOKUP(B19,пр.взв!B1:F22,4,FALSE)</f>
        <v>СП</v>
      </c>
      <c r="F19" s="449" t="str">
        <f>VLOOKUP(B19,пр.взв!B1:G22,5,FALSE)</f>
        <v>Санкт-Петербург</v>
      </c>
      <c r="G19" s="456"/>
      <c r="H19" s="365"/>
      <c r="I19" s="278"/>
    </row>
    <row r="20" spans="1:9">
      <c r="A20" s="450"/>
      <c r="B20" s="278"/>
      <c r="C20" s="453"/>
      <c r="D20" s="453"/>
      <c r="E20" s="459"/>
      <c r="F20" s="449"/>
      <c r="G20" s="456"/>
      <c r="H20" s="365"/>
      <c r="I20" s="278"/>
    </row>
    <row r="21" spans="1:9">
      <c r="A21" s="451"/>
      <c r="B21" s="427">
        <f>пр.хода!M35</f>
        <v>2</v>
      </c>
      <c r="C21" s="452" t="str">
        <f>VLOOKUP(B21,пр.взв!B1:D22,2,FALSE)</f>
        <v>Мишанин Константин Олегович</v>
      </c>
      <c r="D21" s="452" t="str">
        <f>VLOOKUP(B21,пр.взв!B1:F22,3,FALSE)</f>
        <v>16.06.89, кмс</v>
      </c>
      <c r="E21" s="457" t="str">
        <f>VLOOKUP(B21,пр.взв!B2:F22,4,FALSE)</f>
        <v>ЦФО</v>
      </c>
      <c r="F21" s="449" t="str">
        <f>VLOOKUP(B21,пр.взв!B1:G22,5,FALSE)</f>
        <v>Рязанская, Рязань "Юпитер"</v>
      </c>
      <c r="G21" s="456"/>
      <c r="H21" s="278"/>
      <c r="I21" s="278"/>
    </row>
    <row r="22" spans="1:9">
      <c r="A22" s="451"/>
      <c r="B22" s="278"/>
      <c r="C22" s="453"/>
      <c r="D22" s="453"/>
      <c r="E22" s="458"/>
      <c r="F22" s="449"/>
      <c r="G22" s="456"/>
      <c r="H22" s="278"/>
      <c r="I22" s="278"/>
    </row>
    <row r="23" spans="1:9" ht="29.25" customHeight="1">
      <c r="A23" s="2" t="s">
        <v>17</v>
      </c>
      <c r="B23" s="2"/>
    </row>
    <row r="24" spans="1:9" ht="20.100000000000001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00000000000001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00000000000001" customHeight="1"/>
    <row r="27" spans="1:9" ht="20.100000000000001" customHeight="1"/>
    <row r="28" spans="1:9" ht="20.100000000000001" customHeight="1"/>
    <row r="29" spans="1:9" ht="15.75">
      <c r="C29" s="47" t="s">
        <v>19</v>
      </c>
      <c r="E29" s="68" t="str">
        <f>HYPERLINK(пр.взв!D4)</f>
        <v>В.к.62  кг.</v>
      </c>
    </row>
    <row r="30" spans="1:9" ht="12.75" customHeight="1">
      <c r="A30" s="278" t="s">
        <v>11</v>
      </c>
      <c r="B30" s="278" t="s">
        <v>4</v>
      </c>
      <c r="C30" s="366" t="s">
        <v>5</v>
      </c>
      <c r="D30" s="278" t="s">
        <v>12</v>
      </c>
      <c r="E30" s="444" t="s">
        <v>13</v>
      </c>
      <c r="F30" s="445"/>
      <c r="G30" s="278" t="s">
        <v>14</v>
      </c>
      <c r="H30" s="278" t="s">
        <v>15</v>
      </c>
      <c r="I30" s="278" t="s">
        <v>16</v>
      </c>
    </row>
    <row r="31" spans="1:9">
      <c r="A31" s="279"/>
      <c r="B31" s="279"/>
      <c r="C31" s="279"/>
      <c r="D31" s="279"/>
      <c r="E31" s="446"/>
      <c r="F31" s="447"/>
      <c r="G31" s="279"/>
      <c r="H31" s="279"/>
      <c r="I31" s="279"/>
    </row>
    <row r="32" spans="1:9">
      <c r="A32" s="450"/>
      <c r="B32" s="427">
        <f>пр.хода!I14</f>
        <v>3</v>
      </c>
      <c r="C32" s="449" t="str">
        <f>VLOOKUP(B32,пр.взв!B3:D22,2,FALSE)</f>
        <v>Расулов Шамиль Садрутдинович</v>
      </c>
      <c r="D32" s="449" t="str">
        <f>VLOOKUP(B32,пр.взв!B3:F22,3,FALSE)</f>
        <v>09.04.93, мс</v>
      </c>
      <c r="E32" s="448" t="str">
        <f>VLOOKUP(B32,пр.взв!B3:F22,4,FALSE)</f>
        <v>СП</v>
      </c>
      <c r="F32" s="449" t="str">
        <f>VLOOKUP(B32,пр.взв!B3:G22,5,FALSE)</f>
        <v>Санкт-Петербург</v>
      </c>
      <c r="G32" s="362"/>
      <c r="H32" s="365"/>
      <c r="I32" s="278"/>
    </row>
    <row r="33" spans="1:9">
      <c r="A33" s="450"/>
      <c r="B33" s="278"/>
      <c r="C33" s="449"/>
      <c r="D33" s="449"/>
      <c r="E33" s="448"/>
      <c r="F33" s="449"/>
      <c r="G33" s="362"/>
      <c r="H33" s="365"/>
      <c r="I33" s="278"/>
    </row>
    <row r="34" spans="1:9">
      <c r="A34" s="451"/>
      <c r="B34" s="427">
        <f>пр.хода!M14</f>
        <v>4</v>
      </c>
      <c r="C34" s="449" t="str">
        <f>VLOOKUP(B34,пр.взв!B3:D22,2,FALSE)</f>
        <v>Бычков Александр Юрьевич</v>
      </c>
      <c r="D34" s="449" t="str">
        <f>VLOOKUP(B34,пр.взв!B3:F22,3,FALSE)</f>
        <v>11.01.87, кмс</v>
      </c>
      <c r="E34" s="448" t="str">
        <f>VLOOKUP(B34,пр.взв!B3:F22,4,FALSE)</f>
        <v>СЗФО</v>
      </c>
      <c r="F34" s="449" t="str">
        <f>VLOOKUP(B34,пр.взв!B3:G22,5,FALSE)</f>
        <v>Р.Карелия, Петрозаводск</v>
      </c>
      <c r="G34" s="362"/>
      <c r="H34" s="278"/>
      <c r="I34" s="278"/>
    </row>
    <row r="35" spans="1:9">
      <c r="A35" s="451"/>
      <c r="B35" s="278"/>
      <c r="C35" s="449"/>
      <c r="D35" s="449"/>
      <c r="E35" s="448"/>
      <c r="F35" s="449"/>
      <c r="G35" s="362"/>
      <c r="H35" s="278"/>
      <c r="I35" s="278"/>
    </row>
    <row r="36" spans="1:9" ht="36" customHeight="1">
      <c r="A36" s="2" t="s">
        <v>17</v>
      </c>
      <c r="B36" s="2"/>
    </row>
    <row r="37" spans="1:9" ht="20.100000000000001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00000000000001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00000000000001" customHeight="1"/>
    <row r="42" spans="1:9">
      <c r="A42" s="48" t="s">
        <v>92</v>
      </c>
      <c r="B42" s="49"/>
      <c r="C42" s="49"/>
      <c r="D42" s="49"/>
      <c r="E42" s="4"/>
      <c r="F42" s="57" t="s">
        <v>92</v>
      </c>
      <c r="G42" s="51" t="s">
        <v>92</v>
      </c>
    </row>
    <row r="43" spans="1:9">
      <c r="A43" s="49"/>
      <c r="B43" s="49"/>
      <c r="C43" s="49"/>
      <c r="D43" s="49"/>
      <c r="E43" s="4"/>
      <c r="F43" s="8"/>
      <c r="G43" s="4"/>
    </row>
    <row r="44" spans="1:9">
      <c r="A44" s="50" t="s">
        <v>92</v>
      </c>
      <c r="C44" s="49"/>
      <c r="D44" s="49"/>
      <c r="E44" s="50"/>
      <c r="F44" s="57" t="s">
        <v>92</v>
      </c>
      <c r="G44" s="52" t="s">
        <v>92</v>
      </c>
    </row>
  </sheetData>
  <mergeCells count="79"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C30:C31"/>
    <mergeCell ref="D30:D31"/>
    <mergeCell ref="A21:A22"/>
    <mergeCell ref="B21:B22"/>
    <mergeCell ref="C21:C22"/>
    <mergeCell ref="D21:D22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E9:E10"/>
    <mergeCell ref="F9:F10"/>
    <mergeCell ref="G9:G10"/>
    <mergeCell ref="H9:H10"/>
    <mergeCell ref="A9:A10"/>
    <mergeCell ref="B9:B10"/>
    <mergeCell ref="C9:C10"/>
    <mergeCell ref="D9:D10"/>
    <mergeCell ref="E7:E8"/>
    <mergeCell ref="F7:F8"/>
    <mergeCell ref="G7:G8"/>
    <mergeCell ref="H7:H8"/>
    <mergeCell ref="A7:A8"/>
    <mergeCell ref="B7:B8"/>
    <mergeCell ref="C7:C8"/>
    <mergeCell ref="D7:D8"/>
    <mergeCell ref="E5:F6"/>
    <mergeCell ref="A5:A6"/>
    <mergeCell ref="B5:B6"/>
    <mergeCell ref="C5:C6"/>
    <mergeCell ref="D5:D6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AO54"/>
  <sheetViews>
    <sheetView workbookViewId="0">
      <selection sqref="A1:H44"/>
    </sheetView>
  </sheetViews>
  <sheetFormatPr defaultRowHeight="12.75"/>
  <cols>
    <col min="1" max="1" width="8" customWidth="1"/>
    <col min="2" max="2" width="7.5703125" customWidth="1"/>
    <col min="3" max="3" width="21.28515625" customWidth="1"/>
    <col min="4" max="4" width="12.28515625" customWidth="1"/>
    <col min="5" max="5" width="7.7109375" customWidth="1"/>
    <col min="6" max="6" width="14.5703125" customWidth="1"/>
    <col min="7" max="7" width="8.85546875" customWidth="1"/>
    <col min="8" max="8" width="18.85546875" customWidth="1"/>
    <col min="10" max="10" width="15.7109375" customWidth="1"/>
    <col min="11" max="11" width="3.140625" customWidth="1"/>
    <col min="12" max="18" width="9.140625" hidden="1" customWidth="1"/>
    <col min="19" max="19" width="5.7109375" hidden="1" customWidth="1"/>
    <col min="20" max="20" width="16.140625" hidden="1" customWidth="1"/>
    <col min="21" max="35" width="0" hidden="1" customWidth="1"/>
  </cols>
  <sheetData>
    <row r="1" spans="1:41" ht="23.25" customHeight="1" thickBot="1">
      <c r="A1" s="359" t="s">
        <v>22</v>
      </c>
      <c r="B1" s="359"/>
      <c r="C1" s="359"/>
      <c r="D1" s="359"/>
      <c r="E1" s="359"/>
      <c r="F1" s="359"/>
      <c r="G1" s="359"/>
      <c r="H1" s="35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>
        <f ca="1">SUMIF(T6:T11,V1,$K$14:$K$17)</f>
        <v>0</v>
      </c>
      <c r="U1" s="189"/>
      <c r="V1" s="189" t="str">
        <f>J12</f>
        <v>Рязанская</v>
      </c>
    </row>
    <row r="2" spans="1:41" ht="48" customHeight="1" thickBot="1">
      <c r="A2" s="110"/>
      <c r="B2" s="360" t="s">
        <v>73</v>
      </c>
      <c r="C2" s="360"/>
      <c r="D2" s="502" t="str">
        <f>пр.взв!B2</f>
        <v>Всероссийские соревнования по самбо, XIV Всероссийский турнир по боевому самбо памяти генерал-лейтенанта ФСБ России Чуйкина В.М.</v>
      </c>
      <c r="E2" s="503"/>
      <c r="F2" s="503"/>
      <c r="G2" s="503"/>
      <c r="H2" s="504"/>
      <c r="T2" s="273">
        <f>SUMIF(J14:J16,V1,$K$14:$K$17)</f>
        <v>0</v>
      </c>
      <c r="U2" s="273"/>
      <c r="V2" s="273"/>
      <c r="W2" s="273"/>
      <c r="X2" s="273"/>
    </row>
    <row r="3" spans="1:41" ht="24.75" customHeight="1" thickBot="1">
      <c r="A3" s="110"/>
      <c r="B3" s="466" t="str">
        <f>пр.взв!A3</f>
        <v>12-14  октября 2018г.                                              г.Лахденпохья</v>
      </c>
      <c r="C3" s="466"/>
      <c r="D3" s="466"/>
      <c r="E3" s="466"/>
      <c r="F3" s="466"/>
      <c r="G3" s="467" t="str">
        <f>пр.взв!D4</f>
        <v>В.к.62  кг.</v>
      </c>
      <c r="H3" s="468"/>
    </row>
    <row r="4" spans="1:41" ht="12.75" customHeight="1" thickBot="1">
      <c r="A4" s="469" t="s">
        <v>46</v>
      </c>
      <c r="B4" s="471" t="s">
        <v>4</v>
      </c>
      <c r="C4" s="473" t="s">
        <v>5</v>
      </c>
      <c r="D4" s="423" t="s">
        <v>6</v>
      </c>
      <c r="E4" s="422" t="s">
        <v>7</v>
      </c>
      <c r="F4" s="423"/>
      <c r="G4" s="497" t="s">
        <v>9</v>
      </c>
      <c r="H4" s="494" t="s">
        <v>8</v>
      </c>
      <c r="J4" s="507" t="str">
        <f>IFERROR(LEFT(F6,FIND(",",F6)-1),F6)</f>
        <v>Р.Карелия</v>
      </c>
      <c r="K4" s="508">
        <v>1</v>
      </c>
      <c r="L4" s="509" t="s">
        <v>54</v>
      </c>
      <c r="M4" s="511" t="s">
        <v>55</v>
      </c>
      <c r="N4" s="513"/>
      <c r="O4" s="514"/>
      <c r="P4" s="514"/>
      <c r="Q4" s="515"/>
      <c r="S4" s="516" t="s">
        <v>54</v>
      </c>
      <c r="T4" s="511" t="s">
        <v>55</v>
      </c>
      <c r="U4" s="513"/>
      <c r="V4" s="514"/>
      <c r="W4" s="514"/>
      <c r="X4" s="515"/>
      <c r="AC4" s="516" t="s">
        <v>54</v>
      </c>
      <c r="AD4" s="511" t="s">
        <v>55</v>
      </c>
      <c r="AE4" s="513"/>
      <c r="AF4" s="514"/>
      <c r="AG4" s="514"/>
      <c r="AH4" s="515"/>
      <c r="AJ4" s="516" t="s">
        <v>54</v>
      </c>
      <c r="AK4" s="511" t="s">
        <v>55</v>
      </c>
      <c r="AL4" s="513"/>
      <c r="AM4" s="514"/>
      <c r="AN4" s="514"/>
      <c r="AO4" s="515"/>
    </row>
    <row r="5" spans="1:41" ht="16.5" thickBot="1">
      <c r="A5" s="470"/>
      <c r="B5" s="472"/>
      <c r="C5" s="474"/>
      <c r="D5" s="425"/>
      <c r="E5" s="424"/>
      <c r="F5" s="425"/>
      <c r="G5" s="375"/>
      <c r="H5" s="495"/>
      <c r="J5" s="507"/>
      <c r="K5" s="508"/>
      <c r="L5" s="510"/>
      <c r="M5" s="512"/>
      <c r="N5" s="91">
        <v>1</v>
      </c>
      <c r="O5" s="92">
        <v>2</v>
      </c>
      <c r="P5" s="92">
        <v>3</v>
      </c>
      <c r="Q5" s="93">
        <v>5</v>
      </c>
      <c r="S5" s="517"/>
      <c r="T5" s="512"/>
      <c r="U5" s="91">
        <v>1</v>
      </c>
      <c r="V5" s="92">
        <v>2</v>
      </c>
      <c r="W5" s="92">
        <v>3</v>
      </c>
      <c r="X5" s="93">
        <v>5</v>
      </c>
      <c r="Z5" s="190">
        <v>1</v>
      </c>
      <c r="AB5" s="190">
        <v>2</v>
      </c>
      <c r="AC5" s="517"/>
      <c r="AD5" s="518"/>
      <c r="AE5" s="191">
        <v>1</v>
      </c>
      <c r="AF5" s="192">
        <v>2</v>
      </c>
      <c r="AG5" s="192">
        <v>3</v>
      </c>
      <c r="AH5" s="193">
        <v>5</v>
      </c>
      <c r="AJ5" s="517"/>
      <c r="AK5" s="518"/>
      <c r="AL5" s="191">
        <v>1</v>
      </c>
      <c r="AM5" s="192">
        <v>2</v>
      </c>
      <c r="AN5" s="192">
        <v>3</v>
      </c>
      <c r="AO5" s="193">
        <v>5</v>
      </c>
    </row>
    <row r="6" spans="1:41" ht="12.75" customHeight="1">
      <c r="A6" s="460">
        <v>1</v>
      </c>
      <c r="B6" s="462">
        <f>пр.хода!H8</f>
        <v>4</v>
      </c>
      <c r="C6" s="464" t="str">
        <f>VLOOKUP(B6,пр.взв!B7:H22,2,FALSE)</f>
        <v>Бычков Александр Юрьевич</v>
      </c>
      <c r="D6" s="283" t="str">
        <f>VLOOKUP(B6,пр.взв!B7:H77,3,FALSE)</f>
        <v>11.01.87, кмс</v>
      </c>
      <c r="E6" s="505" t="str">
        <f>VLOOKUP(B6,пр.взв!B7:H22,4,FALSE)</f>
        <v>СЗФО</v>
      </c>
      <c r="F6" s="506" t="str">
        <f>VLOOKUP(B6,пр.взв!B7:H22,5,FALSE)</f>
        <v>Р.Карелия, Петрозаводск</v>
      </c>
      <c r="G6" s="501">
        <f>VLOOKUP(B6,пр.взв!B7:H22,6,FALSE)</f>
        <v>0</v>
      </c>
      <c r="H6" s="496" t="str">
        <f>VLOOKUP(B6,пр.взв!B7:H79,7,FALSE)</f>
        <v>Шегельман РИ</v>
      </c>
      <c r="J6" s="507" t="s">
        <v>56</v>
      </c>
      <c r="K6" s="508">
        <v>1</v>
      </c>
      <c r="L6" s="94">
        <v>1</v>
      </c>
      <c r="M6" s="95" t="s">
        <v>57</v>
      </c>
      <c r="N6" s="96">
        <f>SUMIF($J$4:$J$7,J4,$K$4:$K$7)</f>
        <v>1</v>
      </c>
      <c r="O6" s="96">
        <f ca="1">SUMIF($I$8:$J$9,"алт",$K$6:$K$9)</f>
        <v>0</v>
      </c>
      <c r="P6" s="97">
        <f>SUMIF($J$10:$J$13,"Алт",$K$10:$K$13)</f>
        <v>0</v>
      </c>
      <c r="Q6" s="97">
        <f>SUMIF($J$14:$J$17,"Алт",$K$14:$K$17)</f>
        <v>0</v>
      </c>
      <c r="S6" s="94">
        <v>1</v>
      </c>
      <c r="T6" s="95" t="str">
        <f>J4</f>
        <v>Р.Карелия</v>
      </c>
      <c r="U6" s="96">
        <f t="shared" ref="U6:U11" si="0">SUMIF($J$4:$J$7,T6,$K$4:$K$7)</f>
        <v>1</v>
      </c>
      <c r="V6" s="96">
        <f t="shared" ref="V6:V11" ca="1" si="1">SUMIF($I$8:$J$9,T6,$K$6:$K$9)</f>
        <v>0</v>
      </c>
      <c r="W6" s="97">
        <f t="shared" ref="W6:W11" si="2">SUMIF($J$10:$J$13,T6,$K$10:$K$13)</f>
        <v>0</v>
      </c>
      <c r="X6" s="97">
        <f>SUMIF($J$14:$J$17,T6,$K$14:$K$17)</f>
        <v>0</v>
      </c>
      <c r="Z6" t="str">
        <f>T6</f>
        <v>Р.Карелия</v>
      </c>
      <c r="AB6" t="str">
        <f>Z6</f>
        <v>Р.Карелия</v>
      </c>
      <c r="AC6" s="194">
        <v>1</v>
      </c>
      <c r="AD6" s="195" t="str">
        <f>AB6</f>
        <v>Р.Карелия</v>
      </c>
      <c r="AE6" s="196">
        <f t="shared" ref="AE6:AE11" si="3">SUMIF($J$4:$J$7,AD6,$K$4:$K$7)</f>
        <v>1</v>
      </c>
      <c r="AF6" s="196">
        <f t="shared" ref="AF6:AF11" ca="1" si="4">SUMIF($I$8:$J$9,AD6,$K$6:$K$9)</f>
        <v>0</v>
      </c>
      <c r="AG6" s="196">
        <f t="shared" ref="AG6:AG11" si="5">SUMIF($J$10:$J$13,AD6,$K$10:$K$13)</f>
        <v>0</v>
      </c>
      <c r="AH6" s="197">
        <f t="shared" ref="AH6:AH11" si="6">SUMIF($J$14:$J$17,AD6,$K$14:$K$17)</f>
        <v>0</v>
      </c>
      <c r="AJ6" s="194">
        <v>1</v>
      </c>
      <c r="AK6" s="195" t="str">
        <f t="shared" ref="AK6:AO11" si="7">IF(AD6=0," ",AD6)</f>
        <v>Р.Карелия</v>
      </c>
      <c r="AL6" s="196">
        <f t="shared" si="7"/>
        <v>1</v>
      </c>
      <c r="AM6" s="196" t="str">
        <f t="shared" ca="1" si="7"/>
        <v xml:space="preserve"> </v>
      </c>
      <c r="AN6" s="196" t="str">
        <f t="shared" si="7"/>
        <v xml:space="preserve"> </v>
      </c>
      <c r="AO6" s="197" t="str">
        <f t="shared" si="7"/>
        <v xml:space="preserve"> </v>
      </c>
    </row>
    <row r="7" spans="1:41" ht="15.75">
      <c r="A7" s="461"/>
      <c r="B7" s="463"/>
      <c r="C7" s="465"/>
      <c r="D7" s="283"/>
      <c r="E7" s="459"/>
      <c r="F7" s="281"/>
      <c r="G7" s="501"/>
      <c r="H7" s="496"/>
      <c r="J7" s="507"/>
      <c r="K7" s="508"/>
      <c r="L7" s="98">
        <v>2</v>
      </c>
      <c r="M7" s="95" t="s">
        <v>58</v>
      </c>
      <c r="N7" s="96">
        <f>SUMIF($J$4:$J$7,"заб",$K$4:$K$7)</f>
        <v>0</v>
      </c>
      <c r="O7" s="96">
        <f ca="1">SUMIF($I$8:$J$9,"заб",$K$6:$K$9)</f>
        <v>0</v>
      </c>
      <c r="P7" s="97">
        <f>SUMIF($J$10:$J$13,"заб",$K$10:$K$13)</f>
        <v>0</v>
      </c>
      <c r="Q7" s="97">
        <f>SUMIF($J$14:$J$17,"заб",$K$14:$K$17)</f>
        <v>0</v>
      </c>
      <c r="S7" s="98">
        <v>2</v>
      </c>
      <c r="T7" s="95" t="str">
        <f>IF(J8=J4," ",J8)</f>
        <v>Санкт-Петербург</v>
      </c>
      <c r="U7" s="96">
        <f t="shared" si="0"/>
        <v>0</v>
      </c>
      <c r="V7" s="96">
        <f t="shared" ca="1" si="1"/>
        <v>1</v>
      </c>
      <c r="W7" s="97">
        <f t="shared" si="2"/>
        <v>0</v>
      </c>
      <c r="X7" s="97">
        <f>SUMIF($J$14:$J$17,T7,$K$14:$K$17)</f>
        <v>1</v>
      </c>
      <c r="Z7" t="str">
        <f>IF(OR(T7=" "),T8,T7)</f>
        <v>Санкт-Петербург</v>
      </c>
      <c r="AA7">
        <f>IF(U7=U6," ",U7)</f>
        <v>0</v>
      </c>
      <c r="AB7" t="str">
        <f>IF(OR(Z7=" "),Z8,Z7)</f>
        <v>Санкт-Петербург</v>
      </c>
      <c r="AC7" s="198">
        <v>2</v>
      </c>
      <c r="AD7" s="199" t="str">
        <f>IF(OR(AB7=" "),AB8,AB7)</f>
        <v>Санкт-Петербург</v>
      </c>
      <c r="AE7" s="200">
        <f t="shared" si="3"/>
        <v>0</v>
      </c>
      <c r="AF7" s="200">
        <f t="shared" ca="1" si="4"/>
        <v>1</v>
      </c>
      <c r="AG7" s="200">
        <f t="shared" si="5"/>
        <v>0</v>
      </c>
      <c r="AH7" s="201">
        <f t="shared" si="6"/>
        <v>1</v>
      </c>
      <c r="AJ7" s="198">
        <v>2</v>
      </c>
      <c r="AK7" s="199" t="str">
        <f t="shared" si="7"/>
        <v>Санкт-Петербург</v>
      </c>
      <c r="AL7" s="200" t="str">
        <f t="shared" si="7"/>
        <v xml:space="preserve"> </v>
      </c>
      <c r="AM7" s="200">
        <f t="shared" ca="1" si="7"/>
        <v>1</v>
      </c>
      <c r="AN7" s="200" t="str">
        <f t="shared" si="7"/>
        <v xml:space="preserve"> </v>
      </c>
      <c r="AO7" s="201">
        <f t="shared" si="7"/>
        <v>1</v>
      </c>
    </row>
    <row r="8" spans="1:41" ht="12.75" customHeight="1">
      <c r="A8" s="461">
        <v>2</v>
      </c>
      <c r="B8" s="463">
        <f>пр.хода!H20</f>
        <v>3</v>
      </c>
      <c r="C8" s="464" t="str">
        <f>VLOOKUP(B8,пр.взв!B1:H22,2,FALSE)</f>
        <v>Расулов Шамиль Садрутдинович</v>
      </c>
      <c r="D8" s="475" t="str">
        <f>VLOOKUP(B8,пр.взв!B1:H79,3,FALSE)</f>
        <v>09.04.93, мс</v>
      </c>
      <c r="E8" s="457" t="str">
        <f>VLOOKUP(B8,пр.взв!B1:H22,4,FALSE)</f>
        <v>СП</v>
      </c>
      <c r="F8" s="479" t="str">
        <f>VLOOKUP(B8,пр.взв!B1:H22,5,FALSE)</f>
        <v>Санкт-Петербург</v>
      </c>
      <c r="G8" s="498">
        <f>VLOOKUP(B8,пр.взв!B1:H22,6,FALSE)</f>
        <v>0</v>
      </c>
      <c r="H8" s="491" t="str">
        <f>VLOOKUP(B8,пр.взв!B1:H81,7,FALSE)</f>
        <v>Коршунов АИ</v>
      </c>
      <c r="J8" s="508" t="str">
        <f>IFERROR(LEFT(F8,FIND(",",F8)-1),F8)</f>
        <v>Санкт-Петербург</v>
      </c>
      <c r="K8" s="508">
        <v>1</v>
      </c>
      <c r="L8" s="99">
        <v>3</v>
      </c>
      <c r="M8" s="95" t="s">
        <v>59</v>
      </c>
      <c r="N8" s="96">
        <f>SUMIF($J$4:$J$7,"ирк",$K$4:$K$7)</f>
        <v>0</v>
      </c>
      <c r="O8" s="96">
        <f ca="1">SUMIF($I$8:$J$9,"ирк",$K$6:$K$9)</f>
        <v>0</v>
      </c>
      <c r="P8" s="97">
        <f>SUMIF($J$10:$J$13,"ирк",$K$10:$K$13)</f>
        <v>0</v>
      </c>
      <c r="Q8" s="97">
        <f>SUMIF($J$14:$J$17,"ирк",$K$14:$K$17)</f>
        <v>0</v>
      </c>
      <c r="S8" s="99">
        <v>3</v>
      </c>
      <c r="T8" s="95" t="str">
        <f>IF(OR(J10=J4,J10=J8)," ",J10)</f>
        <v>Ставропольский</v>
      </c>
      <c r="U8" s="96">
        <f t="shared" si="0"/>
        <v>0</v>
      </c>
      <c r="V8" s="96">
        <f t="shared" ca="1" si="1"/>
        <v>0</v>
      </c>
      <c r="W8" s="97">
        <f t="shared" si="2"/>
        <v>1</v>
      </c>
      <c r="X8" s="97">
        <f>SUMIF($J$14:$J$17,T8,$K$14:$K$17)</f>
        <v>0</v>
      </c>
      <c r="Z8" t="str">
        <f>IF(OR(T8=" ",T7=" "),T9,T8)</f>
        <v>Ставропольский</v>
      </c>
      <c r="AB8" t="str">
        <f>IF(OR(Z8=" ",Z7=" "),Z9,Z8)</f>
        <v>Ставропольский</v>
      </c>
      <c r="AC8" s="202">
        <v>3</v>
      </c>
      <c r="AD8" s="199" t="str">
        <f>IF(OR(AB8=" ",AB7=" "),AB9,AB8)</f>
        <v>Ставропольский</v>
      </c>
      <c r="AE8" s="200">
        <f t="shared" si="3"/>
        <v>0</v>
      </c>
      <c r="AF8" s="200">
        <f t="shared" ca="1" si="4"/>
        <v>0</v>
      </c>
      <c r="AG8" s="200">
        <f t="shared" si="5"/>
        <v>1</v>
      </c>
      <c r="AH8" s="201">
        <f t="shared" si="6"/>
        <v>0</v>
      </c>
      <c r="AJ8" s="202">
        <v>3</v>
      </c>
      <c r="AK8" s="199" t="str">
        <f t="shared" si="7"/>
        <v>Ставропольский</v>
      </c>
      <c r="AL8" s="200" t="str">
        <f t="shared" si="7"/>
        <v xml:space="preserve"> </v>
      </c>
      <c r="AM8" s="200" t="str">
        <f t="shared" ca="1" si="7"/>
        <v xml:space="preserve"> </v>
      </c>
      <c r="AN8" s="200">
        <f t="shared" si="7"/>
        <v>1</v>
      </c>
      <c r="AO8" s="201" t="str">
        <f t="shared" si="7"/>
        <v xml:space="preserve"> </v>
      </c>
    </row>
    <row r="9" spans="1:41" ht="15.75">
      <c r="A9" s="461"/>
      <c r="B9" s="463"/>
      <c r="C9" s="465"/>
      <c r="D9" s="476"/>
      <c r="E9" s="458"/>
      <c r="F9" s="479"/>
      <c r="G9" s="500"/>
      <c r="H9" s="493"/>
      <c r="J9" s="508"/>
      <c r="K9" s="508"/>
      <c r="L9" s="98">
        <v>4</v>
      </c>
      <c r="M9" s="95" t="s">
        <v>60</v>
      </c>
      <c r="N9" s="96">
        <f>SUMIF($J$4:$J$7,"кем",$K$4:$K$7)</f>
        <v>0</v>
      </c>
      <c r="O9" s="96">
        <f ca="1">SUMIF($I$8:$J$9,"кем",$K$6:$K$9)</f>
        <v>0</v>
      </c>
      <c r="P9" s="97">
        <f>SUMIF($J$10:$J$13,"кем",$K$10:$K$13)</f>
        <v>0</v>
      </c>
      <c r="Q9" s="97">
        <f>SUMIF($J$14:$J$17,"кем",$K$14:$K$17)</f>
        <v>0</v>
      </c>
      <c r="S9" s="98">
        <v>4</v>
      </c>
      <c r="T9" s="95" t="str">
        <f>IF(OR(J12=J4,J12=J8,J12=J10)," ",J12)</f>
        <v>Рязанская</v>
      </c>
      <c r="U9" s="96">
        <f t="shared" si="0"/>
        <v>0</v>
      </c>
      <c r="V9" s="96">
        <f t="shared" ca="1" si="1"/>
        <v>0</v>
      </c>
      <c r="W9" s="97">
        <f t="shared" si="2"/>
        <v>1</v>
      </c>
      <c r="X9" s="97">
        <f>SUMIF($J$14:$J$17,T9,$K$14:$K$17)</f>
        <v>0</v>
      </c>
      <c r="Z9" t="str">
        <f>IF(OR(T7=" ",T8=" ",T9=" "),T10,T9)</f>
        <v>Рязанская</v>
      </c>
      <c r="AB9" t="str">
        <f>IF(OR(Z7=" ",Z8=" ",Z9=" "),Z10,Z9)</f>
        <v>Рязанская</v>
      </c>
      <c r="AC9" s="198">
        <v>4</v>
      </c>
      <c r="AD9" s="199" t="str">
        <f>IF(OR(AB7=" ",AB8=" ",AB9=" "),AB10,AB9)</f>
        <v>Рязанская</v>
      </c>
      <c r="AE9" s="200">
        <f t="shared" si="3"/>
        <v>0</v>
      </c>
      <c r="AF9" s="200">
        <f t="shared" ca="1" si="4"/>
        <v>0</v>
      </c>
      <c r="AG9" s="200">
        <f t="shared" si="5"/>
        <v>1</v>
      </c>
      <c r="AH9" s="201">
        <f t="shared" si="6"/>
        <v>0</v>
      </c>
      <c r="AJ9" s="198">
        <v>4</v>
      </c>
      <c r="AK9" s="199" t="str">
        <f t="shared" si="7"/>
        <v>Рязанская</v>
      </c>
      <c r="AL9" s="200" t="str">
        <f t="shared" si="7"/>
        <v xml:space="preserve"> </v>
      </c>
      <c r="AM9" s="200" t="str">
        <f t="shared" ca="1" si="7"/>
        <v xml:space="preserve"> </v>
      </c>
      <c r="AN9" s="200">
        <f t="shared" si="7"/>
        <v>1</v>
      </c>
      <c r="AO9" s="201" t="str">
        <f t="shared" si="7"/>
        <v xml:space="preserve"> </v>
      </c>
    </row>
    <row r="10" spans="1:41" ht="12.75" customHeight="1">
      <c r="A10" s="461">
        <v>3</v>
      </c>
      <c r="B10" s="463">
        <f>пр.хода!E32</f>
        <v>1</v>
      </c>
      <c r="C10" s="477" t="str">
        <f>VLOOKUP(B10,пр.взв!B1:H22,2,FALSE)</f>
        <v>Кибишев Залим Арсенович</v>
      </c>
      <c r="D10" s="475" t="str">
        <f>VLOOKUP(B10,пр.взв!B1:H81,3,FALSE)</f>
        <v>19.06.94, мс</v>
      </c>
      <c r="E10" s="457" t="str">
        <f>VLOOKUP(B10,пр.взв!B1:H22,4,FALSE)</f>
        <v>СКФО</v>
      </c>
      <c r="F10" s="479" t="str">
        <f>VLOOKUP(B10,пр.взв!B1:H22,5,FALSE)</f>
        <v>Ставропольский, Ставрополь</v>
      </c>
      <c r="G10" s="498">
        <f>VLOOKUP(B10,пр.взв!B1:H22,6,FALSE)</f>
        <v>0</v>
      </c>
      <c r="H10" s="491" t="str">
        <f>VLOOKUP(B10,пр.взв!B1:H83,7,FALSE)</f>
        <v>Хапай АЮ Хапай АЮ</v>
      </c>
      <c r="J10" s="508" t="str">
        <f>IFERROR(LEFT(F10,FIND(",",F10)-1),F10)</f>
        <v>Ставропольский</v>
      </c>
      <c r="K10" s="508">
        <v>1</v>
      </c>
      <c r="L10" s="99">
        <v>5</v>
      </c>
      <c r="M10" s="95" t="s">
        <v>61</v>
      </c>
      <c r="N10" s="96">
        <f>SUMIF($J$4:$J$7,"кра",$K$4:$K$7)</f>
        <v>0</v>
      </c>
      <c r="O10" s="96">
        <f ca="1">SUMIF($I$8:$J$9,"кра",$K$6:$K$9)</f>
        <v>0</v>
      </c>
      <c r="P10" s="97">
        <f>SUMIF($J$10:$J$13,"кра",$K$10:$K$13)</f>
        <v>0</v>
      </c>
      <c r="Q10" s="97">
        <f>SUMIF($J$14:$J$17,"кра",$K$14:$K$17)</f>
        <v>0</v>
      </c>
      <c r="S10" s="99">
        <v>5</v>
      </c>
      <c r="T10" s="95" t="str">
        <f>IF(OR(J14=J4,J14=J8,J14=J10,J14=J12)," ",J14)</f>
        <v>Вологодская</v>
      </c>
      <c r="U10" s="96">
        <f t="shared" si="0"/>
        <v>0</v>
      </c>
      <c r="V10" s="96">
        <f t="shared" ca="1" si="1"/>
        <v>0</v>
      </c>
      <c r="W10" s="97">
        <f t="shared" si="2"/>
        <v>0</v>
      </c>
      <c r="X10" s="97">
        <f>SUMIF($J$14:$J$17,T10,$K$14:$K$17)</f>
        <v>1</v>
      </c>
      <c r="Z10" t="str">
        <f>IF(OR(T7=" ",T8=" ",T9=" ",T10=" "),T11,T10)</f>
        <v>Вологодская</v>
      </c>
      <c r="AB10" t="str">
        <f>IF(OR(Z7=" ",Z8=" ",Z9=" ")," ",Z10)</f>
        <v>Вологодская</v>
      </c>
      <c r="AC10" s="202">
        <v>5</v>
      </c>
      <c r="AD10" s="199" t="str">
        <f>IF(OR(AB7=" ",AB8=" ",AB9=" ")," ",AB10)</f>
        <v>Вологодская</v>
      </c>
      <c r="AE10" s="200">
        <f t="shared" si="3"/>
        <v>0</v>
      </c>
      <c r="AF10" s="200">
        <f t="shared" ca="1" si="4"/>
        <v>0</v>
      </c>
      <c r="AG10" s="200">
        <f t="shared" si="5"/>
        <v>0</v>
      </c>
      <c r="AH10" s="201">
        <f t="shared" si="6"/>
        <v>1</v>
      </c>
      <c r="AJ10" s="202">
        <v>5</v>
      </c>
      <c r="AK10" s="199" t="str">
        <f t="shared" si="7"/>
        <v>Вологодская</v>
      </c>
      <c r="AL10" s="200" t="str">
        <f t="shared" si="7"/>
        <v xml:space="preserve"> </v>
      </c>
      <c r="AM10" s="200" t="str">
        <f t="shared" ca="1" si="7"/>
        <v xml:space="preserve"> </v>
      </c>
      <c r="AN10" s="200" t="str">
        <f t="shared" si="7"/>
        <v xml:space="preserve"> </v>
      </c>
      <c r="AO10" s="201">
        <f t="shared" si="7"/>
        <v>1</v>
      </c>
    </row>
    <row r="11" spans="1:41" ht="16.5" thickBot="1">
      <c r="A11" s="461"/>
      <c r="B11" s="463"/>
      <c r="C11" s="465"/>
      <c r="D11" s="476"/>
      <c r="E11" s="458"/>
      <c r="F11" s="479"/>
      <c r="G11" s="500"/>
      <c r="H11" s="493"/>
      <c r="J11" s="508"/>
      <c r="K11" s="508"/>
      <c r="L11" s="98">
        <v>6</v>
      </c>
      <c r="M11" s="95" t="s">
        <v>62</v>
      </c>
      <c r="N11" s="96">
        <f>SUMIF($J$4:$J$7,"нов",$K$4:$K$7)</f>
        <v>0</v>
      </c>
      <c r="O11" s="96">
        <f ca="1">SUMIF($I$8:$J$9,"нов",$K$6:$K$9)</f>
        <v>0</v>
      </c>
      <c r="P11" s="97">
        <f>SUMIF($J$10:$J$13,"нов",$K$10:$K$13)</f>
        <v>0</v>
      </c>
      <c r="Q11" s="97">
        <f>SUMIF($J$14:$J$17,"нов",$K$14:$K$17)</f>
        <v>0</v>
      </c>
      <c r="S11" s="98">
        <v>6</v>
      </c>
      <c r="T11" s="95" t="str">
        <f>IF(OR(J16=J4,J16=J8,J16=J10,J16=J12,J16=J14)," ",J16)</f>
        <v xml:space="preserve"> </v>
      </c>
      <c r="U11" s="96">
        <f t="shared" si="0"/>
        <v>0</v>
      </c>
      <c r="V11" s="96">
        <f t="shared" ca="1" si="1"/>
        <v>0</v>
      </c>
      <c r="W11" s="97">
        <f t="shared" si="2"/>
        <v>0</v>
      </c>
      <c r="X11" s="97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203">
        <v>6</v>
      </c>
      <c r="AD11" s="204" t="str">
        <f>IF(OR(AB7=" ",AB8=" ",AB9=" ",AB10=" ")," ",AB11)</f>
        <v xml:space="preserve"> </v>
      </c>
      <c r="AE11" s="205">
        <f t="shared" si="3"/>
        <v>0</v>
      </c>
      <c r="AF11" s="205">
        <f t="shared" ca="1" si="4"/>
        <v>0</v>
      </c>
      <c r="AG11" s="205">
        <f t="shared" si="5"/>
        <v>0</v>
      </c>
      <c r="AH11" s="206">
        <f t="shared" si="6"/>
        <v>0</v>
      </c>
      <c r="AJ11" s="203">
        <v>6</v>
      </c>
      <c r="AK11" s="204" t="str">
        <f t="shared" si="7"/>
        <v xml:space="preserve"> </v>
      </c>
      <c r="AL11" s="205" t="str">
        <f t="shared" si="7"/>
        <v xml:space="preserve"> </v>
      </c>
      <c r="AM11" s="205" t="str">
        <f t="shared" ca="1" si="7"/>
        <v xml:space="preserve"> </v>
      </c>
      <c r="AN11" s="205" t="str">
        <f t="shared" si="7"/>
        <v xml:space="preserve"> </v>
      </c>
      <c r="AO11" s="206" t="str">
        <f t="shared" si="7"/>
        <v xml:space="preserve"> </v>
      </c>
    </row>
    <row r="12" spans="1:41" ht="12.75" customHeight="1" thickBot="1">
      <c r="A12" s="461">
        <v>3</v>
      </c>
      <c r="B12" s="463">
        <f>пр.хода!Q32</f>
        <v>2</v>
      </c>
      <c r="C12" s="464" t="str">
        <f>VLOOKUP(B12,пр.взв!B1:H22,2,FALSE)</f>
        <v>Мишанин Константин Олегович</v>
      </c>
      <c r="D12" s="475" t="str">
        <f>VLOOKUP(B12,пр.взв!B1:H83,3,FALSE)</f>
        <v>16.06.89, кмс</v>
      </c>
      <c r="E12" s="457" t="str">
        <f>VLOOKUP(B12,пр.взв!B1:H22,4,FALSE)</f>
        <v>ЦФО</v>
      </c>
      <c r="F12" s="479" t="str">
        <f>VLOOKUP(B12,пр.взв!B1:H22,5,FALSE)</f>
        <v>Рязанская, Рязань "Юпитер"</v>
      </c>
      <c r="G12" s="498">
        <f>VLOOKUP(B12,пр.взв!B1:H22,6,FALSE)</f>
        <v>0</v>
      </c>
      <c r="H12" s="491" t="str">
        <f>VLOOKUP(B12,пр.взв!B1:H85,7,FALSE)</f>
        <v>Курбатов ДА Кучумов ВА</v>
      </c>
      <c r="J12" s="508" t="str">
        <f>IFERROR(LEFT(F12,FIND(",",F12)-1),F12)</f>
        <v>Рязанская</v>
      </c>
      <c r="K12" s="508">
        <v>1</v>
      </c>
      <c r="L12" s="99">
        <v>7</v>
      </c>
      <c r="M12" s="95" t="s">
        <v>63</v>
      </c>
      <c r="N12" s="96">
        <f>SUMIF($J$4:$J$7,"омс",$K$4:$K$7)</f>
        <v>0</v>
      </c>
      <c r="O12" s="96">
        <f ca="1">SUMIF($I$8:$J$9,"омс",$K$6:$K$9)</f>
        <v>0</v>
      </c>
      <c r="P12" s="97">
        <f>SUMIF($J$10:$J$13,"омс",$K$10:$K$13)</f>
        <v>0</v>
      </c>
      <c r="Q12" s="97">
        <f>SUMIF($J$14:$J$17,"омс",$K$14:$K$17)</f>
        <v>0</v>
      </c>
      <c r="S12" s="100"/>
      <c r="T12" s="95" t="str">
        <f>IF(OR(J15=J7,J15=J11,J15=J13)," ",J15)</f>
        <v xml:space="preserve"> </v>
      </c>
      <c r="U12" s="101"/>
      <c r="V12" s="101"/>
      <c r="W12" s="102"/>
      <c r="X12" s="102"/>
      <c r="AC12" s="107"/>
      <c r="AD12" s="108"/>
      <c r="AE12" s="207">
        <f>SUM(AE6:AE11)</f>
        <v>1</v>
      </c>
      <c r="AF12" s="207">
        <f ca="1">SUM(AF6:AF11)</f>
        <v>1</v>
      </c>
      <c r="AG12" s="207">
        <f>SUM(AG6:AG11)</f>
        <v>2</v>
      </c>
      <c r="AH12" s="207">
        <f>SUM(AH6:AH11)</f>
        <v>2</v>
      </c>
      <c r="AJ12" s="107"/>
      <c r="AK12" s="108"/>
      <c r="AL12" s="207">
        <f>SUM(AL6:AL11)</f>
        <v>1</v>
      </c>
      <c r="AM12" s="207">
        <f ca="1">SUM(AM6:AM11)</f>
        <v>1</v>
      </c>
      <c r="AN12" s="207">
        <f>SUM(AN6:AN11)</f>
        <v>2</v>
      </c>
      <c r="AO12" s="207">
        <f>SUM(AO6:AO11)</f>
        <v>2</v>
      </c>
    </row>
    <row r="13" spans="1:41" ht="15.75">
      <c r="A13" s="461"/>
      <c r="B13" s="463"/>
      <c r="C13" s="465"/>
      <c r="D13" s="476"/>
      <c r="E13" s="458"/>
      <c r="F13" s="479"/>
      <c r="G13" s="500"/>
      <c r="H13" s="493"/>
      <c r="J13" s="508"/>
      <c r="K13" s="508"/>
      <c r="L13" s="98">
        <v>8</v>
      </c>
      <c r="M13" s="95" t="s">
        <v>64</v>
      </c>
      <c r="N13" s="96">
        <f>SUMIF($J$4:$J$7,"р.а",$K$4:$K$7)</f>
        <v>0</v>
      </c>
      <c r="O13" s="96">
        <f ca="1">SUMIF($I$8:$J$9,"р.а",$K$6:$K$9)</f>
        <v>0</v>
      </c>
      <c r="P13" s="97">
        <f>SUMIF($J$10:$J$13,"р.а",$K$10:$K$13)</f>
        <v>0</v>
      </c>
      <c r="Q13" s="97">
        <f>SUMIF($J$14:$J$17,"р.а",$K$14:$K$17)</f>
        <v>0</v>
      </c>
      <c r="S13" s="103"/>
      <c r="T13" s="104" t="str">
        <f>IF(OR(J16=J8,J16=J12,J16=J14)," ",J16)</f>
        <v xml:space="preserve"> </v>
      </c>
      <c r="U13" s="101"/>
      <c r="V13" s="101"/>
      <c r="W13" s="102"/>
      <c r="X13" s="102"/>
    </row>
    <row r="14" spans="1:41" ht="12.75" customHeight="1">
      <c r="A14" s="461">
        <v>5</v>
      </c>
      <c r="B14" s="463">
        <f>пр.хода!AA25</f>
        <v>7</v>
      </c>
      <c r="C14" s="464" t="str">
        <f>VLOOKUP(B14,пр.взв!B1:H22,2,FALSE)</f>
        <v>Шалимов Олег Валентинович</v>
      </c>
      <c r="D14" s="475" t="str">
        <f>VLOOKUP(B14,пр.взв!B1:H85,3,FALSE)</f>
        <v>24.07.00, кмс</v>
      </c>
      <c r="E14" s="457" t="str">
        <f>VLOOKUP(B14,пр.взв!B1:H22,4,FALSE)</f>
        <v>СЗФО</v>
      </c>
      <c r="F14" s="479" t="str">
        <f>VLOOKUP(B14,пр.взв!B1:H22,5,FALSE)</f>
        <v>Вологодская, Вологда</v>
      </c>
      <c r="G14" s="498">
        <f>VLOOKUP(B14,пр.взв!B1:H22,6,FALSE)</f>
        <v>0</v>
      </c>
      <c r="H14" s="491" t="str">
        <f>VLOOKUP(B14,пр.взв!B1:H87,7,FALSE)</f>
        <v>Тчанников ИА</v>
      </c>
      <c r="J14" s="508" t="str">
        <f>IFERROR(LEFT(F14,FIND(",",F14)-1),F14)</f>
        <v>Вологодская</v>
      </c>
      <c r="K14" s="508">
        <v>1</v>
      </c>
      <c r="L14" s="99">
        <v>9</v>
      </c>
      <c r="M14" s="95" t="s">
        <v>65</v>
      </c>
      <c r="N14" s="96">
        <f>SUMIF($J$4:$J$7,"р.б",$K$4:$K$7)</f>
        <v>0</v>
      </c>
      <c r="O14" s="96">
        <f ca="1">SUMIF($I$8:$J$9,"р.б",$K$6:$K$9)</f>
        <v>0</v>
      </c>
      <c r="P14" s="97">
        <f>SUMIF($J$10:$J$13,"р.б",$K$10:$K$13)</f>
        <v>0</v>
      </c>
      <c r="Q14" s="97">
        <f>SUMIF($J$14:$J$17,"р.б",$K$14:$K$17)</f>
        <v>0</v>
      </c>
      <c r="S14" s="100"/>
      <c r="T14" s="104"/>
      <c r="U14" s="101"/>
      <c r="V14" s="101"/>
      <c r="W14" s="102"/>
      <c r="X14" s="102"/>
    </row>
    <row r="15" spans="1:41" ht="15.75">
      <c r="A15" s="461"/>
      <c r="B15" s="463"/>
      <c r="C15" s="465"/>
      <c r="D15" s="476"/>
      <c r="E15" s="458"/>
      <c r="F15" s="479"/>
      <c r="G15" s="500"/>
      <c r="H15" s="493"/>
      <c r="J15" s="508"/>
      <c r="K15" s="508"/>
      <c r="L15" s="98">
        <v>10</v>
      </c>
      <c r="M15" s="95" t="s">
        <v>66</v>
      </c>
      <c r="N15" s="96">
        <f>SUMIF($J$4:$J$7,"р.х",$K$4:$K$7)</f>
        <v>0</v>
      </c>
      <c r="O15" s="96">
        <f ca="1">SUMIF($I$8:$J$9,"р.х",$K$6:$K$9)</f>
        <v>0</v>
      </c>
      <c r="P15" s="97">
        <f>SUMIF($J$10:$J$13,"р.х",$K$10:$K$13)</f>
        <v>0</v>
      </c>
      <c r="Q15" s="97">
        <f>SUMIF($J$14:$J$17,"р.х",$K$14:$K$17)</f>
        <v>0</v>
      </c>
      <c r="S15" s="103"/>
      <c r="T15" s="104"/>
      <c r="U15" s="101"/>
      <c r="V15" s="101"/>
      <c r="W15" s="102"/>
      <c r="X15" s="102"/>
    </row>
    <row r="16" spans="1:41" ht="12.75" customHeight="1">
      <c r="A16" s="461">
        <v>5</v>
      </c>
      <c r="B16" s="463">
        <f>пр.хода!AA26</f>
        <v>8</v>
      </c>
      <c r="C16" s="464" t="str">
        <f>VLOOKUP(B16,пр.взв!B1:H22,2,FALSE)</f>
        <v>Тайгибов Магомед Магомедрасулович</v>
      </c>
      <c r="D16" s="475" t="str">
        <f>VLOOKUP(B16,пр.взв!B1:H87,3,FALSE)</f>
        <v>27.03.98, кмс</v>
      </c>
      <c r="E16" s="457" t="str">
        <f>VLOOKUP(B16,пр.взв!B1:H22,4,FALSE)</f>
        <v>СП</v>
      </c>
      <c r="F16" s="479" t="str">
        <f>VLOOKUP(B16,пр.взв!B1:H22,5,FALSE)</f>
        <v>Санкт-Петербург</v>
      </c>
      <c r="G16" s="498">
        <f>VLOOKUP(B16,пр.взв!B1:H22,6,FALSE)</f>
        <v>0</v>
      </c>
      <c r="H16" s="491" t="str">
        <f>VLOOKUP(B16,пр.взв!B1:H89,7,FALSE)</f>
        <v>Коршунов АИ</v>
      </c>
      <c r="J16" s="508" t="str">
        <f>IFERROR(LEFT(F16,FIND(",",F16)-1),F16)</f>
        <v>Санкт-Петербург</v>
      </c>
      <c r="K16" s="508">
        <v>1</v>
      </c>
      <c r="L16" s="99">
        <v>11</v>
      </c>
      <c r="M16" s="105" t="s">
        <v>67</v>
      </c>
      <c r="N16" s="96">
        <f>SUMIF($J$4:$J$7,"том",$K$4:$K$7)</f>
        <v>0</v>
      </c>
      <c r="O16" s="96">
        <f ca="1">SUMIF($I$8:$J$9,"том",$K$6:$K$9)</f>
        <v>0</v>
      </c>
      <c r="P16" s="97">
        <f>SUMIF($J$10:$J$13,"том",$K$10:$K$13)</f>
        <v>0</v>
      </c>
      <c r="Q16" s="97">
        <f>SUMIF($J$14:$J$17,"том",$K$14:$K$17)</f>
        <v>0</v>
      </c>
      <c r="S16" s="100"/>
      <c r="T16" s="106"/>
      <c r="U16" s="101"/>
      <c r="V16" s="101"/>
      <c r="W16" s="102"/>
      <c r="X16" s="102"/>
    </row>
    <row r="17" spans="1:24" ht="16.5" thickBot="1">
      <c r="A17" s="461"/>
      <c r="B17" s="463"/>
      <c r="C17" s="465"/>
      <c r="D17" s="476"/>
      <c r="E17" s="458"/>
      <c r="F17" s="479"/>
      <c r="G17" s="500"/>
      <c r="H17" s="493"/>
      <c r="J17" s="508"/>
      <c r="K17" s="508"/>
      <c r="L17" s="98">
        <v>12</v>
      </c>
      <c r="M17" s="105" t="s">
        <v>70</v>
      </c>
      <c r="N17" s="96">
        <f>SUMIF($J$4:$J$7,"Мос",$K$4:$K$7)</f>
        <v>0</v>
      </c>
      <c r="O17" s="96">
        <f ca="1">SUMIF($I$8:$J$9,"Мос",$K$6:$K$9)</f>
        <v>0</v>
      </c>
      <c r="P17" s="97">
        <f>SUMIF($J$10:$J$13,"Мос",$K$10:$K$13)</f>
        <v>0</v>
      </c>
      <c r="Q17" s="97">
        <f>SUMIF($J$14:$J$17,"Мос",$K$14:$K$17)</f>
        <v>0</v>
      </c>
      <c r="S17" s="103"/>
      <c r="T17" s="106"/>
      <c r="U17" s="101"/>
      <c r="V17" s="101"/>
      <c r="W17" s="102"/>
      <c r="X17" s="102"/>
    </row>
    <row r="18" spans="1:24" ht="12.75" customHeight="1" thickBot="1">
      <c r="A18" s="478" t="s">
        <v>45</v>
      </c>
      <c r="B18" s="463">
        <v>9</v>
      </c>
      <c r="C18" s="464" t="str">
        <f>VLOOKUP(B18,пр.взв!B1:H22,2,FALSE)</f>
        <v>Загиров Рагим Имирханович</v>
      </c>
      <c r="D18" s="475" t="str">
        <f>VLOOKUP(B18,пр.взв!B1:H89,3,FALSE)</f>
        <v>28.01.90, кмс</v>
      </c>
      <c r="E18" s="457" t="str">
        <f>VLOOKUP(B18,пр.взв!B1:H22,4,FALSE)</f>
        <v>СП</v>
      </c>
      <c r="F18" s="479" t="str">
        <f>VLOOKUP(B18,пр.взв!B1:H22,5,FALSE)</f>
        <v>Санкт-Петербург</v>
      </c>
      <c r="G18" s="498">
        <f>VLOOKUP(B18,пр.взв!B1:H22,6,FALSE)</f>
        <v>0</v>
      </c>
      <c r="H18" s="491" t="str">
        <f>VLOOKUP(B18,пр.взв!B1:H91,7,FALSE)</f>
        <v>Торчавский ФА</v>
      </c>
      <c r="L18" s="107"/>
      <c r="M18" s="108"/>
      <c r="N18" s="109">
        <f>SUM(N6:N17)</f>
        <v>1</v>
      </c>
      <c r="O18" s="109">
        <f ca="1">SUM(O6:O17)</f>
        <v>0</v>
      </c>
      <c r="P18" s="109">
        <f>SUM(P6:P17)</f>
        <v>0</v>
      </c>
      <c r="Q18" s="109">
        <f>SUM(Q6:Q17)</f>
        <v>0</v>
      </c>
      <c r="S18" s="107"/>
      <c r="T18" s="108"/>
      <c r="U18" s="109">
        <f>SUM(U6:U17)</f>
        <v>1</v>
      </c>
      <c r="V18" s="109">
        <f ca="1">SUM(V6:V17)</f>
        <v>1</v>
      </c>
      <c r="W18" s="109">
        <f>SUM(W6:W17)</f>
        <v>2</v>
      </c>
      <c r="X18" s="109">
        <f>SUM(X6:X17)</f>
        <v>2</v>
      </c>
    </row>
    <row r="19" spans="1:24">
      <c r="A19" s="478"/>
      <c r="B19" s="463"/>
      <c r="C19" s="465"/>
      <c r="D19" s="476"/>
      <c r="E19" s="458"/>
      <c r="F19" s="479"/>
      <c r="G19" s="500"/>
      <c r="H19" s="493"/>
    </row>
    <row r="20" spans="1:24" ht="12.75" customHeight="1">
      <c r="A20" s="478" t="s">
        <v>45</v>
      </c>
      <c r="B20" s="463">
        <v>12</v>
      </c>
      <c r="C20" s="464" t="str">
        <f>VLOOKUP(B20,пр.взв!B2:H22,2,FALSE)</f>
        <v>Бурлаков Анатолий Николаевич</v>
      </c>
      <c r="D20" s="475" t="str">
        <f>VLOOKUP(B20,пр.взв!B2:H91,3,FALSE)</f>
        <v>26.09.97, кмс</v>
      </c>
      <c r="E20" s="457" t="str">
        <f>VLOOKUP(B20,пр.взв!B2:H22,4,FALSE)</f>
        <v>СП</v>
      </c>
      <c r="F20" s="479" t="str">
        <f>VLOOKUP(B20,пр.взв!B2:H22,5,FALSE)</f>
        <v>Санкт-Петербург</v>
      </c>
      <c r="G20" s="498">
        <f>VLOOKUP(B20,пр.взв!B2:H22,6,FALSE)</f>
        <v>0</v>
      </c>
      <c r="H20" s="491" t="str">
        <f>VLOOKUP(B20,пр.взв!B2:H93,7,FALSE)</f>
        <v>Давыденко ИА</v>
      </c>
    </row>
    <row r="21" spans="1:24">
      <c r="A21" s="478"/>
      <c r="B21" s="463"/>
      <c r="C21" s="465"/>
      <c r="D21" s="476"/>
      <c r="E21" s="458"/>
      <c r="F21" s="479"/>
      <c r="G21" s="500"/>
      <c r="H21" s="493"/>
    </row>
    <row r="22" spans="1:24" ht="12.75" customHeight="1">
      <c r="A22" s="478" t="s">
        <v>52</v>
      </c>
      <c r="B22" s="463">
        <v>5</v>
      </c>
      <c r="C22" s="464" t="str">
        <f>VLOOKUP(B22,пр.взв!B2:H22,2,FALSE)</f>
        <v>Гашимов Субхан Ализахир оглы</v>
      </c>
      <c r="D22" s="475" t="str">
        <f>VLOOKUP(B22,пр.взв!B2:H93,3,FALSE)</f>
        <v>20.08.99, кмс</v>
      </c>
      <c r="E22" s="457" t="str">
        <f>VLOOKUP(B22,пр.взв!B2:H22,4,FALSE)</f>
        <v>СЗФО</v>
      </c>
      <c r="F22" s="479" t="str">
        <f>VLOOKUP(B22,пр.взв!B2:H22,5,FALSE)</f>
        <v>Р.Карелия, Петрозаводск</v>
      </c>
      <c r="G22" s="498">
        <f>VLOOKUP(B22,пр.взв!B2:H22,6,FALSE)</f>
        <v>0</v>
      </c>
      <c r="H22" s="491" t="str">
        <f>VLOOKUP(B22,пр.взв!B2:H95,7,FALSE)</f>
        <v>Мамедов ЭМ</v>
      </c>
    </row>
    <row r="23" spans="1:24">
      <c r="A23" s="478"/>
      <c r="B23" s="463"/>
      <c r="C23" s="465"/>
      <c r="D23" s="476"/>
      <c r="E23" s="458"/>
      <c r="F23" s="479"/>
      <c r="G23" s="500"/>
      <c r="H23" s="493"/>
    </row>
    <row r="24" spans="1:24" ht="12.75" customHeight="1">
      <c r="A24" s="478" t="s">
        <v>52</v>
      </c>
      <c r="B24" s="463">
        <v>6</v>
      </c>
      <c r="C24" s="464" t="str">
        <f>VLOOKUP(B24,пр.взв!B2:H22,2,FALSE)</f>
        <v>Магомедов Расул Ахметович</v>
      </c>
      <c r="D24" s="475" t="str">
        <f>VLOOKUP(B24,пр.взв!B2:H95,3,FALSE)</f>
        <v>06.04.94, кмс</v>
      </c>
      <c r="E24" s="457" t="str">
        <f>VLOOKUP(B24,пр.взв!B2:H22,4,FALSE)</f>
        <v>СЗФО</v>
      </c>
      <c r="F24" s="479" t="str">
        <f>VLOOKUP(B24,пр.взв!B2:H22,5,FALSE)</f>
        <v>Р.Карелия, Петрозаводск</v>
      </c>
      <c r="G24" s="498">
        <f>VLOOKUP(B24,пр.взв!B2:H22,6,FALSE)</f>
        <v>0</v>
      </c>
      <c r="H24" s="491" t="str">
        <f>VLOOKUP(B24,пр.взв!B2:H97,7,FALSE)</f>
        <v>Мамедов ЭМ</v>
      </c>
    </row>
    <row r="25" spans="1:24">
      <c r="A25" s="478"/>
      <c r="B25" s="463"/>
      <c r="C25" s="465"/>
      <c r="D25" s="476"/>
      <c r="E25" s="458"/>
      <c r="F25" s="479"/>
      <c r="G25" s="500"/>
      <c r="H25" s="493"/>
    </row>
    <row r="26" spans="1:24" ht="12.75" customHeight="1">
      <c r="A26" s="478" t="s">
        <v>52</v>
      </c>
      <c r="B26" s="463">
        <v>10</v>
      </c>
      <c r="C26" s="464" t="str">
        <f>VLOOKUP(B26,пр.взв!B2:H22,2,FALSE)</f>
        <v>Шевцов Иван Николаевич</v>
      </c>
      <c r="D26" s="475" t="str">
        <f>VLOOKUP(B26,пр.взв!B2:H97,3,FALSE)</f>
        <v>09.07.00, кмс</v>
      </c>
      <c r="E26" s="457" t="str">
        <f>VLOOKUP(B26,пр.взв!B2:H22,4,FALSE)</f>
        <v>СЗФО</v>
      </c>
      <c r="F26" s="479" t="str">
        <f>VLOOKUP(B26,пр.взв!B2:H22,5,FALSE)</f>
        <v>Мурманская, Мурманск</v>
      </c>
      <c r="G26" s="498">
        <f>VLOOKUP(B26,пр.взв!B2:H22,6,FALSE)</f>
        <v>0</v>
      </c>
      <c r="H26" s="491" t="str">
        <f>VLOOKUP(B26,пр.взв!B2:H99,7,FALSE)</f>
        <v>Абросимов АС</v>
      </c>
    </row>
    <row r="27" spans="1:24">
      <c r="A27" s="478"/>
      <c r="B27" s="463"/>
      <c r="C27" s="465"/>
      <c r="D27" s="476"/>
      <c r="E27" s="458"/>
      <c r="F27" s="479"/>
      <c r="G27" s="500"/>
      <c r="H27" s="493"/>
    </row>
    <row r="28" spans="1:24">
      <c r="A28" s="478" t="s">
        <v>52</v>
      </c>
      <c r="B28" s="463">
        <v>11</v>
      </c>
      <c r="C28" s="477" t="str">
        <f>VLOOKUP(B28,пр.взв!B2:H22,2,FALSE)</f>
        <v>Гаджиев Али Джабраилович</v>
      </c>
      <c r="D28" s="475" t="str">
        <f>VLOOKUP(B28,пр.взв!B2:H99,3,FALSE)</f>
        <v>28.11.97, кмс</v>
      </c>
      <c r="E28" s="457" t="str">
        <f>VLOOKUP(B28,пр.взв!B2:H22,4,FALSE)</f>
        <v>СП</v>
      </c>
      <c r="F28" s="479" t="str">
        <f>VLOOKUP(B28,пр.взв!B2:H22,5,FALSE)</f>
        <v>Санкт-Петербург</v>
      </c>
      <c r="G28" s="498">
        <f>VLOOKUP(B28,пр.взв!B2:H22,6,FALSE)</f>
        <v>0</v>
      </c>
      <c r="H28" s="491" t="str">
        <f>VLOOKUP(B28,пр.взв!B2:H101,7,FALSE)</f>
        <v>Давыденко ИА</v>
      </c>
    </row>
    <row r="29" spans="1:24" ht="13.5" thickBot="1">
      <c r="A29" s="482"/>
      <c r="B29" s="483"/>
      <c r="C29" s="484"/>
      <c r="D29" s="485"/>
      <c r="E29" s="486"/>
      <c r="F29" s="489"/>
      <c r="G29" s="499"/>
      <c r="H29" s="492"/>
    </row>
    <row r="30" spans="1:24" hidden="1">
      <c r="A30" s="480" t="s">
        <v>53</v>
      </c>
      <c r="B30" s="462">
        <f>пр.хода!Z29</f>
        <v>13</v>
      </c>
      <c r="C30" s="464" t="e">
        <f>VLOOKUP(B30,пр.взв!B3:H22,2,FALSE)</f>
        <v>#N/A</v>
      </c>
      <c r="D30" s="481" t="e">
        <f>VLOOKUP(B30,пр.взв!B3:H101,3,FALSE)</f>
        <v>#N/A</v>
      </c>
      <c r="E30" s="459" t="e">
        <f>VLOOKUP(B30,пр.взв!B3:H22,4,FALSE)</f>
        <v>#N/A</v>
      </c>
      <c r="F30" s="490" t="e">
        <f>VLOOKUP(B30,пр.взв!B3:H22,5,FALSE)</f>
        <v>#N/A</v>
      </c>
      <c r="G30" s="501" t="e">
        <f>VLOOKUP(B30,пр.взв!B3:H22,6,FALSE)</f>
        <v>#N/A</v>
      </c>
      <c r="H30" s="496" t="e">
        <f>VLOOKUP(B30,пр.взв!B3:H103,7,FALSE)</f>
        <v>#N/A</v>
      </c>
    </row>
    <row r="31" spans="1:24" hidden="1">
      <c r="A31" s="478"/>
      <c r="B31" s="463"/>
      <c r="C31" s="465"/>
      <c r="D31" s="476"/>
      <c r="E31" s="458"/>
      <c r="F31" s="479"/>
      <c r="G31" s="500"/>
      <c r="H31" s="493"/>
    </row>
    <row r="32" spans="1:24" hidden="1">
      <c r="A32" s="478" t="s">
        <v>53</v>
      </c>
      <c r="B32" s="463">
        <f>пр.хода!Z30</f>
        <v>10</v>
      </c>
      <c r="C32" s="464" t="str">
        <f>VLOOKUP(B32,пр.взв!B3:H22,2,FALSE)</f>
        <v>Шевцов Иван Николаевич</v>
      </c>
      <c r="D32" s="475" t="str">
        <f>VLOOKUP(B32,пр.взв!B3:H103,3,FALSE)</f>
        <v>09.07.00, кмс</v>
      </c>
      <c r="E32" s="457" t="str">
        <f>VLOOKUP(B32,пр.взв!B3:H22,4,FALSE)</f>
        <v>СЗФО</v>
      </c>
      <c r="F32" s="479" t="str">
        <f>VLOOKUP(B32,пр.взв!B3:H22,5,FALSE)</f>
        <v>Мурманская, Мурманск</v>
      </c>
      <c r="G32" s="498">
        <f>VLOOKUP(B32,пр.взв!B3:H22,6,FALSE)</f>
        <v>0</v>
      </c>
      <c r="H32" s="491" t="str">
        <f>VLOOKUP(B32,пр.взв!B3:H105,7,FALSE)</f>
        <v>Абросимов АС</v>
      </c>
    </row>
    <row r="33" spans="1:8" hidden="1">
      <c r="A33" s="478"/>
      <c r="B33" s="463"/>
      <c r="C33" s="465"/>
      <c r="D33" s="476"/>
      <c r="E33" s="458"/>
      <c r="F33" s="479"/>
      <c r="G33" s="500"/>
      <c r="H33" s="493"/>
    </row>
    <row r="34" spans="1:8" hidden="1">
      <c r="A34" s="478" t="s">
        <v>53</v>
      </c>
      <c r="B34" s="463">
        <f>пр.хода!Z31</f>
        <v>15</v>
      </c>
      <c r="C34" s="464" t="e">
        <f>VLOOKUP(B34,пр.взв!B3:H22,2,FALSE)</f>
        <v>#N/A</v>
      </c>
      <c r="D34" s="475" t="e">
        <f>VLOOKUP(B34,пр.взв!B3:H105,3,FALSE)</f>
        <v>#N/A</v>
      </c>
      <c r="E34" s="457" t="e">
        <f>VLOOKUP(B34,пр.взв!B3:H22,4,FALSE)</f>
        <v>#N/A</v>
      </c>
      <c r="F34" s="479" t="e">
        <f>VLOOKUP(B34,пр.взв!B3:H22,5,FALSE)</f>
        <v>#N/A</v>
      </c>
      <c r="G34" s="498" t="e">
        <f>VLOOKUP(B34,пр.взв!B3:H22,6,FALSE)</f>
        <v>#N/A</v>
      </c>
      <c r="H34" s="491" t="e">
        <f>VLOOKUP(B34,пр.взв!B3:H107,7,FALSE)</f>
        <v>#N/A</v>
      </c>
    </row>
    <row r="35" spans="1:8" hidden="1">
      <c r="A35" s="478"/>
      <c r="B35" s="463"/>
      <c r="C35" s="465"/>
      <c r="D35" s="476"/>
      <c r="E35" s="458"/>
      <c r="F35" s="479"/>
      <c r="G35" s="500"/>
      <c r="H35" s="493"/>
    </row>
    <row r="36" spans="1:8" hidden="1">
      <c r="A36" s="478" t="s">
        <v>53</v>
      </c>
      <c r="B36" s="487">
        <f>пр.хода!Z32</f>
        <v>16</v>
      </c>
      <c r="C36" s="464" t="e">
        <f>VLOOKUP(B36,пр.взв!B3:H22,2,FALSE)</f>
        <v>#N/A</v>
      </c>
      <c r="D36" s="475" t="e">
        <f>VLOOKUP(B36,пр.взв!B3:H107,3,FALSE)</f>
        <v>#N/A</v>
      </c>
      <c r="E36" s="457" t="e">
        <f>VLOOKUP(B36,пр.взв!B3:H22,4,FALSE)</f>
        <v>#N/A</v>
      </c>
      <c r="F36" s="479" t="e">
        <f>VLOOKUP(B36,пр.взв!B3:H22,5,FALSE)</f>
        <v>#N/A</v>
      </c>
      <c r="G36" s="498" t="e">
        <f>VLOOKUP(B36,пр.взв!B3:H22,6,FALSE)</f>
        <v>#N/A</v>
      </c>
      <c r="H36" s="491" t="e">
        <f>VLOOKUP(B36,пр.взв!B3:H109,7,FALSE)</f>
        <v>#N/A</v>
      </c>
    </row>
    <row r="37" spans="1:8" ht="13.5" hidden="1" thickBot="1">
      <c r="A37" s="482"/>
      <c r="B37" s="488"/>
      <c r="C37" s="484"/>
      <c r="D37" s="485"/>
      <c r="E37" s="486"/>
      <c r="F37" s="489"/>
      <c r="G37" s="499"/>
      <c r="H37" s="492"/>
    </row>
    <row r="40" spans="1:8" ht="15">
      <c r="A40" s="62" t="str">
        <f>пр.хода!A38</f>
        <v>Гл. судья, судья ВК</v>
      </c>
      <c r="B40" s="63"/>
      <c r="C40" s="64"/>
      <c r="D40" s="66"/>
      <c r="E40" s="66"/>
      <c r="F40" s="66"/>
      <c r="G40" s="65" t="str">
        <f>пр.хода!J38</f>
        <v>А.В.Лоптунов</v>
      </c>
    </row>
    <row r="41" spans="1:8" ht="15">
      <c r="A41" s="63"/>
      <c r="B41" s="63"/>
      <c r="C41" s="64"/>
      <c r="D41" s="66"/>
      <c r="E41" s="66"/>
      <c r="F41" s="66"/>
      <c r="G41" s="84" t="str">
        <f>пр.хода!N38</f>
        <v>/Кандалакша/</v>
      </c>
    </row>
    <row r="42" spans="1:8" ht="15">
      <c r="A42" s="63"/>
      <c r="B42" s="63"/>
      <c r="C42" s="64"/>
      <c r="D42" s="66"/>
      <c r="E42" s="66"/>
      <c r="F42" s="66"/>
      <c r="G42" s="66"/>
    </row>
    <row r="43" spans="1:8" ht="15">
      <c r="A43" s="62" t="str">
        <f>пр.хода!A40</f>
        <v>Гл. секретарь, судья ВК</v>
      </c>
      <c r="B43" s="63"/>
      <c r="C43" s="64"/>
      <c r="D43" s="66"/>
      <c r="E43" s="66"/>
      <c r="F43" s="66"/>
      <c r="G43" s="85" t="str">
        <f>пр.хода!J40</f>
        <v>А.С.Тимошин</v>
      </c>
    </row>
    <row r="44" spans="1:8" ht="15">
      <c r="A44" s="63"/>
      <c r="B44" s="63"/>
      <c r="C44" s="63"/>
      <c r="D44" s="66"/>
      <c r="E44" s="66"/>
      <c r="F44" s="66"/>
      <c r="G44" s="210" t="str">
        <f>пр.хода!N40</f>
        <v>/Рыбинск/</v>
      </c>
      <c r="H44" s="5"/>
    </row>
    <row r="45" spans="1:8">
      <c r="D45" s="4"/>
      <c r="E45" s="4"/>
      <c r="F45" s="4"/>
      <c r="G45" s="4"/>
    </row>
    <row r="46" spans="1:8">
      <c r="D46" s="4"/>
      <c r="E46" s="4"/>
      <c r="F46" s="4"/>
      <c r="G46" s="4"/>
    </row>
    <row r="47" spans="1:8">
      <c r="D47" s="4"/>
      <c r="E47" s="4"/>
      <c r="F47" s="4"/>
      <c r="G47" s="4"/>
    </row>
    <row r="48" spans="1:8">
      <c r="D48" s="4"/>
      <c r="E48" s="4"/>
      <c r="F48" s="4"/>
      <c r="G48" s="4"/>
    </row>
    <row r="49" spans="4:7">
      <c r="D49" s="4"/>
      <c r="E49" s="4"/>
      <c r="F49" s="4"/>
      <c r="G49" s="4"/>
    </row>
    <row r="50" spans="4:7">
      <c r="D50" s="4"/>
      <c r="E50" s="4"/>
      <c r="F50" s="4"/>
      <c r="G50" s="4"/>
    </row>
    <row r="51" spans="4:7">
      <c r="D51" s="4"/>
      <c r="E51" s="4"/>
      <c r="F51" s="4"/>
      <c r="G51" s="4"/>
    </row>
    <row r="52" spans="4:7">
      <c r="D52" s="4"/>
      <c r="E52" s="4"/>
      <c r="F52" s="4"/>
      <c r="G52" s="4"/>
    </row>
    <row r="53" spans="4:7">
      <c r="D53" s="4"/>
      <c r="E53" s="4"/>
      <c r="F53" s="4"/>
      <c r="G53" s="4"/>
    </row>
    <row r="54" spans="4:7">
      <c r="D54" s="4"/>
      <c r="E54" s="4"/>
      <c r="F54" s="4"/>
      <c r="G54" s="4"/>
    </row>
  </sheetData>
  <mergeCells count="167">
    <mergeCell ref="AL4:AO4"/>
    <mergeCell ref="T2:X2"/>
    <mergeCell ref="AC4:AC5"/>
    <mergeCell ref="AD4:AD5"/>
    <mergeCell ref="AE4:AH4"/>
    <mergeCell ref="AJ4:AJ5"/>
    <mergeCell ref="AK4:AK5"/>
    <mergeCell ref="N4:Q4"/>
    <mergeCell ref="S4:S5"/>
    <mergeCell ref="T4:T5"/>
    <mergeCell ref="U4:X4"/>
    <mergeCell ref="J4:J5"/>
    <mergeCell ref="K4:K5"/>
    <mergeCell ref="L4:L5"/>
    <mergeCell ref="M4:M5"/>
    <mergeCell ref="J12:J13"/>
    <mergeCell ref="K12:K13"/>
    <mergeCell ref="J14:J15"/>
    <mergeCell ref="K14:K15"/>
    <mergeCell ref="J16:J17"/>
    <mergeCell ref="K16:K17"/>
    <mergeCell ref="J8:J9"/>
    <mergeCell ref="K8:K9"/>
    <mergeCell ref="J10:J11"/>
    <mergeCell ref="K10:K11"/>
    <mergeCell ref="J6:J7"/>
    <mergeCell ref="K6:K7"/>
    <mergeCell ref="B2:C2"/>
    <mergeCell ref="D2:H2"/>
    <mergeCell ref="H30:H31"/>
    <mergeCell ref="H32:H33"/>
    <mergeCell ref="H34:H35"/>
    <mergeCell ref="G34:G35"/>
    <mergeCell ref="G6:G7"/>
    <mergeCell ref="G8:G9"/>
    <mergeCell ref="E6:E7"/>
    <mergeCell ref="F6:F7"/>
    <mergeCell ref="G24:G25"/>
    <mergeCell ref="G10:G11"/>
    <mergeCell ref="G12:G13"/>
    <mergeCell ref="G14:G15"/>
    <mergeCell ref="G16:G17"/>
    <mergeCell ref="D26:D27"/>
    <mergeCell ref="H36:H37"/>
    <mergeCell ref="H22:H23"/>
    <mergeCell ref="H24:H25"/>
    <mergeCell ref="H26:H27"/>
    <mergeCell ref="H28:H29"/>
    <mergeCell ref="H20:H21"/>
    <mergeCell ref="A1:H1"/>
    <mergeCell ref="H12:H13"/>
    <mergeCell ref="H14:H15"/>
    <mergeCell ref="H16:H17"/>
    <mergeCell ref="H18:H19"/>
    <mergeCell ref="H4:H5"/>
    <mergeCell ref="H6:H7"/>
    <mergeCell ref="H8:H9"/>
    <mergeCell ref="H10:H11"/>
    <mergeCell ref="G4:G5"/>
    <mergeCell ref="G36:G37"/>
    <mergeCell ref="G26:G27"/>
    <mergeCell ref="G28:G29"/>
    <mergeCell ref="G30:G31"/>
    <mergeCell ref="G32:G33"/>
    <mergeCell ref="G18:G19"/>
    <mergeCell ref="G20:G21"/>
    <mergeCell ref="G22:G23"/>
    <mergeCell ref="E36:E37"/>
    <mergeCell ref="F36:F37"/>
    <mergeCell ref="E32:E33"/>
    <mergeCell ref="F32:F33"/>
    <mergeCell ref="E34:E35"/>
    <mergeCell ref="F34:F35"/>
    <mergeCell ref="E8:E9"/>
    <mergeCell ref="F8:F9"/>
    <mergeCell ref="E4:F5"/>
    <mergeCell ref="E12:E13"/>
    <mergeCell ref="F12:F13"/>
    <mergeCell ref="E10:E11"/>
    <mergeCell ref="F10:F11"/>
    <mergeCell ref="F20:F21"/>
    <mergeCell ref="F22:F23"/>
    <mergeCell ref="F30:F31"/>
    <mergeCell ref="F26:F27"/>
    <mergeCell ref="F24:F25"/>
    <mergeCell ref="F28:F29"/>
    <mergeCell ref="E14:E15"/>
    <mergeCell ref="F14:F15"/>
    <mergeCell ref="A36:A37"/>
    <mergeCell ref="B36:B37"/>
    <mergeCell ref="C36:C37"/>
    <mergeCell ref="D36:D37"/>
    <mergeCell ref="A34:A35"/>
    <mergeCell ref="B34:B35"/>
    <mergeCell ref="C34:C35"/>
    <mergeCell ref="D34:D35"/>
    <mergeCell ref="A32:A33"/>
    <mergeCell ref="B32:B33"/>
    <mergeCell ref="C32:C33"/>
    <mergeCell ref="D32:D33"/>
    <mergeCell ref="A30:A31"/>
    <mergeCell ref="B30:B31"/>
    <mergeCell ref="C30:C31"/>
    <mergeCell ref="D30:D31"/>
    <mergeCell ref="A28:A29"/>
    <mergeCell ref="B28:B29"/>
    <mergeCell ref="C28:C29"/>
    <mergeCell ref="D28:D29"/>
    <mergeCell ref="E20:E21"/>
    <mergeCell ref="A22:A23"/>
    <mergeCell ref="B22:B23"/>
    <mergeCell ref="C22:C23"/>
    <mergeCell ref="E30:E31"/>
    <mergeCell ref="E28:E29"/>
    <mergeCell ref="E26:E27"/>
    <mergeCell ref="E22:E23"/>
    <mergeCell ref="E24:E25"/>
    <mergeCell ref="A24:A25"/>
    <mergeCell ref="B24:B25"/>
    <mergeCell ref="C24:C25"/>
    <mergeCell ref="D24:D25"/>
    <mergeCell ref="A26:A27"/>
    <mergeCell ref="B26:B27"/>
    <mergeCell ref="C26:C27"/>
    <mergeCell ref="A20:A21"/>
    <mergeCell ref="B20:B21"/>
    <mergeCell ref="C20:C21"/>
    <mergeCell ref="D20:D21"/>
    <mergeCell ref="D22:D23"/>
    <mergeCell ref="E18:E19"/>
    <mergeCell ref="F18:F19"/>
    <mergeCell ref="A16:A17"/>
    <mergeCell ref="B16:B17"/>
    <mergeCell ref="A18:A19"/>
    <mergeCell ref="B18:B19"/>
    <mergeCell ref="C18:C19"/>
    <mergeCell ref="D18:D19"/>
    <mergeCell ref="C16:C17"/>
    <mergeCell ref="D16:D17"/>
    <mergeCell ref="E16:E17"/>
    <mergeCell ref="F16:F17"/>
    <mergeCell ref="A14:A15"/>
    <mergeCell ref="B14:B15"/>
    <mergeCell ref="C14:C15"/>
    <mergeCell ref="D14:D15"/>
    <mergeCell ref="A12:A13"/>
    <mergeCell ref="B12:B13"/>
    <mergeCell ref="C12:C13"/>
    <mergeCell ref="D12:D13"/>
    <mergeCell ref="A8:A9"/>
    <mergeCell ref="B8:B9"/>
    <mergeCell ref="A10:A11"/>
    <mergeCell ref="B10:B11"/>
    <mergeCell ref="C10:C11"/>
    <mergeCell ref="D10:D11"/>
    <mergeCell ref="C8:C9"/>
    <mergeCell ref="D8:D9"/>
    <mergeCell ref="A6:A7"/>
    <mergeCell ref="B6:B7"/>
    <mergeCell ref="C6:C7"/>
    <mergeCell ref="D6:D7"/>
    <mergeCell ref="B3:F3"/>
    <mergeCell ref="G3:H3"/>
    <mergeCell ref="A4:A5"/>
    <mergeCell ref="B4:B5"/>
    <mergeCell ref="C4:C5"/>
    <mergeCell ref="D4:D5"/>
  </mergeCells>
  <phoneticPr fontId="0" type="noConversion"/>
  <conditionalFormatting sqref="G6:G37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56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</sheetPr>
  <dimension ref="A1:S59"/>
  <sheetViews>
    <sheetView workbookViewId="0">
      <selection activeCell="O26" sqref="O26"/>
    </sheetView>
  </sheetViews>
  <sheetFormatPr defaultRowHeight="12.75"/>
  <cols>
    <col min="1" max="1" width="4.7109375" customWidth="1"/>
    <col min="2" max="2" width="15.5703125" customWidth="1"/>
    <col min="3" max="3" width="8.28515625" customWidth="1"/>
    <col min="5" max="5" width="4.7109375" customWidth="1"/>
    <col min="6" max="6" width="16.140625" customWidth="1"/>
    <col min="7" max="7" width="4.7109375" customWidth="1"/>
    <col min="8" max="8" width="14.5703125" customWidth="1"/>
    <col min="9" max="9" width="4.7109375" customWidth="1"/>
    <col min="11" max="11" width="7.7109375" customWidth="1"/>
    <col min="12" max="12" width="7.28515625" customWidth="1"/>
    <col min="13" max="13" width="4.7109375" customWidth="1"/>
    <col min="15" max="15" width="4.7109375" customWidth="1"/>
    <col min="17" max="17" width="4.7109375" customWidth="1"/>
    <col min="19" max="19" width="7.28515625" customWidth="1"/>
    <col min="20" max="20" width="12.85546875" customWidth="1"/>
    <col min="21" max="21" width="4.7109375" customWidth="1"/>
  </cols>
  <sheetData>
    <row r="1" spans="1:19" ht="33" customHeight="1">
      <c r="A1" s="527" t="str">
        <f>пр.взв!B2</f>
        <v>Всероссийские соревнования по самбо, XIV Всероссийский турнир по боевому самбо памяти генерал-лейтенанта ФСБ России Чуйкина В.М.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44"/>
      <c r="M1" s="44"/>
      <c r="N1" s="44"/>
      <c r="O1" s="44"/>
      <c r="P1" s="44"/>
    </row>
    <row r="2" spans="1:19" ht="12.75" customHeight="1">
      <c r="A2" s="528" t="str">
        <f>пр.взв!A3</f>
        <v>12-14  октября 2018г.                                              г.Лахденпохья</v>
      </c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45"/>
      <c r="M2" s="45"/>
      <c r="N2" s="45"/>
      <c r="O2" s="45"/>
      <c r="P2" s="45"/>
      <c r="S2" s="9"/>
    </row>
    <row r="3" spans="1:19" ht="15.75">
      <c r="A3" s="46"/>
      <c r="B3" s="46"/>
      <c r="C3" s="46"/>
      <c r="D3" s="46"/>
      <c r="E3" s="46"/>
      <c r="F3" s="67" t="str">
        <f>HYPERLINK(пр.взв!D4)</f>
        <v>В.к.62  кг.</v>
      </c>
      <c r="G3" s="46"/>
      <c r="H3" s="46"/>
      <c r="I3" s="46"/>
      <c r="J3" s="46"/>
      <c r="K3" s="46"/>
      <c r="L3" s="46"/>
    </row>
    <row r="4" spans="1:19" ht="16.5" thickBot="1">
      <c r="A4" s="526" t="s">
        <v>0</v>
      </c>
      <c r="B4" s="526"/>
      <c r="C4" s="5"/>
    </row>
    <row r="5" spans="1:19" ht="12.75" customHeight="1" thickBot="1">
      <c r="A5" s="529">
        <v>1</v>
      </c>
      <c r="B5" s="530" t="str">
        <f>VLOOKUP(A5,пр.взв!B5:C22,2,FALSE)</f>
        <v>Кибишев Залим Арсенович</v>
      </c>
      <c r="C5" s="532" t="str">
        <f>VLOOKUP(A5,пр.взв!B5:F22,3,FALSE)</f>
        <v>19.06.94, мс</v>
      </c>
      <c r="D5" s="530" t="str">
        <f>пр.взв!F7</f>
        <v>Ставропольский, Ставрополь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19"/>
      <c r="B6" s="531"/>
      <c r="C6" s="533"/>
      <c r="D6" s="531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19">
        <v>9</v>
      </c>
      <c r="B7" s="521" t="str">
        <f>VLOOKUP(A7,пр.взв!B7:C22,2,FALSE)</f>
        <v>Загиров Рагим Имирханович</v>
      </c>
      <c r="C7" s="523" t="str">
        <f>VLOOKUP(A7,пр.взв!B5:F22,3,FALSE)</f>
        <v>28.01.90, кмс</v>
      </c>
      <c r="D7" s="525" t="str">
        <f>VLOOKUP(A7,пр.взв!B1:G22,5,FALSE)</f>
        <v>Санкт-Петербург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20"/>
      <c r="B8" s="522"/>
      <c r="C8" s="524"/>
      <c r="D8" s="522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29">
        <v>5</v>
      </c>
      <c r="B9" s="530" t="str">
        <f>VLOOKUP(A9,пр.взв!B9:C22,2,FALSE)</f>
        <v>Гашимов Субхан Ализахир оглы</v>
      </c>
      <c r="C9" s="532" t="str">
        <f>VLOOKUP(A9,пр.взв!B5:E22,3,FALSE)</f>
        <v>20.08.99, кмс</v>
      </c>
      <c r="D9" s="530" t="str">
        <f>VLOOKUP(A9,пр.взв!B3:G22,5,FALSE)</f>
        <v>Р.Карелия, Петрозаводск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19"/>
      <c r="B10" s="531"/>
      <c r="C10" s="533"/>
      <c r="D10" s="531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19">
        <v>13</v>
      </c>
      <c r="B11" s="521" t="e">
        <f>VLOOKUP(A11,пр.взв!B5:C22,2,FALSE)</f>
        <v>#N/A</v>
      </c>
      <c r="C11" s="523" t="e">
        <f>VLOOKUP(A11,пр.взв!B5:E22,3,FALSE)</f>
        <v>#N/A</v>
      </c>
      <c r="D11" s="525" t="e">
        <f>VLOOKUP(A11,пр.взв!B5:G22,5,FALSE)</f>
        <v>#N/A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20"/>
      <c r="B12" s="522"/>
      <c r="C12" s="524"/>
      <c r="D12" s="522"/>
      <c r="E12" s="17"/>
      <c r="F12" s="534"/>
      <c r="G12" s="534"/>
      <c r="H12" s="25"/>
      <c r="I12" s="19"/>
      <c r="J12" s="13"/>
      <c r="K12" s="13"/>
      <c r="L12" s="13"/>
    </row>
    <row r="13" spans="1:19" ht="12.75" customHeight="1" thickBot="1">
      <c r="A13" s="529">
        <v>3</v>
      </c>
      <c r="B13" s="530" t="str">
        <f>VLOOKUP(A13,пр.взв!B5:C22,2,FALSE)</f>
        <v>Расулов Шамиль Садрутдинович</v>
      </c>
      <c r="C13" s="532" t="str">
        <f>VLOOKUP(A13,пр.взв!B5:E22,3,FALSE)</f>
        <v>09.04.93, мс</v>
      </c>
      <c r="D13" s="530" t="str">
        <f>VLOOKUP(A13,пр.взв!B7:G22,5,FALSE)</f>
        <v>Санкт-Петербург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19"/>
      <c r="B14" s="531"/>
      <c r="C14" s="533"/>
      <c r="D14" s="531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19">
        <v>11</v>
      </c>
      <c r="B15" s="521" t="str">
        <f>VLOOKUP(A15,пр.взв!B15:C22,2,FALSE)</f>
        <v>Гаджиев Али Джабраилович</v>
      </c>
      <c r="C15" s="523" t="str">
        <f>VLOOKUP(A15,пр.взв!B5:E22,3,FALSE)</f>
        <v>28.11.97, кмс</v>
      </c>
      <c r="D15" s="525" t="str">
        <f>VLOOKUP(A15,пр.взв!B9:G22,5,FALSE)</f>
        <v>Санкт-Петербург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20"/>
      <c r="B16" s="522"/>
      <c r="C16" s="524"/>
      <c r="D16" s="522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29">
        <v>7</v>
      </c>
      <c r="B17" s="530" t="str">
        <f>VLOOKUP(A17,пр.взв!B9:C22,2,FALSE)</f>
        <v>Шалимов Олег Валентинович</v>
      </c>
      <c r="C17" s="532" t="str">
        <f>VLOOKUP(A17,пр.взв!B5:E22,3,FALSE)</f>
        <v>24.07.00, кмс</v>
      </c>
      <c r="D17" s="530" t="str">
        <f>VLOOKUP(A17,пр.взв!B11:G22,5,FALSE)</f>
        <v>Вологодская, Вологда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19"/>
      <c r="B18" s="531"/>
      <c r="C18" s="533"/>
      <c r="D18" s="531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19">
        <v>15</v>
      </c>
      <c r="B19" s="521" t="e">
        <f>VLOOKUP(A19,пр.взв!B19:C22,2,FALSE)</f>
        <v>#N/A</v>
      </c>
      <c r="C19" s="523" t="e">
        <f>VLOOKUP(A19,пр.взв!B5:E22,3,FALSE)</f>
        <v>#N/A</v>
      </c>
      <c r="D19" s="525" t="e">
        <f>VLOOKUP(A19,пр.взв!B13:G22,5,FALSE)</f>
        <v>#N/A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20"/>
      <c r="B20" s="522"/>
      <c r="C20" s="524"/>
      <c r="D20" s="522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.5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.5" thickBot="1">
      <c r="A22" s="529">
        <v>2</v>
      </c>
      <c r="B22" s="530" t="str">
        <f>VLOOKUP(A22,пр.взв!B7:E22,2,FALSE)</f>
        <v>Мишанин Константин Олегович</v>
      </c>
      <c r="C22" s="532" t="str">
        <f>VLOOKUP(A22,пр.взв!B7:E22,3,FALSE)</f>
        <v>16.06.89, кмс</v>
      </c>
      <c r="D22" s="530" t="str">
        <f>пр.взв!F9</f>
        <v>Санкт-Петербург</v>
      </c>
      <c r="E22" s="12"/>
      <c r="F22" s="13"/>
      <c r="G22" s="13"/>
      <c r="H22" s="13"/>
      <c r="I22" s="13"/>
      <c r="J22" s="4"/>
      <c r="K22" s="16"/>
    </row>
    <row r="23" spans="1:13" ht="15.75">
      <c r="A23" s="519"/>
      <c r="B23" s="531"/>
      <c r="C23" s="533"/>
      <c r="D23" s="525"/>
      <c r="E23" s="88"/>
      <c r="F23" s="15"/>
      <c r="G23" s="15"/>
      <c r="H23" s="13"/>
      <c r="I23" s="13"/>
      <c r="J23" s="4"/>
      <c r="K23" s="31"/>
    </row>
    <row r="24" spans="1:13" ht="16.5" thickBot="1">
      <c r="A24" s="519">
        <v>10</v>
      </c>
      <c r="B24" s="521" t="str">
        <f>VLOOKUP(A24,пр.взв!B7:E22,2,FALSE)</f>
        <v>Шевцов Иван Николаевич</v>
      </c>
      <c r="C24" s="523" t="str">
        <f>VLOOKUP(A24,пр.взв!B7:E22,3,FALSE)</f>
        <v>09.07.00, кмс</v>
      </c>
      <c r="D24" s="525" t="str">
        <f>VLOOKUP(A24,пр.взв!B8:G22,5,FALSE)</f>
        <v>Мурманская, Мурманск</v>
      </c>
      <c r="E24" s="89"/>
      <c r="F24" s="20"/>
      <c r="G24" s="15"/>
      <c r="H24" s="13"/>
      <c r="I24" s="13"/>
      <c r="J24" s="4"/>
      <c r="K24" s="31"/>
    </row>
    <row r="25" spans="1:13" ht="16.5" thickBot="1">
      <c r="A25" s="520"/>
      <c r="B25" s="522"/>
      <c r="C25" s="524"/>
      <c r="D25" s="535"/>
      <c r="E25" s="17"/>
      <c r="F25" s="21"/>
      <c r="G25" s="19"/>
      <c r="H25" s="13"/>
      <c r="I25" s="13"/>
      <c r="J25" s="4"/>
      <c r="K25" s="31"/>
    </row>
    <row r="26" spans="1:13" ht="16.5" thickBot="1">
      <c r="A26" s="529">
        <v>6</v>
      </c>
      <c r="B26" s="530" t="str">
        <f>VLOOKUP(A26,пр.взв!B7:E22,2,FALSE)</f>
        <v>Магомедов Расул Ахметович</v>
      </c>
      <c r="C26" s="532" t="str">
        <f>VLOOKUP(A26,пр.взв!B7:E22,3,FALSE)</f>
        <v>06.04.94, кмс</v>
      </c>
      <c r="D26" s="530" t="str">
        <f>VLOOKUP(A26,пр.взв!B2:G22,5,FALSE)</f>
        <v>Р.Карелия, Петрозаводск</v>
      </c>
      <c r="E26" s="12"/>
      <c r="F26" s="21"/>
      <c r="G26" s="16"/>
      <c r="H26" s="26"/>
      <c r="I26" s="13"/>
      <c r="J26" s="4"/>
      <c r="K26" s="31"/>
    </row>
    <row r="27" spans="1:13" ht="15.75">
      <c r="A27" s="519"/>
      <c r="B27" s="531"/>
      <c r="C27" s="533"/>
      <c r="D27" s="525"/>
      <c r="E27" s="88"/>
      <c r="F27" s="24"/>
      <c r="G27" s="15"/>
      <c r="H27" s="25"/>
      <c r="I27" s="13"/>
      <c r="J27" s="4"/>
      <c r="K27" s="31"/>
    </row>
    <row r="28" spans="1:13" ht="16.5" thickBot="1">
      <c r="A28" s="519">
        <v>14</v>
      </c>
      <c r="B28" s="521" t="e">
        <f>VLOOKUP(A28,пр.взв!B7:E22,2,FALSE)</f>
        <v>#N/A</v>
      </c>
      <c r="C28" s="523" t="e">
        <f>VLOOKUP(A28,пр.взв!B7:E22,3,FALSE)</f>
        <v>#N/A</v>
      </c>
      <c r="D28" s="525" t="e">
        <f>VLOOKUP(A28,пр.взв!B4:G22,5,FALSE)</f>
        <v>#N/A</v>
      </c>
      <c r="E28" s="89"/>
      <c r="F28" s="15"/>
      <c r="G28" s="15"/>
      <c r="H28" s="25"/>
      <c r="I28" s="28"/>
      <c r="J28" s="4"/>
      <c r="K28" s="31"/>
    </row>
    <row r="29" spans="1:13" ht="16.5" thickBot="1">
      <c r="A29" s="520"/>
      <c r="B29" s="522"/>
      <c r="C29" s="524"/>
      <c r="D29" s="535"/>
      <c r="E29" s="17"/>
      <c r="F29" s="534"/>
      <c r="G29" s="534"/>
      <c r="H29" s="25"/>
      <c r="I29" s="19"/>
      <c r="J29" s="3"/>
      <c r="K29" s="30"/>
    </row>
    <row r="30" spans="1:13" ht="16.5" thickBot="1">
      <c r="A30" s="529">
        <v>4</v>
      </c>
      <c r="B30" s="530" t="str">
        <f>VLOOKUP(A30,пр.взв!B7:E22,2,FALSE)</f>
        <v>Бычков Александр Юрьевич</v>
      </c>
      <c r="C30" s="532" t="str">
        <f>VLOOKUP(A30,пр.взв!B7:E22,3,FALSE)</f>
        <v>11.01.87, кмс</v>
      </c>
      <c r="D30" s="530" t="str">
        <f>VLOOKUP(A30,пр.взв!B6:G22,5,FALSE)</f>
        <v>Р.Карелия, Петрозаводск</v>
      </c>
      <c r="E30" s="12"/>
      <c r="F30" s="15"/>
      <c r="G30" s="15"/>
      <c r="H30" s="25"/>
      <c r="I30" s="16"/>
    </row>
    <row r="31" spans="1:13" ht="15.75">
      <c r="A31" s="519"/>
      <c r="B31" s="531"/>
      <c r="C31" s="533"/>
      <c r="D31" s="525"/>
      <c r="E31" s="88"/>
      <c r="F31" s="15"/>
      <c r="G31" s="15"/>
      <c r="H31" s="25"/>
      <c r="I31" s="13"/>
    </row>
    <row r="32" spans="1:13" ht="16.5" thickBot="1">
      <c r="A32" s="519">
        <v>12</v>
      </c>
      <c r="B32" s="521" t="str">
        <f>VLOOKUP(A32,пр.взв!B7:E22,2,FALSE)</f>
        <v>Бурлаков Анатолий Николаевич</v>
      </c>
      <c r="C32" s="523" t="str">
        <f>VLOOKUP(A32,пр.взв!B7:E22,3,FALSE)</f>
        <v>26.09.97, кмс</v>
      </c>
      <c r="D32" s="525" t="str">
        <f>VLOOKUP(A32,пр.взв!B8:G22,5,FALSE)</f>
        <v>Санкт-Петербург</v>
      </c>
      <c r="E32" s="89"/>
      <c r="F32" s="20"/>
      <c r="G32" s="15"/>
      <c r="H32" s="25"/>
      <c r="I32" s="13"/>
    </row>
    <row r="33" spans="1:13" ht="16.5" thickBot="1">
      <c r="A33" s="520"/>
      <c r="B33" s="522"/>
      <c r="C33" s="524"/>
      <c r="D33" s="535"/>
      <c r="E33" s="17"/>
      <c r="F33" s="21"/>
      <c r="G33" s="19"/>
      <c r="H33" s="27"/>
      <c r="I33" s="13"/>
    </row>
    <row r="34" spans="1:13" ht="16.5" thickBot="1">
      <c r="A34" s="529">
        <v>8</v>
      </c>
      <c r="B34" s="530" t="str">
        <f>VLOOKUP(A34,пр.взв!B7:E22,2,FALSE)</f>
        <v>Тайгибов Магомед Магомедрасулович</v>
      </c>
      <c r="C34" s="532" t="str">
        <f>VLOOKUP(A34,пр.взв!B7:E22,3,FALSE)</f>
        <v>27.03.98, кмс</v>
      </c>
      <c r="D34" s="530" t="str">
        <f>VLOOKUP(A34,пр.взв!B10:G22,5,FALSE)</f>
        <v>Санкт-Петербург</v>
      </c>
      <c r="E34" s="12"/>
      <c r="F34" s="22"/>
      <c r="G34" s="16"/>
      <c r="H34" s="10"/>
      <c r="I34" s="10"/>
    </row>
    <row r="35" spans="1:13" ht="15.75">
      <c r="A35" s="519"/>
      <c r="B35" s="531"/>
      <c r="C35" s="533"/>
      <c r="D35" s="525"/>
      <c r="E35" s="88"/>
      <c r="F35" s="23"/>
      <c r="G35" s="17"/>
      <c r="H35" s="18"/>
      <c r="I35" s="18"/>
    </row>
    <row r="36" spans="1:13" ht="16.5" thickBot="1">
      <c r="A36" s="519">
        <v>16</v>
      </c>
      <c r="B36" s="521" t="e">
        <f>VLOOKUP(A36,пр.взв!B7:E22,2,FALSE)</f>
        <v>#N/A</v>
      </c>
      <c r="C36" s="523" t="e">
        <f>VLOOKUP(A36,пр.взв!B7:E22,3,FALSE)</f>
        <v>#N/A</v>
      </c>
      <c r="D36" s="525" t="e">
        <f>VLOOKUP(A36,пр.взв!B12:G22,5,FALSE)</f>
        <v>#N/A</v>
      </c>
      <c r="E36" s="89"/>
      <c r="F36" s="17"/>
      <c r="G36" s="17"/>
      <c r="H36" s="18"/>
      <c r="I36" s="18"/>
    </row>
    <row r="37" spans="1:13" ht="16.5" thickBot="1">
      <c r="A37" s="520"/>
      <c r="B37" s="522"/>
      <c r="C37" s="524"/>
      <c r="D37" s="535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36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36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37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37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7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7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D34:D35"/>
    <mergeCell ref="A36:A37"/>
    <mergeCell ref="D39:D40"/>
    <mergeCell ref="D48:D49"/>
    <mergeCell ref="B36:B37"/>
    <mergeCell ref="C36:C37"/>
    <mergeCell ref="D36:D3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22:D23"/>
    <mergeCell ref="B24:B25"/>
    <mergeCell ref="C24:C25"/>
    <mergeCell ref="D24:D25"/>
    <mergeCell ref="B26:B27"/>
    <mergeCell ref="C26:C27"/>
    <mergeCell ref="D26:D27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19:D20"/>
    <mergeCell ref="A17:A18"/>
    <mergeCell ref="B17:B18"/>
    <mergeCell ref="C17:C18"/>
    <mergeCell ref="D17:D18"/>
    <mergeCell ref="C19:C20"/>
    <mergeCell ref="F12:G12"/>
    <mergeCell ref="A13:A14"/>
    <mergeCell ref="B13:B14"/>
    <mergeCell ref="C13:C14"/>
    <mergeCell ref="D13:D14"/>
    <mergeCell ref="A11:A12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A1:K1"/>
    <mergeCell ref="A2:K2"/>
    <mergeCell ref="A5:A6"/>
    <mergeCell ref="B5:B6"/>
    <mergeCell ref="C5:C6"/>
    <mergeCell ref="D5:D6"/>
    <mergeCell ref="A7:A8"/>
    <mergeCell ref="B7:B8"/>
    <mergeCell ref="C7:C8"/>
    <mergeCell ref="D7:D8"/>
    <mergeCell ref="A4:B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  <pageSetUpPr fitToPage="1"/>
  </sheetPr>
  <dimension ref="A1:J44"/>
  <sheetViews>
    <sheetView topLeftCell="A12" workbookViewId="0">
      <selection sqref="A1:H36"/>
    </sheetView>
  </sheetViews>
  <sheetFormatPr defaultRowHeight="12.75"/>
  <cols>
    <col min="3" max="3" width="14" customWidth="1"/>
    <col min="8" max="8" width="14.5703125" customWidth="1"/>
  </cols>
  <sheetData>
    <row r="1" spans="1:10" ht="28.5" customHeight="1" thickBot="1">
      <c r="A1" s="538" t="str">
        <f>пр.взв!B2</f>
        <v>Всероссийские соревнования по самбо, XIV Всероссийский турнир по боевому самбо памяти генерал-лейтенанта ФСБ России Чуйкина В.М.</v>
      </c>
      <c r="B1" s="539"/>
      <c r="C1" s="539"/>
      <c r="D1" s="539"/>
      <c r="E1" s="539"/>
      <c r="F1" s="539"/>
      <c r="G1" s="539"/>
      <c r="H1" s="540"/>
    </row>
    <row r="2" spans="1:10">
      <c r="A2" s="541" t="str">
        <f>пр.взв!A3</f>
        <v>12-14  октября 2018г.                                              г.Лахденпохья</v>
      </c>
      <c r="B2" s="541"/>
      <c r="C2" s="541"/>
      <c r="D2" s="541"/>
      <c r="E2" s="541"/>
      <c r="F2" s="541"/>
      <c r="G2" s="541"/>
      <c r="H2" s="541"/>
    </row>
    <row r="3" spans="1:10" ht="18.75" thickBot="1">
      <c r="A3" s="542" t="s">
        <v>27</v>
      </c>
      <c r="B3" s="542"/>
      <c r="C3" s="542"/>
      <c r="D3" s="542"/>
      <c r="E3" s="542"/>
      <c r="F3" s="542"/>
      <c r="G3" s="542"/>
      <c r="H3" s="542"/>
    </row>
    <row r="4" spans="1:10" ht="18.75" thickBot="1">
      <c r="B4" s="70"/>
      <c r="C4" s="71"/>
      <c r="D4" s="543" t="str">
        <f>HYPERLINK(пр.взв!D4)</f>
        <v>В.к.62  кг.</v>
      </c>
      <c r="E4" s="544"/>
      <c r="F4" s="545"/>
      <c r="G4" s="71"/>
      <c r="H4" s="71"/>
    </row>
    <row r="5" spans="1:10" ht="18.75" thickBot="1">
      <c r="A5" s="71"/>
      <c r="B5" s="71"/>
      <c r="C5" s="71"/>
      <c r="D5" s="71"/>
      <c r="E5" s="71"/>
      <c r="F5" s="71"/>
      <c r="G5" s="71"/>
      <c r="H5" s="71"/>
    </row>
    <row r="6" spans="1:10" ht="18">
      <c r="A6" s="546" t="s">
        <v>28</v>
      </c>
      <c r="B6" s="555" t="str">
        <f>IFERROR(VLOOKUP(J6,пр.взв!$B$7:$H$14,2,0),"")</f>
        <v>Бычков Александр Юрьевич</v>
      </c>
      <c r="C6" s="555"/>
      <c r="D6" s="555"/>
      <c r="E6" s="555"/>
      <c r="F6" s="555"/>
      <c r="G6" s="555"/>
      <c r="H6" s="549" t="str">
        <f>IFERROR(VLOOKUP(J6,пр.взв!$B$7:$H$14,3,0),"")</f>
        <v>11.01.87, кмс</v>
      </c>
      <c r="I6" s="71"/>
      <c r="J6" s="69">
        <f>пр.хода!H8</f>
        <v>4</v>
      </c>
    </row>
    <row r="7" spans="1:10" ht="18">
      <c r="A7" s="547"/>
      <c r="B7" s="556"/>
      <c r="C7" s="556"/>
      <c r="D7" s="556"/>
      <c r="E7" s="556"/>
      <c r="F7" s="556"/>
      <c r="G7" s="556"/>
      <c r="H7" s="550"/>
      <c r="I7" s="71"/>
      <c r="J7" s="69"/>
    </row>
    <row r="8" spans="1:10" ht="18">
      <c r="A8" s="547"/>
      <c r="B8" s="551" t="str">
        <f>IFERROR(VLOOKUP(J6,пр.взв!$B$7:$H$14,4,0),"")</f>
        <v>СЗФО</v>
      </c>
      <c r="C8" s="551"/>
      <c r="D8" s="551" t="str">
        <f>IFERROR(VLOOKUP(J6,пр.взв!$B$7:$H$14,5,0),"")</f>
        <v>Р.Карелия, Петрозаводск</v>
      </c>
      <c r="E8" s="551"/>
      <c r="F8" s="551"/>
      <c r="G8" s="551"/>
      <c r="H8" s="553"/>
      <c r="I8" s="71"/>
      <c r="J8" s="69"/>
    </row>
    <row r="9" spans="1:10" ht="18.75" thickBot="1">
      <c r="A9" s="548"/>
      <c r="B9" s="552"/>
      <c r="C9" s="552"/>
      <c r="D9" s="552"/>
      <c r="E9" s="552"/>
      <c r="F9" s="552"/>
      <c r="G9" s="552"/>
      <c r="H9" s="554"/>
      <c r="I9" s="71"/>
      <c r="J9" s="69"/>
    </row>
    <row r="10" spans="1:10" ht="18.75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64" t="s">
        <v>29</v>
      </c>
      <c r="B11" s="555" t="str">
        <f>IFERROR(VLOOKUP(J11,пр.взв!$B$7:$H$14,2,0),"")</f>
        <v>Расулов Шамиль Садрутдинович</v>
      </c>
      <c r="C11" s="555"/>
      <c r="D11" s="555"/>
      <c r="E11" s="555"/>
      <c r="F11" s="555"/>
      <c r="G11" s="555"/>
      <c r="H11" s="549" t="str">
        <f>IFERROR(VLOOKUP(J11,пр.взв!$B$7:$H$14,3,0),"")</f>
        <v>09.04.93, мс</v>
      </c>
      <c r="I11" s="71"/>
      <c r="J11" s="69">
        <f>пр.хода!H20</f>
        <v>3</v>
      </c>
    </row>
    <row r="12" spans="1:10" ht="18" customHeight="1">
      <c r="A12" s="565"/>
      <c r="B12" s="556"/>
      <c r="C12" s="556"/>
      <c r="D12" s="556"/>
      <c r="E12" s="556"/>
      <c r="F12" s="556"/>
      <c r="G12" s="556"/>
      <c r="H12" s="550"/>
      <c r="I12" s="71"/>
      <c r="J12" s="69"/>
    </row>
    <row r="13" spans="1:10" ht="18">
      <c r="A13" s="565"/>
      <c r="B13" s="551" t="str">
        <f>IFERROR(VLOOKUP(J11,пр.взв!$B$7:$H$14,4,0),"")</f>
        <v>СП</v>
      </c>
      <c r="C13" s="551"/>
      <c r="D13" s="551" t="str">
        <f>IFERROR(VLOOKUP(J11,пр.взв!$B$7:$H$14,5,0),"")</f>
        <v>Санкт-Петербург</v>
      </c>
      <c r="E13" s="551"/>
      <c r="F13" s="551"/>
      <c r="G13" s="551"/>
      <c r="H13" s="553"/>
      <c r="I13" s="71"/>
      <c r="J13" s="69"/>
    </row>
    <row r="14" spans="1:10" ht="18.75" thickBot="1">
      <c r="A14" s="566"/>
      <c r="B14" s="552"/>
      <c r="C14" s="552"/>
      <c r="D14" s="552"/>
      <c r="E14" s="552"/>
      <c r="F14" s="552"/>
      <c r="G14" s="552"/>
      <c r="H14" s="554"/>
      <c r="I14" s="71"/>
      <c r="J14" s="69"/>
    </row>
    <row r="15" spans="1:10" ht="18.75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61" t="s">
        <v>30</v>
      </c>
      <c r="B16" s="555" t="str">
        <f>IFERROR(VLOOKUP(J16,пр.взв!$B$7:$H$14,2,0),"")</f>
        <v>Кибишев Залим Арсенович</v>
      </c>
      <c r="C16" s="555"/>
      <c r="D16" s="555"/>
      <c r="E16" s="555"/>
      <c r="F16" s="555"/>
      <c r="G16" s="555"/>
      <c r="H16" s="549" t="str">
        <f>IFERROR(VLOOKUP(J16,пр.взв!$B$7:$H$14,3,0),"")</f>
        <v>19.06.94, мс</v>
      </c>
      <c r="I16" s="71"/>
      <c r="J16" s="69">
        <f>пр.хода!E32</f>
        <v>1</v>
      </c>
    </row>
    <row r="17" spans="1:10" ht="18" customHeight="1">
      <c r="A17" s="562"/>
      <c r="B17" s="556"/>
      <c r="C17" s="556"/>
      <c r="D17" s="556"/>
      <c r="E17" s="556"/>
      <c r="F17" s="556"/>
      <c r="G17" s="556"/>
      <c r="H17" s="550"/>
      <c r="I17" s="71"/>
      <c r="J17" s="69"/>
    </row>
    <row r="18" spans="1:10" ht="18">
      <c r="A18" s="562"/>
      <c r="B18" s="551" t="str">
        <f>IFERROR(VLOOKUP(J16,пр.взв!$B$7:$H$14,4,0),"")</f>
        <v>СКФО</v>
      </c>
      <c r="C18" s="551"/>
      <c r="D18" s="551" t="str">
        <f>IFERROR(VLOOKUP(J16,пр.взв!$B$7:$H$14,5,0),"")</f>
        <v>Ставропольский, Ставрополь</v>
      </c>
      <c r="E18" s="551"/>
      <c r="F18" s="551"/>
      <c r="G18" s="551"/>
      <c r="H18" s="553"/>
      <c r="I18" s="71"/>
      <c r="J18" s="69"/>
    </row>
    <row r="19" spans="1:10" ht="18.75" thickBot="1">
      <c r="A19" s="563"/>
      <c r="B19" s="552"/>
      <c r="C19" s="552"/>
      <c r="D19" s="552"/>
      <c r="E19" s="552"/>
      <c r="F19" s="552"/>
      <c r="G19" s="552"/>
      <c r="H19" s="554"/>
      <c r="I19" s="71"/>
      <c r="J19" s="69"/>
    </row>
    <row r="20" spans="1:10" ht="18.75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61" t="s">
        <v>30</v>
      </c>
      <c r="B21" s="555" t="str">
        <f>IFERROR(VLOOKUP(J21,пр.взв!$B$7:$H$14,2,0),"")</f>
        <v>Мишанин Константин Олегович</v>
      </c>
      <c r="C21" s="555"/>
      <c r="D21" s="555"/>
      <c r="E21" s="555"/>
      <c r="F21" s="555"/>
      <c r="G21" s="555"/>
      <c r="H21" s="549" t="str">
        <f>IFERROR(VLOOKUP(J21,пр.взв!$B$7:$H$14,3,0),"")</f>
        <v>16.06.89, кмс</v>
      </c>
      <c r="I21" s="71"/>
      <c r="J21" s="69">
        <f>пр.хода!Q32</f>
        <v>2</v>
      </c>
    </row>
    <row r="22" spans="1:10" ht="18" customHeight="1">
      <c r="A22" s="562"/>
      <c r="B22" s="556"/>
      <c r="C22" s="556"/>
      <c r="D22" s="556"/>
      <c r="E22" s="556"/>
      <c r="F22" s="556"/>
      <c r="G22" s="556"/>
      <c r="H22" s="550"/>
      <c r="I22" s="71"/>
      <c r="J22" s="69"/>
    </row>
    <row r="23" spans="1:10" ht="18">
      <c r="A23" s="562"/>
      <c r="B23" s="551" t="str">
        <f>IFERROR(VLOOKUP(J21,пр.взв!$B$7:$H$14,4,0),"")</f>
        <v>ЦФО</v>
      </c>
      <c r="C23" s="551"/>
      <c r="D23" s="551" t="str">
        <f>IFERROR(VLOOKUP(J21,пр.взв!$B$7:$H$14,5,0),"")</f>
        <v>Рязанская, Рязань "Юпитер"</v>
      </c>
      <c r="E23" s="551"/>
      <c r="F23" s="551"/>
      <c r="G23" s="551"/>
      <c r="H23" s="553"/>
      <c r="I23" s="71"/>
    </row>
    <row r="24" spans="1:10" ht="18.75" thickBot="1">
      <c r="A24" s="563"/>
      <c r="B24" s="552"/>
      <c r="C24" s="552"/>
      <c r="D24" s="552"/>
      <c r="E24" s="552"/>
      <c r="F24" s="552"/>
      <c r="G24" s="552"/>
      <c r="H24" s="554"/>
      <c r="I24" s="71"/>
    </row>
    <row r="25" spans="1:10" ht="18">
      <c r="A25" s="71"/>
      <c r="B25" s="71"/>
      <c r="C25" s="71"/>
      <c r="D25" s="71"/>
      <c r="E25" s="71"/>
      <c r="F25" s="71"/>
      <c r="G25" s="71"/>
      <c r="H25" s="71"/>
    </row>
    <row r="26" spans="1:10" ht="18">
      <c r="A26" s="71" t="s">
        <v>47</v>
      </c>
      <c r="B26" s="71"/>
      <c r="C26" s="71"/>
      <c r="D26" s="71"/>
      <c r="E26" s="71"/>
      <c r="F26" s="71"/>
      <c r="G26" s="71"/>
      <c r="H26" s="71"/>
    </row>
    <row r="27" spans="1:10" ht="13.5" thickBot="1"/>
    <row r="28" spans="1:10">
      <c r="A28" s="557" t="str">
        <f>IFERROR(VLOOKUP(J28,пр.взв!$B$7:$H$14,7,0),"")</f>
        <v>Шегельман РИ</v>
      </c>
      <c r="B28" s="558"/>
      <c r="C28" s="558"/>
      <c r="D28" s="558"/>
      <c r="E28" s="558"/>
      <c r="F28" s="558"/>
      <c r="G28" s="558"/>
      <c r="H28" s="559"/>
      <c r="J28">
        <f>пр.хода!H8</f>
        <v>4</v>
      </c>
    </row>
    <row r="29" spans="1:10" ht="13.5" thickBot="1">
      <c r="A29" s="560"/>
      <c r="B29" s="552"/>
      <c r="C29" s="552"/>
      <c r="D29" s="552"/>
      <c r="E29" s="552"/>
      <c r="F29" s="552"/>
      <c r="G29" s="552"/>
      <c r="H29" s="554"/>
    </row>
    <row r="31" spans="1:10" hidden="1"/>
    <row r="32" spans="1:10" hidden="1"/>
    <row r="33" spans="1:8" hidden="1"/>
    <row r="36" spans="1:8" ht="18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8">
      <c r="A37" s="71"/>
      <c r="B37" s="71"/>
      <c r="C37" s="71"/>
      <c r="D37" s="71"/>
      <c r="E37" s="71"/>
      <c r="F37" s="71"/>
      <c r="G37" s="71"/>
      <c r="H37" s="71"/>
    </row>
    <row r="38" spans="1:8" ht="18">
      <c r="A38" s="71"/>
      <c r="B38" s="71"/>
      <c r="C38" s="71"/>
      <c r="D38" s="71"/>
      <c r="E38" s="71"/>
      <c r="F38" s="71"/>
      <c r="G38" s="71"/>
      <c r="H38" s="71"/>
    </row>
    <row r="39" spans="1:8" ht="18">
      <c r="A39" s="72"/>
      <c r="B39" s="72"/>
      <c r="C39" s="72"/>
      <c r="D39" s="72"/>
      <c r="E39" s="72"/>
      <c r="F39" s="72"/>
      <c r="G39" s="72"/>
      <c r="H39" s="72"/>
    </row>
    <row r="40" spans="1:8" ht="18">
      <c r="A40" s="73"/>
      <c r="B40" s="73"/>
      <c r="C40" s="73"/>
      <c r="D40" s="73"/>
      <c r="E40" s="73"/>
      <c r="F40" s="73"/>
      <c r="G40" s="73"/>
      <c r="H40" s="73"/>
    </row>
    <row r="41" spans="1:8" ht="18">
      <c r="A41" s="72"/>
      <c r="B41" s="72"/>
      <c r="C41" s="72"/>
      <c r="D41" s="72"/>
      <c r="E41" s="72"/>
      <c r="F41" s="72"/>
      <c r="G41" s="72"/>
      <c r="H41" s="72"/>
    </row>
    <row r="42" spans="1:8" ht="18">
      <c r="A42" s="74"/>
      <c r="B42" s="74"/>
      <c r="C42" s="74"/>
      <c r="D42" s="74"/>
      <c r="E42" s="74"/>
      <c r="F42" s="74"/>
      <c r="G42" s="74"/>
      <c r="H42" s="74"/>
    </row>
    <row r="43" spans="1:8" ht="18">
      <c r="A43" s="72"/>
      <c r="B43" s="72"/>
      <c r="C43" s="72"/>
      <c r="D43" s="72"/>
      <c r="E43" s="72"/>
      <c r="F43" s="72"/>
      <c r="G43" s="72"/>
      <c r="H43" s="72"/>
    </row>
    <row r="44" spans="1:8" ht="18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  <mergeCell ref="A1:H1"/>
    <mergeCell ref="A2:H2"/>
    <mergeCell ref="A3:H3"/>
    <mergeCell ref="D4:F4"/>
    <mergeCell ref="A6:A9"/>
    <mergeCell ref="H6:H7"/>
    <mergeCell ref="B8:C9"/>
    <mergeCell ref="D8:H9"/>
    <mergeCell ref="B6:G7"/>
  </mergeCells>
  <phoneticPr fontId="12" type="noConversion"/>
  <pageMargins left="0.75" right="0.75" top="1" bottom="1" header="0.5" footer="0.5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2019-04-30T13:51:11Z</cp:lastPrinted>
  <dcterms:created xsi:type="dcterms:W3CDTF">1996-10-08T23:32:33Z</dcterms:created>
  <dcterms:modified xsi:type="dcterms:W3CDTF">2019-04-30T13:52:29Z</dcterms:modified>
</cp:coreProperties>
</file>