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A3" i="2" l="1"/>
  <c r="B2" i="2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A2" i="9" l="1"/>
  <c r="A1" i="9"/>
  <c r="G33" i="1"/>
  <c r="G32" i="1"/>
  <c r="G30" i="1"/>
  <c r="G29" i="1"/>
  <c r="A29" i="1"/>
  <c r="D2" i="1"/>
  <c r="R33" i="3"/>
  <c r="R31" i="3"/>
  <c r="N33" i="3"/>
  <c r="N31" i="3"/>
  <c r="B33" i="3"/>
  <c r="B31" i="3"/>
  <c r="C4" i="3"/>
  <c r="C3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8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C27" i="3"/>
  <c r="R27" i="3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32" i="1"/>
  <c r="G3" i="1"/>
  <c r="B12" i="1"/>
  <c r="J21" i="9" s="1"/>
  <c r="B10" i="1"/>
  <c r="B6" i="1"/>
  <c r="J6" i="9" s="1"/>
  <c r="C2" i="4"/>
  <c r="B34" i="5"/>
  <c r="B32" i="5"/>
  <c r="B7" i="5"/>
  <c r="L20" i="7"/>
  <c r="L18" i="7"/>
  <c r="B20" i="7"/>
  <c r="B18" i="7"/>
  <c r="B2" i="7"/>
  <c r="Q24" i="7"/>
  <c r="G24" i="7"/>
  <c r="Q15" i="7"/>
  <c r="G15" i="7"/>
  <c r="L2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/>
  <c r="B14" i="1" s="1"/>
  <c r="Z22" i="3"/>
  <c r="B16" i="1" s="1"/>
  <c r="B6" i="9" l="1"/>
  <c r="H6" i="9"/>
  <c r="E8" i="9"/>
  <c r="B8" i="9"/>
  <c r="B21" i="9"/>
  <c r="B23" i="9"/>
  <c r="E23" i="9"/>
  <c r="H21" i="9"/>
  <c r="B23" i="3"/>
  <c r="Z23" i="3"/>
  <c r="B18" i="1" s="1"/>
  <c r="F18" i="1" s="1"/>
  <c r="S23" i="3"/>
  <c r="Z24" i="3"/>
  <c r="B20" i="1" s="1"/>
  <c r="C20" i="7"/>
  <c r="E20" i="7"/>
  <c r="D20" i="7"/>
  <c r="F20" i="7"/>
  <c r="G16" i="1"/>
  <c r="C16" i="1"/>
  <c r="H16" i="1"/>
  <c r="F16" i="1"/>
  <c r="J16" i="1" s="1"/>
  <c r="D16" i="1"/>
  <c r="E16" i="1"/>
  <c r="C34" i="5"/>
  <c r="F34" i="5"/>
  <c r="E34" i="5"/>
  <c r="D34" i="5"/>
  <c r="G6" i="1"/>
  <c r="C6" i="1"/>
  <c r="F6" i="1"/>
  <c r="J4" i="1" s="1"/>
  <c r="E6" i="1"/>
  <c r="H6" i="1"/>
  <c r="D6" i="1"/>
  <c r="C19" i="5"/>
  <c r="F19" i="5"/>
  <c r="D19" i="5"/>
  <c r="E19" i="5"/>
  <c r="C32" i="5"/>
  <c r="F32" i="5"/>
  <c r="D32" i="5"/>
  <c r="E32" i="5"/>
  <c r="H18" i="1"/>
  <c r="G18" i="1"/>
  <c r="C18" i="1"/>
  <c r="E18" i="1"/>
  <c r="M20" i="7"/>
  <c r="O20" i="7"/>
  <c r="N20" i="7"/>
  <c r="P20" i="7"/>
  <c r="A1" i="5"/>
  <c r="F10" i="1"/>
  <c r="G10" i="1"/>
  <c r="C10" i="1"/>
  <c r="D10" i="1"/>
  <c r="E10" i="1"/>
  <c r="H10" i="1"/>
  <c r="H14" i="1"/>
  <c r="D14" i="1"/>
  <c r="G14" i="1"/>
  <c r="E14" i="1"/>
  <c r="F14" i="1"/>
  <c r="J14" i="1" s="1"/>
  <c r="C14" i="1"/>
  <c r="M18" i="7"/>
  <c r="P18" i="7"/>
  <c r="N18" i="7"/>
  <c r="O18" i="7"/>
  <c r="J28" i="9"/>
  <c r="A28" i="9" s="1"/>
  <c r="L29" i="7"/>
  <c r="C18" i="7"/>
  <c r="F18" i="7"/>
  <c r="D18" i="7"/>
  <c r="E18" i="7"/>
  <c r="C7" i="5"/>
  <c r="F7" i="5"/>
  <c r="D7" i="5"/>
  <c r="E7" i="5"/>
  <c r="E12" i="1"/>
  <c r="F12" i="1"/>
  <c r="J12" i="1" s="1"/>
  <c r="V1" i="1" s="1"/>
  <c r="G12" i="1"/>
  <c r="C12" i="1"/>
  <c r="H12" i="1"/>
  <c r="D12" i="1"/>
  <c r="B3" i="1"/>
  <c r="B3" i="4"/>
  <c r="B27" i="7"/>
  <c r="B9" i="5"/>
  <c r="J10" i="1"/>
  <c r="J16" i="9"/>
  <c r="L27" i="7"/>
  <c r="B21" i="5"/>
  <c r="B29" i="7"/>
  <c r="B8" i="1"/>
  <c r="B16" i="9" l="1"/>
  <c r="H16" i="9"/>
  <c r="B18" i="9"/>
  <c r="E18" i="9"/>
  <c r="D18" i="1"/>
  <c r="C21" i="5"/>
  <c r="F21" i="5"/>
  <c r="E21" i="5"/>
  <c r="D21" i="5"/>
  <c r="G8" i="1"/>
  <c r="C8" i="1"/>
  <c r="D8" i="1"/>
  <c r="E8" i="1"/>
  <c r="F8" i="1"/>
  <c r="J8" i="1" s="1"/>
  <c r="H8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20" i="1"/>
  <c r="F20" i="1"/>
  <c r="C20" i="1"/>
  <c r="H20" i="1"/>
  <c r="G20" i="1"/>
  <c r="D20" i="1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B11" i="9" l="1"/>
  <c r="B13" i="9"/>
  <c r="E13" i="9"/>
  <c r="H11" i="9"/>
  <c r="T9" i="1"/>
  <c r="W9" i="1" s="1"/>
  <c r="T10" i="1"/>
  <c r="V10" i="1" s="1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<sst xmlns="http://schemas.openxmlformats.org/spreadsheetml/2006/main" count="233" uniqueCount="106">
  <si>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</si>
  <si>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</si>
  <si>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</si>
  <si>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</si>
  <si>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</si>
  <si>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</si>
  <si>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</si>
  <si>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</si>
  <si>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</si>
  <si>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</si>
  <si>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</si>
  <si>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</si>
  <si>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</si>
  <si>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</si>
  <si>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</si>
  <si>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</si>
  <si>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</si>
  <si>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</si>
  <si>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</si>
  <si>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</si>
  <si>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</si>
  <si>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</si>
  <si>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</si>
  <si>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</si>
  <si>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</si>
  <si>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</si>
  <si>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</si>
  <si>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</si>
  <si>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</si>
  <si>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</si>
  <si>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</si>
  <si>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</si>
  <si>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</si>
  <si>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</si>
  <si>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</si>
  <si>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</si>
  <si>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</si>
  <si>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</si>
  <si>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</si>
  <si>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</si>
  <si>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</si>
  <si>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</si>
  <si>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</si>
  <si>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</si>
  <si>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</si>
  <si>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</si>
  <si>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</si>
  <si>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</si>
  <si>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</si>
  <si>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</si>
  <si>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</si>
  <si>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</si>
  <si>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</si>
  <si>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</si>
  <si>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</si>
  <si>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</si>
  <si>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</si>
  <si>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</si>
  <si>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</si>
  <si>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</si>
  <si>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</si>
  <si>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</si>
  <si>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</si>
  <si>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</si>
  <si>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</si>
  <si>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</si>
  <si>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</si>
  <si>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</si>
  <si>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</si>
  <si>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</si>
  <si>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</si>
  <si>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</si>
  <si>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</si>
  <si>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</si>
  <si>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</si>
  <si>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</si>
  <si>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</si>
  <si>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</si>
  <si>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</si>
  <si>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</si>
  <si>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</si>
  <si>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</si>
  <si>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</si>
  <si>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</si>
  <si>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Волощенко Вячеслав Александрович</t>
  </si>
  <si>
    <t>04.02.92, кмс</t>
  </si>
  <si>
    <t>СЗФО</t>
  </si>
  <si>
    <t>Р.Карелия, Петрозаводск</t>
  </si>
  <si>
    <t>Шегельман РИ</t>
  </si>
  <si>
    <t>Хамидов Умеджон</t>
  </si>
  <si>
    <t>08.12.97, кмс</t>
  </si>
  <si>
    <t>Кейтуков Кемран Арсеньевич</t>
  </si>
  <si>
    <t>19.11.94, мс</t>
  </si>
  <si>
    <t>СКФО</t>
  </si>
  <si>
    <t>Ставропольский, Ставрополь</t>
  </si>
  <si>
    <t>Хапай АЮ Хапай АЮ</t>
  </si>
  <si>
    <t>Вологдин Марк Сергеевич</t>
  </si>
  <si>
    <t>18.04.00, кмс</t>
  </si>
  <si>
    <t>Лютинский ВС</t>
  </si>
  <si>
    <t>Кысса Владислав Григорьевич</t>
  </si>
  <si>
    <t>01.07.98, мс</t>
  </si>
  <si>
    <t>СП</t>
  </si>
  <si>
    <t>Санкт-Петербург</t>
  </si>
  <si>
    <t>Коршунов АИ</t>
  </si>
  <si>
    <t>В.к. 57  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</si>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</sst>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name val="Arial"/>
      <family val="2"/>
      <charset val="204"/>
    </font>
    <font>
      <b/>
      <sz val="11"/>
      <name val="Arial Narrow"/>
      <family val="2"/>
      <charset val="204"/>
    </font>
    <font>
      <b/>
      <i/>
      <sz val="14"/>
      <name val="Arial"/>
      <family val="2"/>
      <charset val="204"/>
    </font>
    <font>
      <b/>
      <i/>
      <sz val="13"/>
      <name val="Arial Narrow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82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40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90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90" xfId="0" applyFont="1" applyBorder="1" applyAlignment="1">
      <alignment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4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5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7" fillId="0" borderId="7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11" fillId="3" borderId="84" xfId="0" applyFont="1" applyFill="1" applyBorder="1" applyAlignment="1" applyProtection="1">
      <alignment horizontal="center" vertical="center"/>
      <protection locked="0" hidden="1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9" xfId="0" applyNumberFormat="1" applyFont="1" applyBorder="1" applyAlignment="1" applyProtection="1">
      <alignment horizontal="center" vertical="center" wrapText="1"/>
      <protection locked="0"/>
    </xf>
    <xf numFmtId="0" fontId="5" fillId="0" borderId="89" xfId="0" applyNumberFormat="1" applyFont="1" applyBorder="1" applyAlignment="1" applyProtection="1">
      <alignment horizontal="left" vertical="center" wrapText="1"/>
      <protection locked="0"/>
    </xf>
    <xf numFmtId="0" fontId="5" fillId="0" borderId="81" xfId="0" applyNumberFormat="1" applyFont="1" applyBorder="1" applyAlignment="1" applyProtection="1">
      <alignment horizontal="left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5" fillId="0" borderId="12" xfId="0" applyNumberFormat="1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2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5" fillId="0" borderId="74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37" fillId="0" borderId="16" xfId="0" applyFont="1" applyBorder="1" applyAlignment="1" applyProtection="1">
      <alignment horizontal="center" vertical="center" wrapText="1"/>
      <protection locked="0"/>
    </xf>
    <xf numFmtId="0" fontId="37" fillId="0" borderId="55" xfId="0" applyFont="1" applyBorder="1" applyAlignment="1" applyProtection="1">
      <alignment horizontal="center" vertical="center" wrapText="1"/>
      <protection locked="0"/>
    </xf>
    <xf numFmtId="0" fontId="5" fillId="0" borderId="19" xfId="0" applyNumberFormat="1" applyFont="1" applyBorder="1" applyAlignment="1" applyProtection="1">
      <alignment horizontal="center" vertical="center" wrapText="1"/>
      <protection locked="0"/>
    </xf>
    <xf numFmtId="0" fontId="5" fillId="0" borderId="78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5" fillId="0" borderId="91" xfId="0" applyNumberFormat="1" applyFont="1" applyBorder="1" applyAlignment="1" applyProtection="1">
      <alignment horizontal="left" vertical="center" wrapText="1"/>
      <protection locked="0"/>
    </xf>
    <xf numFmtId="0" fontId="5" fillId="0" borderId="15" xfId="0" applyNumberFormat="1" applyFont="1" applyBorder="1" applyAlignment="1" applyProtection="1">
      <alignment horizontal="left" vertical="center" wrapText="1"/>
      <protection locked="0"/>
    </xf>
    <xf numFmtId="0" fontId="5" fillId="0" borderId="25" xfId="0" applyNumberFormat="1" applyFont="1" applyBorder="1" applyAlignment="1" applyProtection="1">
      <alignment horizontal="center" vertical="center" wrapText="1"/>
      <protection locked="0"/>
    </xf>
    <xf numFmtId="0" fontId="5" fillId="0" borderId="21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5" fillId="0" borderId="88" xfId="0" applyNumberFormat="1" applyFont="1" applyBorder="1" applyAlignment="1" applyProtection="1">
      <alignment horizontal="left" vertical="center" wrapText="1"/>
      <protection locked="0"/>
    </xf>
    <xf numFmtId="0" fontId="5" fillId="0" borderId="3" xfId="0" applyNumberFormat="1" applyFont="1" applyBorder="1" applyAlignment="1" applyProtection="1">
      <alignment horizontal="left" vertical="center" wrapText="1"/>
      <protection locked="0"/>
    </xf>
    <xf numFmtId="0" fontId="5" fillId="0" borderId="46" xfId="0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3" xfId="0" applyNumberFormat="1" applyFont="1" applyBorder="1" applyAlignment="1" applyProtection="1">
      <alignment horizontal="left" vertical="center" wrapText="1"/>
      <protection locked="0"/>
    </xf>
    <xf numFmtId="0" fontId="5" fillId="0" borderId="27" xfId="0" applyNumberFormat="1" applyFont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5" fillId="0" borderId="4" xfId="0" applyNumberFormat="1" applyFont="1" applyBorder="1" applyAlignment="1" applyProtection="1">
      <alignment horizontal="left" vertical="center" wrapText="1"/>
      <protection locked="0"/>
    </xf>
    <xf numFmtId="0" fontId="37" fillId="0" borderId="92" xfId="0" applyFont="1" applyBorder="1" applyAlignment="1" applyProtection="1">
      <alignment horizontal="center" vertical="center" wrapText="1"/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5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2" fillId="2" borderId="52" xfId="1" applyFont="1" applyFill="1" applyBorder="1" applyAlignment="1" applyProtection="1">
      <alignment horizontal="center" vertical="center" wrapText="1"/>
    </xf>
    <xf numFmtId="0" fontId="42" fillId="2" borderId="53" xfId="1" applyFont="1" applyFill="1" applyBorder="1" applyAlignment="1" applyProtection="1">
      <alignment horizontal="center" vertical="center" wrapText="1"/>
    </xf>
    <xf numFmtId="0" fontId="42" fillId="2" borderId="54" xfId="1" applyFont="1" applyFill="1" applyBorder="1" applyAlignment="1" applyProtection="1">
      <alignment horizontal="center" vertical="center" wrapText="1"/>
    </xf>
    <xf numFmtId="0" fontId="24" fillId="0" borderId="82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6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2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7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2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6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6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2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2" borderId="52" xfId="1" applyFont="1" applyFill="1" applyBorder="1" applyAlignment="1" applyProtection="1">
      <alignment horizontal="center" vertical="center" wrapText="1"/>
      <protection locked="0"/>
    </xf>
    <xf numFmtId="0" fontId="44" fillId="2" borderId="53" xfId="1" applyFont="1" applyFill="1" applyBorder="1" applyAlignment="1" applyProtection="1">
      <alignment horizontal="center" vertical="center" wrapText="1"/>
      <protection locked="0"/>
    </xf>
    <xf numFmtId="0" fontId="44" fillId="2" borderId="54" xfId="1" applyFont="1" applyFill="1" applyBorder="1" applyAlignment="1" applyProtection="1">
      <alignment horizontal="center" vertical="center" wrapText="1"/>
      <protection locked="0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28575"/>
          <a:ext cx="542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88900</xdr:rowOff>
    </xdr:from>
    <xdr:to>
      <xdr:col>1</xdr:col>
      <xdr:colOff>781050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100" y="889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142875</xdr:colOff>
      <xdr:row>0</xdr:row>
      <xdr:rowOff>152400</xdr:rowOff>
    </xdr:from>
    <xdr:to>
      <xdr:col>29</xdr:col>
      <xdr:colOff>123825</xdr:colOff>
      <xdr:row>2</xdr:row>
      <xdr:rowOff>104775</xdr:rowOff>
    </xdr:to>
    <xdr:pic>
      <xdr:nvPicPr>
        <xdr:cNvPr id="4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52400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127000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6032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F12" sqref="F12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21" t="s">
        <v>81</v>
      </c>
      <c r="B1" s="221"/>
      <c r="C1" s="221"/>
      <c r="D1" s="221"/>
      <c r="E1" s="221"/>
      <c r="F1" s="221"/>
      <c r="G1" s="221"/>
      <c r="H1" s="221"/>
    </row>
    <row r="2" spans="1:35" ht="55.5" customHeight="1">
      <c r="A2" s="188"/>
      <c r="B2" s="220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20"/>
      <c r="D2" s="220"/>
      <c r="E2" s="220"/>
      <c r="F2" s="220"/>
      <c r="G2" s="220"/>
      <c r="H2" s="189"/>
      <c r="I2" s="151"/>
      <c r="J2" s="151"/>
      <c r="K2" s="151"/>
    </row>
    <row r="3" spans="1:35" ht="17.25" customHeight="1">
      <c r="A3" s="224" t="str">
        <f>[1]реквизиты!$A$3</f>
        <v>12-14  октября 2018г.                                              г.Лахденпохья</v>
      </c>
      <c r="B3" s="224"/>
      <c r="C3" s="224"/>
      <c r="D3" s="224"/>
      <c r="E3" s="224"/>
      <c r="F3" s="224"/>
      <c r="G3" s="224"/>
      <c r="H3" s="224"/>
    </row>
    <row r="4" spans="1:35" ht="19.5" customHeight="1">
      <c r="D4" s="8" t="s">
        <v>104</v>
      </c>
      <c r="E4" s="8"/>
      <c r="Y4" s="214" t="s">
        <v>77</v>
      </c>
      <c r="Z4" s="214"/>
      <c r="AA4" s="214"/>
      <c r="AB4" s="214"/>
      <c r="AC4" s="214"/>
      <c r="AD4" s="214"/>
      <c r="AE4" s="214"/>
    </row>
    <row r="5" spans="1:35" ht="12.75" customHeight="1" thickBot="1">
      <c r="A5" s="222" t="s">
        <v>82</v>
      </c>
      <c r="B5" s="229" t="s">
        <v>4</v>
      </c>
      <c r="C5" s="222" t="s">
        <v>5</v>
      </c>
      <c r="D5" s="222" t="s">
        <v>6</v>
      </c>
      <c r="E5" s="225" t="s">
        <v>7</v>
      </c>
      <c r="F5" s="226"/>
      <c r="G5" s="222" t="s">
        <v>9</v>
      </c>
      <c r="H5" s="222" t="s">
        <v>8</v>
      </c>
      <c r="Q5" s="215"/>
      <c r="R5" s="215"/>
      <c r="S5" s="215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23"/>
      <c r="B6" s="223"/>
      <c r="C6" s="223"/>
      <c r="D6" s="223"/>
      <c r="E6" s="227"/>
      <c r="F6" s="228"/>
      <c r="G6" s="223"/>
      <c r="H6" s="223"/>
      <c r="J6" s="111"/>
      <c r="K6" s="111"/>
      <c r="L6" s="111"/>
      <c r="M6" s="111"/>
      <c r="N6" s="111"/>
      <c r="O6" s="111"/>
      <c r="P6" s="190"/>
      <c r="Q6" s="190" t="str">
        <f>N7</f>
        <v>кмс</v>
      </c>
      <c r="R6" s="190" t="str">
        <f>N8</f>
        <v>мс</v>
      </c>
      <c r="S6" s="191" t="str">
        <f>N9</f>
        <v/>
      </c>
      <c r="T6" s="191" t="str">
        <f>N10</f>
        <v/>
      </c>
      <c r="U6" s="191" t="str">
        <f>N11</f>
        <v/>
      </c>
      <c r="V6" s="191" t="str">
        <f>N12</f>
        <v/>
      </c>
      <c r="W6" s="191" t="str">
        <f>N13</f>
        <v/>
      </c>
      <c r="X6" s="115"/>
      <c r="Y6" s="153" t="s">
        <v>78</v>
      </c>
      <c r="Z6" s="119" t="str">
        <f t="shared" ref="Z6:AF6" si="0">Q6</f>
        <v>кмс</v>
      </c>
      <c r="AA6" s="119" t="str">
        <f t="shared" si="0"/>
        <v>мс</v>
      </c>
      <c r="AB6" s="192" t="str">
        <f t="shared" si="0"/>
        <v/>
      </c>
      <c r="AC6" s="192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3" t="s">
        <v>52</v>
      </c>
      <c r="B7" s="194">
        <v>2</v>
      </c>
      <c r="C7" s="195" t="s">
        <v>84</v>
      </c>
      <c r="D7" s="196" t="s">
        <v>85</v>
      </c>
      <c r="E7" s="197" t="s">
        <v>86</v>
      </c>
      <c r="F7" s="196" t="s">
        <v>87</v>
      </c>
      <c r="G7" s="198"/>
      <c r="H7" s="199" t="s">
        <v>88</v>
      </c>
      <c r="I7" s="32"/>
      <c r="J7" s="200">
        <v>1</v>
      </c>
      <c r="K7" s="185" t="str">
        <f>IFERROR(RIGHT(D7,LEN(D7)-FIND("*",SUBSTITUTE(D7," ","*",LEN(D7)-LEN(SUBSTITUTE(D7," ",""))))),D7)</f>
        <v>кмс</v>
      </c>
      <c r="L7" s="185" t="str">
        <f>IFERROR(LEFT(F7,FIND(",",F7)-1),F7)</f>
        <v>Р.Карелия</v>
      </c>
      <c r="M7" s="201" t="str">
        <f t="array" ref="M7">IFERROR(INDEX(субъект,MATCH(SUM(COUNTIF(M$6:M6,субъект)),COUNTIF(субъект,"&lt;"&amp;субъект),0)),"")</f>
        <v>Р.Карелия</v>
      </c>
      <c r="N7" s="201" t="str">
        <f t="array" ref="N7">IFERROR(INDEX(разряд,MATCH(SUM(COUNTIF(N$6:N6,разряд)),COUNTIF(разряд,"&lt;"&amp;разряд),0)),"")</f>
        <v>кмс</v>
      </c>
      <c r="O7" s="202">
        <v>1</v>
      </c>
      <c r="P7" s="120" t="str">
        <f t="shared" ref="P7:P14" si="1">M7</f>
        <v>Р.Карелия</v>
      </c>
      <c r="Q7" s="203">
        <f t="shared" ref="Q7:Q14" si="2">SUMIFS($J$7:$J$30,$L$7:$L$30,P7,$K$7:$K$30,Q$6)</f>
        <v>3</v>
      </c>
      <c r="R7" s="203">
        <f t="shared" ref="R7:R14" si="3">SUMIFS($J$7:$J$30,$L$7:$L$30,P7,$K$7:$K$30,R$6)</f>
        <v>0</v>
      </c>
      <c r="S7" s="204">
        <f t="shared" ref="S7:S14" si="4">SUMIFS($J$7:$J$30,$L$7:$L$30,P7,$K$7:$K$30,S$6)</f>
        <v>0</v>
      </c>
      <c r="T7" s="205">
        <f t="shared" ref="T7:T14" si="5">SUMIFS($J$7:$J$30,$L$7:$L$30,P7,$K$7:$K$30,T$6)</f>
        <v>0</v>
      </c>
      <c r="U7" s="205">
        <f t="shared" ref="U7:U14" si="6">SUMIFS($J$7:$J$30,$L$7:$L$30,P7,$K$7:$K$30,U$6)</f>
        <v>0</v>
      </c>
      <c r="V7" s="205">
        <f t="shared" ref="V7:V14" si="7">SUMIFS($J$7:$J$30,$L$7:$L$30,P7,$K$7:$K$30,V$6)</f>
        <v>0</v>
      </c>
      <c r="W7" s="205">
        <f t="shared" ref="W7:W14" si="8">SUMIFS($J$7:$J$30,$L$7:$L$30,P7,$K$7:$K$30,W$6)</f>
        <v>0</v>
      </c>
      <c r="X7" s="206"/>
      <c r="Y7" s="207" t="str">
        <f>P7</f>
        <v>Р.Карелия</v>
      </c>
      <c r="Z7" s="150">
        <f>IF(Q7=0," ",Q7)</f>
        <v>3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16">
        <f>SUM(Z7:AF14)</f>
        <v>5</v>
      </c>
      <c r="AI7" s="217"/>
    </row>
    <row r="8" spans="1:35" ht="24" customHeight="1" thickBot="1">
      <c r="A8" s="193" t="s">
        <v>53</v>
      </c>
      <c r="B8" s="194">
        <v>1</v>
      </c>
      <c r="C8" s="195" t="s">
        <v>89</v>
      </c>
      <c r="D8" s="196" t="s">
        <v>90</v>
      </c>
      <c r="E8" s="197" t="s">
        <v>86</v>
      </c>
      <c r="F8" s="196" t="s">
        <v>87</v>
      </c>
      <c r="G8" s="198"/>
      <c r="H8" s="199" t="s">
        <v>88</v>
      </c>
      <c r="I8" s="32"/>
      <c r="J8" s="200">
        <v>1</v>
      </c>
      <c r="K8" s="185" t="str">
        <f t="shared" ref="K8:K14" si="10">IFERROR(RIGHT(D8,LEN(D8)-FIND("*",SUBSTITUTE(D8," ","*",LEN(D8)-LEN(SUBSTITUTE(D8," ",""))))),D8)</f>
        <v>кмс</v>
      </c>
      <c r="L8" s="185" t="str">
        <f t="shared" ref="L8:L14" si="11">IFERROR(LEFT(F8,FIND(",",F8)-1),F8)</f>
        <v>Р.Карелия</v>
      </c>
      <c r="M8" s="201" t="str">
        <f t="array" ref="M8">IFERROR(INDEX(субъект,MATCH(SUM(COUNTIF(M$6:M7,субъект)),COUNTIF(субъект,"&lt;"&amp;субъект),0)),"")</f>
        <v>Санкт-Петербург</v>
      </c>
      <c r="N8" s="201" t="str">
        <f t="array" ref="N8">IFERROR(INDEX(разряд,MATCH(SUM(COUNTIF(N$6:N7,разряд)),COUNTIF(разряд,"&lt;"&amp;разряд),0)),"")</f>
        <v>мс</v>
      </c>
      <c r="O8" s="202">
        <v>2</v>
      </c>
      <c r="P8" s="120" t="str">
        <f t="shared" si="1"/>
        <v>Санкт-Петербург</v>
      </c>
      <c r="Q8" s="203">
        <f t="shared" si="2"/>
        <v>0</v>
      </c>
      <c r="R8" s="203">
        <f t="shared" si="3"/>
        <v>1</v>
      </c>
      <c r="S8" s="204">
        <f t="shared" si="4"/>
        <v>0</v>
      </c>
      <c r="T8" s="205">
        <f t="shared" si="5"/>
        <v>0</v>
      </c>
      <c r="U8" s="205">
        <f t="shared" si="6"/>
        <v>0</v>
      </c>
      <c r="V8" s="205">
        <f t="shared" si="7"/>
        <v>0</v>
      </c>
      <c r="W8" s="205">
        <f t="shared" si="8"/>
        <v>0</v>
      </c>
      <c r="X8" s="121"/>
      <c r="Y8" s="118" t="str">
        <f t="shared" ref="Y8:Y14" si="12">P8</f>
        <v>Санкт-Петербург</v>
      </c>
      <c r="Z8" s="118" t="str">
        <f>IF($Y$8=$Y$7," ",IF(Q8=0," ",Q8))</f>
        <v xml:space="preserve"> </v>
      </c>
      <c r="AA8" s="118">
        <f>IF($Y$8=$Y$7," ",IF(R8=0," ",R8))</f>
        <v>1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18"/>
      <c r="AI8" s="219"/>
    </row>
    <row r="9" spans="1:35" ht="24" customHeight="1">
      <c r="A9" s="193" t="s">
        <v>54</v>
      </c>
      <c r="B9" s="194">
        <v>3</v>
      </c>
      <c r="C9" s="195" t="s">
        <v>91</v>
      </c>
      <c r="D9" s="196" t="s">
        <v>92</v>
      </c>
      <c r="E9" s="197" t="s">
        <v>93</v>
      </c>
      <c r="F9" s="196" t="s">
        <v>94</v>
      </c>
      <c r="G9" s="198"/>
      <c r="H9" s="199" t="s">
        <v>95</v>
      </c>
      <c r="I9" s="32"/>
      <c r="J9" s="200">
        <v>1</v>
      </c>
      <c r="K9" s="185" t="str">
        <f t="shared" si="10"/>
        <v>мс</v>
      </c>
      <c r="L9" s="185" t="str">
        <f t="shared" si="11"/>
        <v>Ставропольский</v>
      </c>
      <c r="M9" s="201" t="str">
        <f t="array" ref="M9">IFERROR(INDEX(субъект,MATCH(SUM(COUNTIF(M$6:M8,субъект)),COUNTIF(субъект,"&lt;"&amp;субъект),0)),"")</f>
        <v>Ставропольский</v>
      </c>
      <c r="N9" s="201" t="str">
        <f t="array" ref="N9">IFERROR(INDEX(разряд,MATCH(SUM(COUNTIF(N$6:N8,разряд)),COUNTIF(разряд,"&lt;"&amp;разряд),0)),"")</f>
        <v/>
      </c>
      <c r="O9" s="202">
        <v>3</v>
      </c>
      <c r="P9" s="120" t="str">
        <f t="shared" si="1"/>
        <v>Ставропольский</v>
      </c>
      <c r="Q9" s="203">
        <f t="shared" si="2"/>
        <v>0</v>
      </c>
      <c r="R9" s="203">
        <f t="shared" si="3"/>
        <v>1</v>
      </c>
      <c r="S9" s="204">
        <f t="shared" si="4"/>
        <v>0</v>
      </c>
      <c r="T9" s="205">
        <f t="shared" si="5"/>
        <v>0</v>
      </c>
      <c r="U9" s="205">
        <f t="shared" si="6"/>
        <v>0</v>
      </c>
      <c r="V9" s="205">
        <f t="shared" si="7"/>
        <v>0</v>
      </c>
      <c r="W9" s="205">
        <f t="shared" si="8"/>
        <v>0</v>
      </c>
      <c r="X9" s="121"/>
      <c r="Y9" s="118" t="str">
        <f t="shared" si="12"/>
        <v>Ставропольский</v>
      </c>
      <c r="Z9" s="118" t="str">
        <f>IF(OR($Y9=$Y7,$Y9=$Y8)," ",IF(Q9=0," ",Q9))</f>
        <v xml:space="preserve"> </v>
      </c>
      <c r="AA9" s="118">
        <f>IF(OR($Y9=$Y7,$Y9=$Y8)," ",IF(R9=0," ",R9))</f>
        <v>1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3" t="s">
        <v>55</v>
      </c>
      <c r="B10" s="194">
        <v>4</v>
      </c>
      <c r="C10" s="195" t="s">
        <v>96</v>
      </c>
      <c r="D10" s="196" t="s">
        <v>97</v>
      </c>
      <c r="E10" s="197" t="s">
        <v>86</v>
      </c>
      <c r="F10" s="196" t="s">
        <v>87</v>
      </c>
      <c r="G10" s="198"/>
      <c r="H10" s="199" t="s">
        <v>98</v>
      </c>
      <c r="I10" s="32"/>
      <c r="J10" s="200">
        <v>1</v>
      </c>
      <c r="K10" s="185" t="str">
        <f t="shared" si="10"/>
        <v>кмс</v>
      </c>
      <c r="L10" s="185" t="str">
        <f t="shared" si="11"/>
        <v>Р.Карелия</v>
      </c>
      <c r="M10" s="201" t="str">
        <f t="array" ref="M10">IFERROR(INDEX(субъект,MATCH(SUM(COUNTIF(M$6:M9,субъект)),COUNTIF(субъект,"&lt;"&amp;субъект),0)),"")</f>
        <v/>
      </c>
      <c r="N10" s="201" t="str">
        <f t="array" ref="N10">IFERROR(INDEX(разряд,MATCH(SUM(COUNTIF(N$6:N9,разряд)),COUNTIF(разряд,"&lt;"&amp;разряд),0)),"")</f>
        <v/>
      </c>
      <c r="O10" s="202">
        <v>4</v>
      </c>
      <c r="P10" s="120" t="str">
        <f t="shared" si="1"/>
        <v/>
      </c>
      <c r="Q10" s="203">
        <f t="shared" si="2"/>
        <v>0</v>
      </c>
      <c r="R10" s="203">
        <f t="shared" si="3"/>
        <v>0</v>
      </c>
      <c r="S10" s="204">
        <f t="shared" si="4"/>
        <v>0</v>
      </c>
      <c r="T10" s="205">
        <f t="shared" si="5"/>
        <v>0</v>
      </c>
      <c r="U10" s="205">
        <f t="shared" si="6"/>
        <v>0</v>
      </c>
      <c r="V10" s="205">
        <f t="shared" si="7"/>
        <v>0</v>
      </c>
      <c r="W10" s="205">
        <f t="shared" si="8"/>
        <v>0</v>
      </c>
      <c r="X10" s="115"/>
      <c r="Y10" s="118" t="str">
        <f t="shared" si="12"/>
        <v/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3" t="s">
        <v>56</v>
      </c>
      <c r="B11" s="194">
        <v>5</v>
      </c>
      <c r="C11" s="195" t="s">
        <v>99</v>
      </c>
      <c r="D11" s="196" t="s">
        <v>100</v>
      </c>
      <c r="E11" s="197" t="s">
        <v>101</v>
      </c>
      <c r="F11" s="196" t="s">
        <v>102</v>
      </c>
      <c r="G11" s="198"/>
      <c r="H11" s="199" t="s">
        <v>103</v>
      </c>
      <c r="I11" s="32"/>
      <c r="J11" s="200">
        <v>1</v>
      </c>
      <c r="K11" s="185" t="str">
        <f t="shared" si="10"/>
        <v>мс</v>
      </c>
      <c r="L11" s="185" t="str">
        <f t="shared" si="11"/>
        <v>Санкт-Петербург</v>
      </c>
      <c r="M11" s="201" t="str">
        <f t="array" ref="M11">IFERROR(INDEX(субъект,MATCH(SUM(COUNTIF(M$6:M10,субъект)),COUNTIF(субъект,"&lt;"&amp;субъект),0)),"")</f>
        <v/>
      </c>
      <c r="N11" s="201" t="str">
        <f t="array" ref="N11">IFERROR(INDEX(разряд,MATCH(SUM(COUNTIF(N$6:N10,разряд)),COUNTIF(разряд,"&lt;"&amp;разряд),0)),"")</f>
        <v/>
      </c>
      <c r="O11" s="202">
        <v>5</v>
      </c>
      <c r="P11" s="120" t="str">
        <f t="shared" si="1"/>
        <v/>
      </c>
      <c r="Q11" s="203">
        <f t="shared" si="2"/>
        <v>0</v>
      </c>
      <c r="R11" s="203">
        <f t="shared" si="3"/>
        <v>0</v>
      </c>
      <c r="S11" s="204">
        <f t="shared" si="4"/>
        <v>0</v>
      </c>
      <c r="T11" s="205">
        <f t="shared" si="5"/>
        <v>0</v>
      </c>
      <c r="U11" s="205">
        <f t="shared" si="6"/>
        <v>0</v>
      </c>
      <c r="V11" s="205">
        <f t="shared" si="7"/>
        <v>0</v>
      </c>
      <c r="W11" s="205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3" t="s">
        <v>57</v>
      </c>
      <c r="B12" s="194"/>
      <c r="C12" s="195"/>
      <c r="D12" s="196"/>
      <c r="E12" s="195"/>
      <c r="F12" s="196"/>
      <c r="G12" s="195"/>
      <c r="H12" s="199"/>
      <c r="I12" s="32"/>
      <c r="J12" s="200">
        <v>1</v>
      </c>
      <c r="K12" s="185">
        <f t="shared" si="10"/>
        <v>0</v>
      </c>
      <c r="L12" s="185">
        <f t="shared" si="11"/>
        <v>0</v>
      </c>
      <c r="M12" s="201" t="str">
        <f t="array" ref="M12">IFERROR(INDEX(субъект,MATCH(SUM(COUNTIF(M$6:M11,субъект)),COUNTIF(субъект,"&lt;"&amp;субъект),0)),"")</f>
        <v/>
      </c>
      <c r="N12" s="201" t="str">
        <f t="array" ref="N12">IFERROR(INDEX(разряд,MATCH(SUM(COUNTIF(N$6:N11,разряд)),COUNTIF(разряд,"&lt;"&amp;разряд),0)),"")</f>
        <v/>
      </c>
      <c r="O12" s="202">
        <v>6</v>
      </c>
      <c r="P12" s="120" t="str">
        <f t="shared" si="1"/>
        <v/>
      </c>
      <c r="Q12" s="203">
        <f t="shared" si="2"/>
        <v>0</v>
      </c>
      <c r="R12" s="203">
        <f t="shared" si="3"/>
        <v>0</v>
      </c>
      <c r="S12" s="204">
        <f t="shared" si="4"/>
        <v>0</v>
      </c>
      <c r="T12" s="205">
        <f t="shared" si="5"/>
        <v>0</v>
      </c>
      <c r="U12" s="205">
        <f t="shared" si="6"/>
        <v>0</v>
      </c>
      <c r="V12" s="205">
        <f t="shared" si="7"/>
        <v>0</v>
      </c>
      <c r="W12" s="205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3" t="s">
        <v>58</v>
      </c>
      <c r="B13" s="208"/>
      <c r="C13" s="184"/>
      <c r="D13" s="184"/>
      <c r="E13" s="184"/>
      <c r="F13" s="196"/>
      <c r="G13" s="209"/>
      <c r="H13" s="210"/>
      <c r="I13" s="32"/>
      <c r="J13" s="200">
        <v>1</v>
      </c>
      <c r="K13" s="185">
        <f t="shared" si="10"/>
        <v>0</v>
      </c>
      <c r="L13" s="185">
        <f t="shared" si="11"/>
        <v>0</v>
      </c>
      <c r="M13" s="201" t="str">
        <f t="array" ref="M13">IFERROR(INDEX(субъект,MATCH(SUM(COUNTIF(M$6:M12,субъект)),COUNTIF(субъект,"&lt;"&amp;субъект),0)),"")</f>
        <v/>
      </c>
      <c r="N13" s="201" t="str">
        <f t="array" ref="N13">IFERROR(INDEX(разряд,MATCH(SUM(COUNTIF(N$6:N12,разряд)),COUNTIF(разряд,"&lt;"&amp;разряд),0)),"")</f>
        <v/>
      </c>
      <c r="O13" s="202">
        <v>7</v>
      </c>
      <c r="P13" s="120" t="str">
        <f t="shared" si="1"/>
        <v/>
      </c>
      <c r="Q13" s="203">
        <f t="shared" si="2"/>
        <v>0</v>
      </c>
      <c r="R13" s="203">
        <f t="shared" si="3"/>
        <v>0</v>
      </c>
      <c r="S13" s="204">
        <f t="shared" si="4"/>
        <v>0</v>
      </c>
      <c r="T13" s="205">
        <f t="shared" si="5"/>
        <v>0</v>
      </c>
      <c r="U13" s="205">
        <f t="shared" si="6"/>
        <v>0</v>
      </c>
      <c r="V13" s="205">
        <f t="shared" si="7"/>
        <v>0</v>
      </c>
      <c r="W13" s="205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3" t="s">
        <v>59</v>
      </c>
      <c r="B14" s="208"/>
      <c r="C14" s="184"/>
      <c r="D14" s="184"/>
      <c r="E14" s="184"/>
      <c r="F14" s="184"/>
      <c r="G14" s="209"/>
      <c r="H14" s="210"/>
      <c r="I14" s="32"/>
      <c r="J14" s="200">
        <v>1</v>
      </c>
      <c r="K14" s="185">
        <f t="shared" si="10"/>
        <v>0</v>
      </c>
      <c r="L14" s="185">
        <f t="shared" si="11"/>
        <v>0</v>
      </c>
      <c r="M14" s="201" t="str">
        <f t="array" ref="M14">IFERROR(INDEX(субъект,MATCH(SUM(COUNTIF(M$6:M13,субъект)),COUNTIF(субъект,"&lt;"&amp;субъект),0)),"")</f>
        <v/>
      </c>
      <c r="N14" s="201" t="str">
        <f t="array" ref="N14">IFERROR(INDEX(разряд,MATCH(SUM(COUNTIF(N$6:N13,разряд)),COUNTIF(разряд,"&lt;"&amp;разряд),0)),"")</f>
        <v/>
      </c>
      <c r="O14" s="202">
        <v>8</v>
      </c>
      <c r="P14" s="120" t="str">
        <f t="shared" si="1"/>
        <v/>
      </c>
      <c r="Q14" s="203">
        <f t="shared" si="2"/>
        <v>0</v>
      </c>
      <c r="R14" s="203">
        <f t="shared" si="3"/>
        <v>0</v>
      </c>
      <c r="S14" s="204">
        <f t="shared" si="4"/>
        <v>0</v>
      </c>
      <c r="T14" s="205">
        <f t="shared" si="5"/>
        <v>0</v>
      </c>
      <c r="U14" s="205">
        <f t="shared" si="6"/>
        <v>0</v>
      </c>
      <c r="V14" s="205">
        <f t="shared" si="7"/>
        <v>0</v>
      </c>
      <c r="W14" s="205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11"/>
      <c r="K15" s="212"/>
      <c r="L15" s="213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11"/>
      <c r="K16" s="212"/>
      <c r="L16" s="213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11"/>
      <c r="K17" s="212"/>
      <c r="L17" s="213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11"/>
      <c r="K18" s="212"/>
      <c r="L18" s="213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11"/>
      <c r="K19" s="212"/>
      <c r="L19" s="213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11"/>
      <c r="K20" s="212"/>
      <c r="L20" s="213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11"/>
      <c r="K21" s="212"/>
      <c r="L21" s="213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11"/>
      <c r="K22" s="212"/>
      <c r="L22" s="213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58" t="s">
        <v>24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X1" s="116"/>
      <c r="Y1" s="116"/>
      <c r="Z1" s="116"/>
      <c r="AA1" s="116"/>
    </row>
    <row r="2" spans="1:28" ht="26.25" customHeight="1" thickBot="1">
      <c r="A2" s="88"/>
      <c r="B2" s="88"/>
      <c r="C2" s="259" t="s">
        <v>23</v>
      </c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88"/>
      <c r="T2" s="88"/>
      <c r="U2" s="88"/>
      <c r="X2" s="116"/>
      <c r="Y2" s="116"/>
      <c r="Z2" s="116"/>
      <c r="AA2" s="116"/>
    </row>
    <row r="3" spans="1:28" ht="36" customHeight="1" thickBot="1">
      <c r="A3" s="88"/>
      <c r="B3" s="88"/>
      <c r="C3" s="273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5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76" t="str">
        <f>[1]реквизиты!$A$3</f>
        <v>12-14  октября 2018г.                                              г.Лахденпохья</v>
      </c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291" t="str">
        <f>HYPERLINK(пр.взв!D4)</f>
        <v>В.к. 57   кг.</v>
      </c>
      <c r="I5" s="292"/>
      <c r="J5" s="292"/>
      <c r="K5" s="292"/>
      <c r="L5" s="292"/>
      <c r="M5" s="292"/>
      <c r="N5" s="293"/>
      <c r="O5" s="283" t="str">
        <f>W5&amp;" "&amp;AB5</f>
        <v>5 участников</v>
      </c>
      <c r="P5" s="284"/>
      <c r="Q5" s="285"/>
      <c r="R5" s="159"/>
      <c r="S5" s="88"/>
      <c r="T5" s="88"/>
      <c r="U5" s="88"/>
      <c r="W5">
        <f>пр.взв!AH7</f>
        <v>5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66" t="s">
        <v>0</v>
      </c>
      <c r="B7" s="266"/>
      <c r="C7" s="88"/>
      <c r="D7" s="88"/>
      <c r="E7" s="80"/>
      <c r="F7" s="80"/>
      <c r="G7" s="80"/>
      <c r="H7" s="80"/>
      <c r="I7" s="294" t="s">
        <v>18</v>
      </c>
      <c r="J7" s="294"/>
      <c r="K7" s="294"/>
      <c r="L7" s="294"/>
      <c r="M7" s="294"/>
      <c r="N7" s="80"/>
      <c r="O7" s="80"/>
      <c r="P7" s="80"/>
      <c r="Q7" s="65"/>
      <c r="R7" s="26"/>
      <c r="S7" s="89"/>
      <c r="T7" s="262" t="s">
        <v>1</v>
      </c>
      <c r="U7" s="262"/>
      <c r="X7" s="116"/>
      <c r="Y7" s="116"/>
      <c r="Z7" s="116"/>
      <c r="AA7" s="116"/>
    </row>
    <row r="8" spans="1:28" ht="12.75" customHeight="1" thickBot="1">
      <c r="A8" s="234">
        <v>1</v>
      </c>
      <c r="B8" s="264" t="str">
        <f>IFERROR(VLOOKUP(пр.хода!A8,пр.взв!$B$7:$H$14,2,0),"")</f>
        <v>Хамидов Умеджон</v>
      </c>
      <c r="C8" s="235" t="str">
        <f>IFERROR(VLOOKUP(A8,пр.взв!$B$7:$H$14,3,0),"")</f>
        <v>08.12.97, кмс</v>
      </c>
      <c r="D8" s="235" t="str">
        <f>IFERROR(VLOOKUP(A8,пр.взв!$B$7:$H$14,5,0),"")</f>
        <v>Р.Карелия, Петрозаводск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64" t="str">
        <f>IFERROR(VLOOKUP(U8,пр.взв!$B$7:$H$14,2,0),"")</f>
        <v>Волощенко Вячеслав Александрович</v>
      </c>
      <c r="S8" s="235" t="str">
        <f>IFERROR(VLOOKUP(U8,пр.взв!$B$7:$H$14,3,0),"")</f>
        <v>04.02.92, кмс</v>
      </c>
      <c r="T8" s="235" t="str">
        <f>IFERROR(VLOOKUP(U8,пр.взв!$B$7:$H$14,5,0),"")</f>
        <v>Р.Карелия, Петрозаводск</v>
      </c>
      <c r="U8" s="256">
        <v>2</v>
      </c>
      <c r="X8" s="116"/>
      <c r="Y8" s="116"/>
      <c r="Z8" s="116"/>
      <c r="AA8" s="116"/>
    </row>
    <row r="9" spans="1:28" ht="12.75" customHeight="1">
      <c r="A9" s="231"/>
      <c r="B9" s="265"/>
      <c r="C9" s="263"/>
      <c r="D9" s="263"/>
      <c r="E9" s="66">
        <v>1</v>
      </c>
      <c r="F9" s="80"/>
      <c r="G9" s="81"/>
      <c r="H9" s="53">
        <v>1</v>
      </c>
      <c r="I9" s="267" t="str">
        <f>IFERROR(VLOOKUP(H9,пр.взв!$B$7:$H$14,2,0),"")</f>
        <v>Хамидов Умеджон</v>
      </c>
      <c r="J9" s="268"/>
      <c r="K9" s="268"/>
      <c r="L9" s="268"/>
      <c r="M9" s="269"/>
      <c r="N9" s="80"/>
      <c r="O9" s="80"/>
      <c r="P9" s="80"/>
      <c r="Q9" s="66">
        <v>2</v>
      </c>
      <c r="R9" s="265"/>
      <c r="S9" s="263"/>
      <c r="T9" s="263"/>
      <c r="U9" s="260"/>
      <c r="X9" s="116"/>
      <c r="Y9" s="116"/>
      <c r="Z9" s="116"/>
      <c r="AA9" s="116"/>
    </row>
    <row r="10" spans="1:28" ht="12.75" customHeight="1" thickBot="1">
      <c r="A10" s="230">
        <v>5</v>
      </c>
      <c r="B10" s="232" t="str">
        <f>IFERROR(VLOOKUP(пр.хода!A10,пр.взв!$B$7:$H$14,2,0),"")</f>
        <v>Кысса Владислав Григорьевич</v>
      </c>
      <c r="C10" s="249" t="str">
        <f>IFERROR(VLOOKUP(A10,пр.взв!$B$7:$H$14,3,0),"")</f>
        <v>01.07.98, мс</v>
      </c>
      <c r="D10" s="249" t="str">
        <f>IFERROR(VLOOKUP(A10,пр.взв!$B$7:$H$14,5,0),"")</f>
        <v>Санкт-Петербург</v>
      </c>
      <c r="E10" s="72" t="s">
        <v>105</v>
      </c>
      <c r="F10" s="82"/>
      <c r="G10" s="83"/>
      <c r="H10" s="84"/>
      <c r="I10" s="270"/>
      <c r="J10" s="271"/>
      <c r="K10" s="271"/>
      <c r="L10" s="271"/>
      <c r="M10" s="272"/>
      <c r="N10" s="80"/>
      <c r="O10" s="85"/>
      <c r="P10" s="82"/>
      <c r="Q10" s="72"/>
      <c r="R10" s="232" t="str">
        <f>IFERROR(VLOOKUP(U10,пр.взв!$B$7:$H$14,2,0),"")</f>
        <v/>
      </c>
      <c r="S10" s="249" t="str">
        <f>IFERROR(VLOOKUP(U10,пр.взв!$B$7:$H$14,3,0),"")</f>
        <v/>
      </c>
      <c r="T10" s="249" t="str">
        <f>IFERROR(VLOOKUP(U10,пр.взв!$B$7:$H$14,5,0),"")</f>
        <v/>
      </c>
      <c r="U10" s="256">
        <v>6</v>
      </c>
      <c r="X10" s="116"/>
      <c r="Y10" s="116"/>
      <c r="Z10" s="116"/>
      <c r="AA10" s="116"/>
    </row>
    <row r="11" spans="1:28" ht="12.75" customHeight="1" thickBot="1">
      <c r="A11" s="231"/>
      <c r="B11" s="233"/>
      <c r="C11" s="250"/>
      <c r="D11" s="250"/>
      <c r="E11" s="80"/>
      <c r="F11" s="84"/>
      <c r="G11" s="66">
        <v>1</v>
      </c>
      <c r="H11" s="86"/>
      <c r="I11" s="80"/>
      <c r="J11" s="80"/>
      <c r="K11" s="73"/>
      <c r="L11" s="80"/>
      <c r="M11" s="80"/>
      <c r="N11" s="84"/>
      <c r="O11" s="66">
        <v>4</v>
      </c>
      <c r="P11" s="84"/>
      <c r="Q11" s="80"/>
      <c r="R11" s="233"/>
      <c r="S11" s="250"/>
      <c r="T11" s="250"/>
      <c r="U11" s="260"/>
      <c r="X11" s="116"/>
      <c r="Y11" s="116"/>
      <c r="Z11" s="116"/>
      <c r="AA11" s="116"/>
    </row>
    <row r="12" spans="1:28" ht="12.75" customHeight="1" thickBot="1">
      <c r="A12" s="234">
        <v>3</v>
      </c>
      <c r="B12" s="251" t="str">
        <f>IFERROR(VLOOKUP(пр.хода!A12,пр.взв!$B$7:$H$14,2,0),"")</f>
        <v>Кейтуков Кемран Арсеньевич</v>
      </c>
      <c r="C12" s="247" t="str">
        <f>IFERROR(VLOOKUP(A12,пр.взв!$B$7:$H$14,3,0),"")</f>
        <v>19.11.94, мс</v>
      </c>
      <c r="D12" s="247" t="str">
        <f>IFERROR(VLOOKUP(A12,пр.взв!$B$7:$H$14,5,0),"")</f>
        <v>Ставропольский, Ставрополь</v>
      </c>
      <c r="E12" s="80"/>
      <c r="F12" s="84"/>
      <c r="G12" s="72" t="s">
        <v>105</v>
      </c>
      <c r="H12" s="86"/>
      <c r="I12" s="80"/>
      <c r="J12" s="80"/>
      <c r="K12" s="80"/>
      <c r="L12" s="80"/>
      <c r="M12" s="80"/>
      <c r="N12" s="84"/>
      <c r="O12" s="72" t="s">
        <v>105</v>
      </c>
      <c r="P12" s="84"/>
      <c r="Q12" s="80"/>
      <c r="R12" s="251" t="str">
        <f>IFERROR(VLOOKUP(U12,пр.взв!$B$7:$H$14,2,0),"")</f>
        <v>Вологдин Марк Сергеевич</v>
      </c>
      <c r="S12" s="247" t="str">
        <f>IFERROR(VLOOKUP(U12,пр.взв!$B$7:$H$14,3,0),"")</f>
        <v>18.04.00, кмс</v>
      </c>
      <c r="T12" s="247" t="str">
        <f>IFERROR(VLOOKUP(U12,пр.взв!$B$7:$H$14,5,0),"")</f>
        <v>Р.Карелия, Петрозаводск</v>
      </c>
      <c r="U12" s="261">
        <v>4</v>
      </c>
      <c r="X12" s="116"/>
      <c r="Y12" s="116"/>
      <c r="Z12" s="116"/>
      <c r="AA12" s="116"/>
    </row>
    <row r="13" spans="1:28" ht="12.75" customHeight="1" thickBot="1">
      <c r="A13" s="231"/>
      <c r="B13" s="252"/>
      <c r="C13" s="248"/>
      <c r="D13" s="248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52"/>
      <c r="S13" s="248"/>
      <c r="T13" s="248"/>
      <c r="U13" s="260"/>
      <c r="X13" s="116"/>
      <c r="Y13" s="116"/>
      <c r="Z13" s="116"/>
      <c r="AA13" s="116"/>
    </row>
    <row r="14" spans="1:28" ht="12.75" customHeight="1" thickBot="1">
      <c r="A14" s="230">
        <v>7</v>
      </c>
      <c r="B14" s="232" t="str">
        <f>IFERROR(VLOOKUP(пр.хода!A14,пр.взв!$B$7:$H$14,2,0),"")</f>
        <v/>
      </c>
      <c r="C14" s="249" t="str">
        <f>IFERROR(VLOOKUP(A14,пр.взв!$B$7:$H$14,3,0),"")</f>
        <v/>
      </c>
      <c r="D14" s="249" t="str">
        <f>IFERROR(VLOOKUP(A14,пр.взв!$B$7:$H$14,5,0),"")</f>
        <v/>
      </c>
      <c r="E14" s="72"/>
      <c r="F14" s="80"/>
      <c r="G14" s="81"/>
      <c r="H14" s="53">
        <f>Y25</f>
        <v>4</v>
      </c>
      <c r="I14" s="277" t="str">
        <f>IFERROR(VLOOKUP(H14,пр.взв!$B$7:$H$14,2,0),"")</f>
        <v>Вологдин Марк Сергеевич</v>
      </c>
      <c r="J14" s="278"/>
      <c r="K14" s="278"/>
      <c r="L14" s="278"/>
      <c r="M14" s="279"/>
      <c r="N14" s="80"/>
      <c r="O14" s="80"/>
      <c r="P14" s="80"/>
      <c r="Q14" s="72"/>
      <c r="R14" s="232" t="str">
        <f>IFERROR(VLOOKUP(U14,пр.взв!$B$7:$H$14,2,0),"")</f>
        <v/>
      </c>
      <c r="S14" s="249" t="str">
        <f>IFERROR(VLOOKUP(U14,пр.взв!$B$7:$H$14,3,0),"")</f>
        <v/>
      </c>
      <c r="T14" s="249" t="str">
        <f>IFERROR(VLOOKUP(U14,пр.взв!$B$7:$H$14,5,0),"")</f>
        <v/>
      </c>
      <c r="U14" s="256">
        <v>8</v>
      </c>
      <c r="X14" s="116"/>
      <c r="Y14" s="116"/>
      <c r="Z14" s="116"/>
      <c r="AA14" s="116"/>
    </row>
    <row r="15" spans="1:28" ht="12.75" customHeight="1" thickBot="1">
      <c r="A15" s="254"/>
      <c r="B15" s="233"/>
      <c r="C15" s="250"/>
      <c r="D15" s="250"/>
      <c r="E15" s="80"/>
      <c r="F15" s="80"/>
      <c r="G15" s="81"/>
      <c r="H15" s="84"/>
      <c r="I15" s="280"/>
      <c r="J15" s="281"/>
      <c r="K15" s="281"/>
      <c r="L15" s="281"/>
      <c r="M15" s="282"/>
      <c r="N15" s="80"/>
      <c r="O15" s="80"/>
      <c r="P15" s="80"/>
      <c r="Q15" s="80"/>
      <c r="R15" s="233"/>
      <c r="S15" s="250"/>
      <c r="T15" s="250"/>
      <c r="U15" s="257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53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55" t="s">
        <v>3</v>
      </c>
      <c r="X17" s="116"/>
      <c r="Y17" s="116"/>
      <c r="Z17" s="116"/>
      <c r="AA17" s="116"/>
    </row>
    <row r="18" spans="1:27" ht="12.75" customHeight="1">
      <c r="A18" s="253"/>
      <c r="B18" s="88"/>
      <c r="C18" s="88"/>
      <c r="D18" s="88"/>
      <c r="E18" s="88"/>
      <c r="F18" s="88"/>
      <c r="G18" s="290" t="s">
        <v>25</v>
      </c>
      <c r="H18" s="290"/>
      <c r="I18" s="290"/>
      <c r="J18" s="290"/>
      <c r="K18" s="290"/>
      <c r="L18" s="290"/>
      <c r="M18" s="290"/>
      <c r="N18" s="290"/>
      <c r="O18" s="290"/>
      <c r="P18" s="88"/>
      <c r="Q18" s="88"/>
      <c r="R18" s="89"/>
      <c r="S18" s="89"/>
      <c r="T18" s="89"/>
      <c r="U18" s="255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>
        <f>IF(G11="","",IF(G11=E9,E13,E9))</f>
        <v>3</v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>
        <f>IF(O11="","",IF(O11=Q9,Q13,Q9))</f>
        <v>2</v>
      </c>
      <c r="Z20" s="113"/>
      <c r="AA20" s="111"/>
    </row>
    <row r="21" spans="1:27" ht="12.75" customHeight="1">
      <c r="A21" s="68">
        <f>Y21</f>
        <v>5</v>
      </c>
      <c r="B21" s="247" t="str">
        <f>IFERROR(VLOOKUP(A21,пр.взв!$B$7:$H$14,2,0),"")</f>
        <v>Кысса Владислав Григорьевич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43" t="str">
        <f>IFERROR(VLOOKUP(U21,пр.взв!$B$7:$H$14,2,0),"")</f>
        <v/>
      </c>
      <c r="T21" s="244"/>
      <c r="U21" s="69">
        <f>Y22</f>
        <v>6</v>
      </c>
      <c r="V21" s="88"/>
      <c r="X21" s="111"/>
      <c r="Y21" s="112">
        <f>IF(A10=""," ",IF(E9=""," ",IF(E9=A8,A10,IF(E9=A10,A8,"Х"))))</f>
        <v>5</v>
      </c>
      <c r="Z21" s="113">
        <f>IF(C22=""," ",IF(C22=E25,B27,C22))</f>
        <v>3</v>
      </c>
      <c r="AA21" s="111"/>
    </row>
    <row r="22" spans="1:27" ht="12.75" customHeight="1">
      <c r="A22" s="68"/>
      <c r="B22" s="248"/>
      <c r="C22" s="163">
        <v>5</v>
      </c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286"/>
      <c r="T22" s="287"/>
      <c r="U22" s="69"/>
      <c r="V22" s="88"/>
      <c r="X22" s="111"/>
      <c r="Y22" s="112">
        <f>IF(U10=""," ",IF(Q9=""," ",IF(Q9=U8,U10,IF(Q9=U10,U8,"Х"))))</f>
        <v>6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7</v>
      </c>
      <c r="B23" s="249" t="str">
        <f>IFERROR(VLOOKUP(A23,пр.взв!$B$7:$H$14,2,0),"")</f>
        <v/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288" t="str">
        <f>IFERROR(VLOOKUP(U23,пр.взв!$B$7:$H$14,2,0),"")</f>
        <v/>
      </c>
      <c r="T23" s="289"/>
      <c r="U23" s="69">
        <f>Y24</f>
        <v>8</v>
      </c>
      <c r="V23" s="88"/>
      <c r="X23" s="111"/>
      <c r="Y23" s="112">
        <f>IF(A14=""," ",IF(E13=""," ",IF(E13=A12,A14,IF(E13=A14,A12,"Х"))))</f>
        <v>7</v>
      </c>
      <c r="Z23" s="113">
        <f>IF(A23="","",IF(A23=C22,A21,A23))</f>
        <v>7</v>
      </c>
      <c r="AA23" s="111"/>
    </row>
    <row r="24" spans="1:27" ht="13.5" thickBot="1">
      <c r="A24" s="90"/>
      <c r="B24" s="250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45"/>
      <c r="T24" s="246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>
        <v>5</v>
      </c>
      <c r="F25" s="238" t="str">
        <f>IFERROR(VLOOKUP(E25,пр.взв!$B$7:$H$14,2,0),"")</f>
        <v>Кысса Владислав Григорьевич</v>
      </c>
      <c r="G25" s="238"/>
      <c r="H25" s="238"/>
      <c r="I25" s="239"/>
      <c r="J25" s="88"/>
      <c r="K25" s="88"/>
      <c r="L25" s="88"/>
      <c r="M25" s="237" t="str">
        <f>IFERROR(VLOOKUP(Q25,пр.взв!$B$7:$H$14,2,0),"")</f>
        <v>Волощенко Вячеслав Александрович</v>
      </c>
      <c r="N25" s="238"/>
      <c r="O25" s="238"/>
      <c r="P25" s="239"/>
      <c r="Q25" s="171">
        <v>2</v>
      </c>
      <c r="R25" s="169"/>
      <c r="S25" s="88"/>
      <c r="T25" s="88"/>
      <c r="U25" s="88"/>
      <c r="V25" s="88"/>
      <c r="X25" s="111"/>
      <c r="Y25" s="111">
        <f>IF(H9="","",IF(H9=G11,O11,G11))</f>
        <v>4</v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40"/>
      <c r="G26" s="241"/>
      <c r="H26" s="241"/>
      <c r="I26" s="242"/>
      <c r="J26" s="8"/>
      <c r="K26" s="8"/>
      <c r="L26" s="8"/>
      <c r="M26" s="240"/>
      <c r="N26" s="241"/>
      <c r="O26" s="241"/>
      <c r="P26" s="242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>
        <v>3</v>
      </c>
      <c r="C27" s="243" t="str">
        <f>IFERROR(VLOOKUP(B27,пр.взв!$B$7:$H$14,2,0),"")</f>
        <v>Кейтуков Кемран Арсеньевич</v>
      </c>
      <c r="D27" s="244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35" t="str">
        <f>IFERROR(VLOOKUP(S27,пр.взв!$B$7:$H$14,2,0),"")</f>
        <v>Волощенко Вячеслав Александрович</v>
      </c>
      <c r="S27" s="174">
        <v>2</v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45"/>
      <c r="D28" s="246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36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5">
      <c r="A31" s="88"/>
      <c r="B31" s="183" t="str">
        <f>[1]реквизиты!$A$6</f>
        <v>Гл. судья, судья ВК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182" t="str">
        <f>[1]реквизиты!$G$6</f>
        <v>А.В.Лоптунов</v>
      </c>
      <c r="O31" s="88"/>
      <c r="P31" s="91"/>
      <c r="Q31" s="91"/>
      <c r="R31" s="181" t="str">
        <f>[1]реквизиты!$G$7</f>
        <v>/Кандалакша/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5">
      <c r="A33" s="88"/>
      <c r="B33" s="183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182" t="str">
        <f>[1]реквизиты!$G$8</f>
        <v>А.С.Тимошин</v>
      </c>
      <c r="O33" s="88"/>
      <c r="P33" s="179"/>
      <c r="Q33" s="179"/>
      <c r="R33" s="181" t="str">
        <f>[1]реквизиты!$G$9</f>
        <v>/Рыбинск/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7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C27" sqref="C27:C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51" t="s">
        <v>32</v>
      </c>
      <c r="C1" s="351"/>
      <c r="D1" s="351"/>
      <c r="E1" s="351"/>
      <c r="F1" s="351"/>
      <c r="G1" s="351"/>
      <c r="H1" s="351"/>
      <c r="I1" s="351"/>
      <c r="J1" s="351"/>
      <c r="L1" s="351" t="s">
        <v>32</v>
      </c>
      <c r="M1" s="351"/>
      <c r="N1" s="351"/>
      <c r="O1" s="351"/>
      <c r="P1" s="351"/>
      <c r="Q1" s="351"/>
      <c r="R1" s="351"/>
      <c r="S1" s="351"/>
      <c r="T1" s="351"/>
    </row>
    <row r="2" spans="1:20" ht="15.75" customHeight="1">
      <c r="B2" s="352" t="str">
        <f>пр.взв!D4</f>
        <v>В.к. 57   кг.</v>
      </c>
      <c r="C2" s="353"/>
      <c r="D2" s="353"/>
      <c r="E2" s="353"/>
      <c r="F2" s="353"/>
      <c r="G2" s="353"/>
      <c r="H2" s="353"/>
      <c r="I2" s="353"/>
      <c r="J2" s="353"/>
      <c r="L2" s="352" t="str">
        <f>пр.взв!D4</f>
        <v>В.к. 57   кг.</v>
      </c>
      <c r="M2" s="353"/>
      <c r="N2" s="353"/>
      <c r="O2" s="353"/>
      <c r="P2" s="353"/>
      <c r="Q2" s="353"/>
      <c r="R2" s="353"/>
      <c r="S2" s="353"/>
      <c r="T2" s="353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21" t="s">
        <v>38</v>
      </c>
      <c r="B4" s="323" t="s">
        <v>4</v>
      </c>
      <c r="C4" s="307" t="s">
        <v>5</v>
      </c>
      <c r="D4" s="299" t="s">
        <v>13</v>
      </c>
      <c r="E4" s="301" t="s">
        <v>14</v>
      </c>
      <c r="F4" s="302"/>
      <c r="G4" s="307" t="s">
        <v>15</v>
      </c>
      <c r="H4" s="309" t="s">
        <v>34</v>
      </c>
      <c r="I4" s="311" t="s">
        <v>16</v>
      </c>
      <c r="J4" s="319" t="s">
        <v>17</v>
      </c>
      <c r="K4" s="321" t="s">
        <v>38</v>
      </c>
      <c r="L4" s="323" t="s">
        <v>4</v>
      </c>
      <c r="M4" s="307" t="s">
        <v>5</v>
      </c>
      <c r="N4" s="299" t="s">
        <v>13</v>
      </c>
      <c r="O4" s="301" t="s">
        <v>14</v>
      </c>
      <c r="P4" s="302"/>
      <c r="Q4" s="307" t="s">
        <v>15</v>
      </c>
      <c r="R4" s="309" t="s">
        <v>34</v>
      </c>
      <c r="S4" s="311" t="s">
        <v>16</v>
      </c>
      <c r="T4" s="319" t="s">
        <v>17</v>
      </c>
    </row>
    <row r="5" spans="1:20" ht="13.5" customHeight="1" thickBot="1">
      <c r="A5" s="322"/>
      <c r="B5" s="324" t="s">
        <v>29</v>
      </c>
      <c r="C5" s="308"/>
      <c r="D5" s="300"/>
      <c r="E5" s="303"/>
      <c r="F5" s="304"/>
      <c r="G5" s="308"/>
      <c r="H5" s="310"/>
      <c r="I5" s="312"/>
      <c r="J5" s="320" t="s">
        <v>30</v>
      </c>
      <c r="K5" s="322"/>
      <c r="L5" s="324" t="s">
        <v>29</v>
      </c>
      <c r="M5" s="308"/>
      <c r="N5" s="300"/>
      <c r="O5" s="303"/>
      <c r="P5" s="304"/>
      <c r="Q5" s="308"/>
      <c r="R5" s="310"/>
      <c r="S5" s="312"/>
      <c r="T5" s="320" t="s">
        <v>30</v>
      </c>
    </row>
    <row r="6" spans="1:20">
      <c r="A6" s="345">
        <v>1</v>
      </c>
      <c r="B6" s="342">
        <v>1</v>
      </c>
      <c r="C6" s="348" t="str">
        <f>IFERROR(VLOOKUP(B6,пр.взв!$B$7:$H$14,2,0),"")</f>
        <v>Хамидов Умеджон</v>
      </c>
      <c r="D6" s="341" t="str">
        <f>IFERROR(VLOOKUP(B6,пр.взв!$B$7:$H$14,3,0),"")</f>
        <v>08.12.97, кмс</v>
      </c>
      <c r="E6" s="295" t="str">
        <f>IFERROR(VLOOKUP(B6,пр.взв!$B$7:$H$14,4,0),"")</f>
        <v>СЗФО</v>
      </c>
      <c r="F6" s="341" t="str">
        <f>IFERROR(VLOOKUP(B6,пр.взв!$B$7:$H$14,5,0),"")</f>
        <v>Р.Карелия, Петрозаводск</v>
      </c>
      <c r="G6" s="332"/>
      <c r="H6" s="334"/>
      <c r="I6" s="313"/>
      <c r="J6" s="299"/>
      <c r="K6" s="325">
        <v>3</v>
      </c>
      <c r="L6" s="342">
        <v>2</v>
      </c>
      <c r="M6" s="348" t="str">
        <f>IFERROR(VLOOKUP(L6,пр.взв!$B$7:$H$14,2,0),"")</f>
        <v>Волощенко Вячеслав Александрович</v>
      </c>
      <c r="N6" s="341" t="str">
        <f>IFERROR(VLOOKUP(L6,пр.взв!$B$7:$H$14,3,0),"")</f>
        <v>04.02.92, кмс</v>
      </c>
      <c r="O6" s="295" t="str">
        <f>IFERROR(VLOOKUP(L6,пр.взв!$B$7:$H$14,4,0),"")</f>
        <v>СЗФО</v>
      </c>
      <c r="P6" s="341" t="str">
        <f>IFERROR(VLOOKUP(L6,пр.взв!$B$7:$H$14,5,0),"")</f>
        <v>Р.Карелия, Петрозаводск</v>
      </c>
      <c r="Q6" s="332"/>
      <c r="R6" s="334"/>
      <c r="S6" s="313"/>
      <c r="T6" s="299"/>
    </row>
    <row r="7" spans="1:20">
      <c r="A7" s="346"/>
      <c r="B7" s="343"/>
      <c r="C7" s="349"/>
      <c r="D7" s="333"/>
      <c r="E7" s="296"/>
      <c r="F7" s="333"/>
      <c r="G7" s="333"/>
      <c r="H7" s="333"/>
      <c r="I7" s="314"/>
      <c r="J7" s="222"/>
      <c r="K7" s="326"/>
      <c r="L7" s="343"/>
      <c r="M7" s="349"/>
      <c r="N7" s="333"/>
      <c r="O7" s="296"/>
      <c r="P7" s="333"/>
      <c r="Q7" s="333"/>
      <c r="R7" s="333"/>
      <c r="S7" s="314"/>
      <c r="T7" s="222"/>
    </row>
    <row r="8" spans="1:20">
      <c r="A8" s="346"/>
      <c r="B8" s="343">
        <v>5</v>
      </c>
      <c r="C8" s="305" t="str">
        <f>IFERROR(VLOOKUP(B8,пр.взв!$B$7:$H$14,2,0),"")</f>
        <v>Кысса Владислав Григорьевич</v>
      </c>
      <c r="D8" s="297" t="str">
        <f>IFERROR(VLOOKUP(B8,пр.взв!$B$7:$H$14,3,0),"")</f>
        <v>01.07.98, мс</v>
      </c>
      <c r="E8" s="297" t="str">
        <f>IFERROR(VLOOKUP(B8,пр.взв!$B$7:$H$14,4,0),"")</f>
        <v>СП</v>
      </c>
      <c r="F8" s="297" t="str">
        <f>IFERROR(VLOOKUP(B8,пр.взв!$B$7:$H$14,5,0),"")</f>
        <v>Санкт-Петербург</v>
      </c>
      <c r="G8" s="317"/>
      <c r="H8" s="317"/>
      <c r="I8" s="223"/>
      <c r="J8" s="223"/>
      <c r="K8" s="326"/>
      <c r="L8" s="343">
        <v>6</v>
      </c>
      <c r="M8" s="305" t="str">
        <f>IFERROR(VLOOKUP(L8,пр.взв!$B$7:$H$14,2,0),"")</f>
        <v/>
      </c>
      <c r="N8" s="297" t="str">
        <f>IFERROR(VLOOKUP(L8,пр.взв!$B$7:$H$14,3,0),"")</f>
        <v/>
      </c>
      <c r="O8" s="297" t="str">
        <f>IFERROR(VLOOKUP(L8,пр.взв!$B$7:$H$14,4,0),"")</f>
        <v/>
      </c>
      <c r="P8" s="297" t="str">
        <f>IFERROR(VLOOKUP(L8,пр.взв!$B$7:$H$14,5,0),"")</f>
        <v/>
      </c>
      <c r="Q8" s="317"/>
      <c r="R8" s="317"/>
      <c r="S8" s="223"/>
      <c r="T8" s="223"/>
    </row>
    <row r="9" spans="1:20" ht="12.95" customHeight="1" thickBot="1">
      <c r="A9" s="350"/>
      <c r="B9" s="344"/>
      <c r="C9" s="306"/>
      <c r="D9" s="298"/>
      <c r="E9" s="298"/>
      <c r="F9" s="298"/>
      <c r="G9" s="318"/>
      <c r="H9" s="318"/>
      <c r="I9" s="312"/>
      <c r="J9" s="312"/>
      <c r="K9" s="327"/>
      <c r="L9" s="344"/>
      <c r="M9" s="306"/>
      <c r="N9" s="298"/>
      <c r="O9" s="298"/>
      <c r="P9" s="298"/>
      <c r="Q9" s="318"/>
      <c r="R9" s="318"/>
      <c r="S9" s="312"/>
      <c r="T9" s="312"/>
    </row>
    <row r="10" spans="1:20">
      <c r="A10" s="345">
        <v>2</v>
      </c>
      <c r="B10" s="342">
        <v>3</v>
      </c>
      <c r="C10" s="330" t="str">
        <f>IFERROR(VLOOKUP(B10,пр.взв!$B$7:$H$14,2,0),"")</f>
        <v>Кейтуков Кемран Арсеньевич</v>
      </c>
      <c r="D10" s="295" t="str">
        <f>IFERROR(VLOOKUP(B10,пр.взв!$B$7:$H$14,3,0),"")</f>
        <v>19.11.94, мс</v>
      </c>
      <c r="E10" s="295" t="str">
        <f>IFERROR(VLOOKUP(B10,пр.взв!$B$7:$H$14,4,0),"")</f>
        <v>СКФО</v>
      </c>
      <c r="F10" s="295" t="str">
        <f>IFERROR(VLOOKUP(B10,пр.взв!$B$7:$H$14,5,0),"")</f>
        <v>Ставропольский, Ставрополь</v>
      </c>
      <c r="G10" s="332"/>
      <c r="H10" s="334"/>
      <c r="I10" s="313"/>
      <c r="J10" s="341"/>
      <c r="K10" s="325">
        <v>4</v>
      </c>
      <c r="L10" s="342">
        <v>4</v>
      </c>
      <c r="M10" s="330" t="str">
        <f>IFERROR(VLOOKUP(L10,пр.взв!$B$7:$H$14,2,0),"")</f>
        <v>Вологдин Марк Сергеевич</v>
      </c>
      <c r="N10" s="295" t="str">
        <f>IFERROR(VLOOKUP(L10,пр.взв!$B$7:$H$14,3,0),"")</f>
        <v>18.04.00, кмс</v>
      </c>
      <c r="O10" s="295" t="str">
        <f>IFERROR(VLOOKUP(L10,пр.взв!$B$7:$H$14,4,0),"")</f>
        <v>СЗФО</v>
      </c>
      <c r="P10" s="295" t="str">
        <f>IFERROR(VLOOKUP(L10,пр.взв!$B$7:$H$14,5,0),"")</f>
        <v>Р.Карелия, Петрозаводск</v>
      </c>
      <c r="Q10" s="332"/>
      <c r="R10" s="334"/>
      <c r="S10" s="313"/>
      <c r="T10" s="341"/>
    </row>
    <row r="11" spans="1:20" ht="12.6" customHeight="1">
      <c r="A11" s="346"/>
      <c r="B11" s="343"/>
      <c r="C11" s="331"/>
      <c r="D11" s="296"/>
      <c r="E11" s="296"/>
      <c r="F11" s="296"/>
      <c r="G11" s="333"/>
      <c r="H11" s="333"/>
      <c r="I11" s="314"/>
      <c r="J11" s="222"/>
      <c r="K11" s="326"/>
      <c r="L11" s="343"/>
      <c r="M11" s="331"/>
      <c r="N11" s="296"/>
      <c r="O11" s="296"/>
      <c r="P11" s="296"/>
      <c r="Q11" s="333"/>
      <c r="R11" s="333"/>
      <c r="S11" s="314"/>
      <c r="T11" s="222"/>
    </row>
    <row r="12" spans="1:20">
      <c r="A12" s="346"/>
      <c r="B12" s="343">
        <v>7</v>
      </c>
      <c r="C12" s="305" t="str">
        <f>IFERROR(VLOOKUP(B12,пр.взв!$B$7:$H$14,2,0),"")</f>
        <v/>
      </c>
      <c r="D12" s="297" t="str">
        <f>IFERROR(VLOOKUP(B12,пр.взв!$B$7:$H$14,3,0),"")</f>
        <v/>
      </c>
      <c r="E12" s="297" t="str">
        <f>IFERROR(VLOOKUP(B12,пр.взв!$B$7:$H$14,4,0),"")</f>
        <v/>
      </c>
      <c r="F12" s="297" t="str">
        <f>IFERROR(VLOOKUP(B12,пр.взв!$B$7:$H$14,5,0),"")</f>
        <v/>
      </c>
      <c r="G12" s="317"/>
      <c r="H12" s="317"/>
      <c r="I12" s="223"/>
      <c r="J12" s="223"/>
      <c r="K12" s="326"/>
      <c r="L12" s="343">
        <v>8</v>
      </c>
      <c r="M12" s="305" t="str">
        <f>IFERROR(VLOOKUP(L12,пр.взв!$B$7:$H$14,2,0),"")</f>
        <v/>
      </c>
      <c r="N12" s="297" t="str">
        <f>IFERROR(VLOOKUP(L12,пр.взв!$B$7:$H$14,3,0),"")</f>
        <v/>
      </c>
      <c r="O12" s="297" t="str">
        <f>IFERROR(VLOOKUP(L12,пр.взв!$B$7:$H$14,4,0),"")</f>
        <v/>
      </c>
      <c r="P12" s="297" t="str">
        <f>IFERROR(VLOOKUP(L12,пр.взв!$B$7:$H$14,5,0),"")</f>
        <v/>
      </c>
      <c r="Q12" s="317"/>
      <c r="R12" s="317"/>
      <c r="S12" s="223"/>
      <c r="T12" s="223"/>
    </row>
    <row r="13" spans="1:20" ht="12.95" customHeight="1" thickBot="1">
      <c r="A13" s="347"/>
      <c r="B13" s="344"/>
      <c r="C13" s="306"/>
      <c r="D13" s="298"/>
      <c r="E13" s="298"/>
      <c r="F13" s="298"/>
      <c r="G13" s="318"/>
      <c r="H13" s="318"/>
      <c r="I13" s="312"/>
      <c r="J13" s="312"/>
      <c r="K13" s="327"/>
      <c r="L13" s="344"/>
      <c r="M13" s="306"/>
      <c r="N13" s="298"/>
      <c r="O13" s="298"/>
      <c r="P13" s="298"/>
      <c r="Q13" s="318"/>
      <c r="R13" s="318"/>
      <c r="S13" s="312"/>
      <c r="T13" s="31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 t="str">
        <f>пр.взв!D4</f>
        <v>В.к. 57   кг.</v>
      </c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 t="str">
        <f>пр.взв!D4</f>
        <v>В.к. 57   кг.</v>
      </c>
      <c r="R15" s="58"/>
      <c r="S15" s="58"/>
      <c r="T15" s="58"/>
    </row>
    <row r="16" spans="1:20" ht="12.75" customHeight="1">
      <c r="A16" s="321" t="s">
        <v>38</v>
      </c>
      <c r="B16" s="323" t="s">
        <v>4</v>
      </c>
      <c r="C16" s="307" t="s">
        <v>5</v>
      </c>
      <c r="D16" s="299" t="s">
        <v>13</v>
      </c>
      <c r="E16" s="301" t="s">
        <v>14</v>
      </c>
      <c r="F16" s="302"/>
      <c r="G16" s="307" t="s">
        <v>15</v>
      </c>
      <c r="H16" s="309" t="s">
        <v>34</v>
      </c>
      <c r="I16" s="311" t="s">
        <v>16</v>
      </c>
      <c r="J16" s="319" t="s">
        <v>17</v>
      </c>
      <c r="K16" s="321" t="s">
        <v>38</v>
      </c>
      <c r="L16" s="323" t="s">
        <v>4</v>
      </c>
      <c r="M16" s="307" t="s">
        <v>5</v>
      </c>
      <c r="N16" s="299" t="s">
        <v>13</v>
      </c>
      <c r="O16" s="301" t="s">
        <v>14</v>
      </c>
      <c r="P16" s="302"/>
      <c r="Q16" s="307" t="s">
        <v>15</v>
      </c>
      <c r="R16" s="309" t="s">
        <v>34</v>
      </c>
      <c r="S16" s="311" t="s">
        <v>16</v>
      </c>
      <c r="T16" s="319" t="s">
        <v>17</v>
      </c>
    </row>
    <row r="17" spans="1:20" ht="13.5" customHeight="1" thickBot="1">
      <c r="A17" s="322"/>
      <c r="B17" s="324" t="s">
        <v>29</v>
      </c>
      <c r="C17" s="308"/>
      <c r="D17" s="300"/>
      <c r="E17" s="303"/>
      <c r="F17" s="304"/>
      <c r="G17" s="308"/>
      <c r="H17" s="310"/>
      <c r="I17" s="312"/>
      <c r="J17" s="320" t="s">
        <v>30</v>
      </c>
      <c r="K17" s="322"/>
      <c r="L17" s="324" t="s">
        <v>29</v>
      </c>
      <c r="M17" s="308"/>
      <c r="N17" s="300"/>
      <c r="O17" s="303"/>
      <c r="P17" s="304"/>
      <c r="Q17" s="308"/>
      <c r="R17" s="310"/>
      <c r="S17" s="312"/>
      <c r="T17" s="320" t="s">
        <v>30</v>
      </c>
    </row>
    <row r="18" spans="1:20">
      <c r="A18" s="336">
        <v>1</v>
      </c>
      <c r="B18" s="339">
        <f>пр.хода!E9</f>
        <v>1</v>
      </c>
      <c r="C18" s="330" t="str">
        <f>IFERROR(VLOOKUP(B18,пр.взв!$B$7:$H$14,2,0),"")</f>
        <v>Хамидов Умеджон</v>
      </c>
      <c r="D18" s="295" t="str">
        <f>IFERROR(VLOOKUP(B18,пр.взв!$B$7:$H$14,3,0),"")</f>
        <v>08.12.97, кмс</v>
      </c>
      <c r="E18" s="295" t="str">
        <f>IFERROR(VLOOKUP(B18,пр.взв!$B$7:$H$14,4,0),"")</f>
        <v>СЗФО</v>
      </c>
      <c r="F18" s="295" t="str">
        <f>IFERROR(VLOOKUP(B18,пр.взв!$B$7:$H$14,5,0),"")</f>
        <v>Р.Карелия, Петрозаводск</v>
      </c>
      <c r="G18" s="332"/>
      <c r="H18" s="334"/>
      <c r="I18" s="313"/>
      <c r="J18" s="299"/>
      <c r="K18" s="336">
        <v>2</v>
      </c>
      <c r="L18" s="339">
        <f>пр.хода!Q9</f>
        <v>2</v>
      </c>
      <c r="M18" s="330" t="str">
        <f>IFERROR(VLOOKUP(L18,пр.взв!$B$7:$H$14,2,0),"")</f>
        <v>Волощенко Вячеслав Александрович</v>
      </c>
      <c r="N18" s="295" t="str">
        <f>IFERROR(VLOOKUP(L18,пр.взв!$B$7:$H$14,3,0),"")</f>
        <v>04.02.92, кмс</v>
      </c>
      <c r="O18" s="295" t="str">
        <f>IFERROR(VLOOKUP(L18,пр.взв!$B$7:$H$14,4,0),"")</f>
        <v>СЗФО</v>
      </c>
      <c r="P18" s="295" t="str">
        <f>IFERROR(VLOOKUP(L18,пр.взв!$B$7:$H$14,5,0),"")</f>
        <v>Р.Карелия, Петрозаводск</v>
      </c>
      <c r="Q18" s="332"/>
      <c r="R18" s="334"/>
      <c r="S18" s="313"/>
      <c r="T18" s="299"/>
    </row>
    <row r="19" spans="1:20" ht="12.6" customHeight="1">
      <c r="A19" s="337"/>
      <c r="B19" s="329"/>
      <c r="C19" s="331"/>
      <c r="D19" s="296"/>
      <c r="E19" s="296"/>
      <c r="F19" s="296"/>
      <c r="G19" s="333"/>
      <c r="H19" s="333"/>
      <c r="I19" s="314"/>
      <c r="J19" s="222"/>
      <c r="K19" s="337"/>
      <c r="L19" s="329"/>
      <c r="M19" s="331"/>
      <c r="N19" s="296"/>
      <c r="O19" s="296"/>
      <c r="P19" s="296"/>
      <c r="Q19" s="333"/>
      <c r="R19" s="333"/>
      <c r="S19" s="314"/>
      <c r="T19" s="222"/>
    </row>
    <row r="20" spans="1:20">
      <c r="A20" s="337"/>
      <c r="B20" s="340">
        <f>пр.хода!E13</f>
        <v>3</v>
      </c>
      <c r="C20" s="305" t="str">
        <f>IFERROR(VLOOKUP(B20,пр.взв!$B$7:$H$14,2,0),"")</f>
        <v>Кейтуков Кемран Арсеньевич</v>
      </c>
      <c r="D20" s="297" t="str">
        <f>IFERROR(VLOOKUP(B20,пр.взв!$B$7:$H$14,3,0),"")</f>
        <v>19.11.94, мс</v>
      </c>
      <c r="E20" s="297" t="str">
        <f>IFERROR(VLOOKUP(B20,пр.взв!$B$7:$H$14,4,0),"")</f>
        <v>СКФО</v>
      </c>
      <c r="F20" s="297" t="str">
        <f>IFERROR(VLOOKUP(B20,пр.взв!$B$7:$H$14,5,0),"")</f>
        <v>Ставропольский, Ставрополь</v>
      </c>
      <c r="G20" s="317"/>
      <c r="H20" s="317"/>
      <c r="I20" s="223"/>
      <c r="J20" s="223"/>
      <c r="K20" s="337"/>
      <c r="L20" s="340">
        <f>пр.хода!Q13</f>
        <v>4</v>
      </c>
      <c r="M20" s="305" t="str">
        <f>IFERROR(VLOOKUP(L20,пр.взв!$B$7:$H$14,2,0),"")</f>
        <v>Вологдин Марк Сергеевич</v>
      </c>
      <c r="N20" s="297" t="str">
        <f>IFERROR(VLOOKUP(L20,пр.взв!$B$7:$H$14,3,0),"")</f>
        <v>18.04.00, кмс</v>
      </c>
      <c r="O20" s="297" t="str">
        <f>IFERROR(VLOOKUP(L20,пр.взв!$B$7:$H$14,4,0),"")</f>
        <v>СЗФО</v>
      </c>
      <c r="P20" s="297" t="str">
        <f>IFERROR(VLOOKUP(L20,пр.взв!$B$7:$H$14,5,0),"")</f>
        <v>Р.Карелия, Петрозаводск</v>
      </c>
      <c r="Q20" s="317"/>
      <c r="R20" s="317"/>
      <c r="S20" s="223"/>
      <c r="T20" s="223"/>
    </row>
    <row r="21" spans="1:20" ht="12.95" customHeight="1" thickBot="1">
      <c r="A21" s="338"/>
      <c r="B21" s="316"/>
      <c r="C21" s="306"/>
      <c r="D21" s="298"/>
      <c r="E21" s="298"/>
      <c r="F21" s="298"/>
      <c r="G21" s="318"/>
      <c r="H21" s="318"/>
      <c r="I21" s="312"/>
      <c r="J21" s="312"/>
      <c r="K21" s="338"/>
      <c r="L21" s="316"/>
      <c r="M21" s="306"/>
      <c r="N21" s="298"/>
      <c r="O21" s="298"/>
      <c r="P21" s="298"/>
      <c r="Q21" s="318"/>
      <c r="R21" s="318"/>
      <c r="S21" s="312"/>
      <c r="T21" s="312"/>
    </row>
    <row r="23" spans="1:20" ht="15">
      <c r="A23" s="335" t="s">
        <v>36</v>
      </c>
      <c r="B23" s="335"/>
      <c r="C23" s="335"/>
      <c r="D23" s="335"/>
      <c r="E23" s="335"/>
      <c r="F23" s="335"/>
      <c r="G23" s="335"/>
      <c r="H23" s="335"/>
      <c r="I23" s="335"/>
      <c r="J23" s="335"/>
      <c r="K23" s="335" t="s">
        <v>37</v>
      </c>
      <c r="L23" s="335"/>
      <c r="M23" s="335"/>
      <c r="N23" s="335"/>
      <c r="O23" s="335"/>
      <c r="P23" s="335"/>
      <c r="Q23" s="335"/>
      <c r="R23" s="335"/>
      <c r="S23" s="335"/>
      <c r="T23" s="335"/>
    </row>
    <row r="24" spans="1:20" ht="16.5" thickBot="1">
      <c r="B24" s="54" t="s">
        <v>28</v>
      </c>
      <c r="C24" s="60"/>
      <c r="D24" s="60"/>
      <c r="E24" s="60"/>
      <c r="F24" s="60"/>
      <c r="G24" s="60" t="str">
        <f>пр.взв!D4</f>
        <v>В.к. 57   кг.</v>
      </c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 t="str">
        <f>пр.взв!D4</f>
        <v>В.к. 57   кг.</v>
      </c>
      <c r="R24" s="57"/>
      <c r="S24" s="57"/>
      <c r="T24" s="57"/>
    </row>
    <row r="25" spans="1:20" ht="12.75" customHeight="1">
      <c r="A25" s="321" t="s">
        <v>38</v>
      </c>
      <c r="B25" s="323" t="s">
        <v>4</v>
      </c>
      <c r="C25" s="307" t="s">
        <v>5</v>
      </c>
      <c r="D25" s="299" t="s">
        <v>13</v>
      </c>
      <c r="E25" s="301" t="s">
        <v>14</v>
      </c>
      <c r="F25" s="302"/>
      <c r="G25" s="307" t="s">
        <v>15</v>
      </c>
      <c r="H25" s="309" t="s">
        <v>34</v>
      </c>
      <c r="I25" s="311" t="s">
        <v>16</v>
      </c>
      <c r="J25" s="319" t="s">
        <v>17</v>
      </c>
      <c r="K25" s="321" t="s">
        <v>38</v>
      </c>
      <c r="L25" s="323" t="s">
        <v>4</v>
      </c>
      <c r="M25" s="307" t="s">
        <v>5</v>
      </c>
      <c r="N25" s="299" t="s">
        <v>13</v>
      </c>
      <c r="O25" s="301" t="s">
        <v>14</v>
      </c>
      <c r="P25" s="302"/>
      <c r="Q25" s="307" t="s">
        <v>15</v>
      </c>
      <c r="R25" s="309" t="s">
        <v>34</v>
      </c>
      <c r="S25" s="311" t="s">
        <v>16</v>
      </c>
      <c r="T25" s="319" t="s">
        <v>17</v>
      </c>
    </row>
    <row r="26" spans="1:20" ht="13.5" customHeight="1" thickBot="1">
      <c r="A26" s="322"/>
      <c r="B26" s="324" t="s">
        <v>29</v>
      </c>
      <c r="C26" s="308"/>
      <c r="D26" s="300"/>
      <c r="E26" s="303"/>
      <c r="F26" s="304"/>
      <c r="G26" s="308"/>
      <c r="H26" s="310"/>
      <c r="I26" s="312"/>
      <c r="J26" s="320" t="s">
        <v>30</v>
      </c>
      <c r="K26" s="322"/>
      <c r="L26" s="324" t="s">
        <v>29</v>
      </c>
      <c r="M26" s="308"/>
      <c r="N26" s="300"/>
      <c r="O26" s="303"/>
      <c r="P26" s="304"/>
      <c r="Q26" s="308"/>
      <c r="R26" s="310"/>
      <c r="S26" s="312"/>
      <c r="T26" s="320" t="s">
        <v>30</v>
      </c>
    </row>
    <row r="27" spans="1:20">
      <c r="A27" s="325">
        <v>1</v>
      </c>
      <c r="B27" s="328">
        <f>пр.хода!A21</f>
        <v>5</v>
      </c>
      <c r="C27" s="330" t="str">
        <f>IFERROR(VLOOKUP(B27,пр.взв!$B$7:$H$14,2,0),"")</f>
        <v>Кысса Владислав Григорьевич</v>
      </c>
      <c r="D27" s="295" t="str">
        <f>IFERROR(VLOOKUP(B27,пр.взв!$B$7:$H$14,3,0),"")</f>
        <v>01.07.98, мс</v>
      </c>
      <c r="E27" s="295" t="str">
        <f>IFERROR(VLOOKUP(B27,пр.взв!$B$7:$H$14,4,0),"")</f>
        <v>СП</v>
      </c>
      <c r="F27" s="295" t="str">
        <f>IFERROR(VLOOKUP(B27,пр.взв!$B$7:$H$14,5,0),"")</f>
        <v>Санкт-Петербург</v>
      </c>
      <c r="G27" s="332"/>
      <c r="H27" s="334"/>
      <c r="I27" s="313"/>
      <c r="J27" s="299"/>
      <c r="K27" s="325">
        <v>2</v>
      </c>
      <c r="L27" s="328">
        <f>пр.хода!U21</f>
        <v>6</v>
      </c>
      <c r="M27" s="330" t="str">
        <f>IFERROR(VLOOKUP(L27,пр.взв!$B$7:$H$14,2,0),"")</f>
        <v/>
      </c>
      <c r="N27" s="295" t="str">
        <f>IFERROR(VLOOKUP(L27,пр.взв!$B$7:$H$14,3,0),"")</f>
        <v/>
      </c>
      <c r="O27" s="295" t="str">
        <f>IFERROR(VLOOKUP(L27,пр.взв!$B$7:$H$14,4,0),"")</f>
        <v/>
      </c>
      <c r="P27" s="295" t="str">
        <f>IFERROR(VLOOKUP(L27,пр.взв!$B$7:$H$14,5,0),"")</f>
        <v/>
      </c>
      <c r="Q27" s="332"/>
      <c r="R27" s="334"/>
      <c r="S27" s="313"/>
      <c r="T27" s="299"/>
    </row>
    <row r="28" spans="1:20" ht="12.6" customHeight="1">
      <c r="A28" s="326"/>
      <c r="B28" s="329"/>
      <c r="C28" s="331"/>
      <c r="D28" s="296"/>
      <c r="E28" s="296"/>
      <c r="F28" s="296"/>
      <c r="G28" s="333"/>
      <c r="H28" s="333"/>
      <c r="I28" s="314"/>
      <c r="J28" s="222"/>
      <c r="K28" s="326"/>
      <c r="L28" s="329"/>
      <c r="M28" s="331"/>
      <c r="N28" s="296"/>
      <c r="O28" s="296"/>
      <c r="P28" s="296"/>
      <c r="Q28" s="333"/>
      <c r="R28" s="333"/>
      <c r="S28" s="314"/>
      <c r="T28" s="222"/>
    </row>
    <row r="29" spans="1:20">
      <c r="A29" s="326"/>
      <c r="B29" s="315">
        <f>пр.хода!A23</f>
        <v>7</v>
      </c>
      <c r="C29" s="305" t="str">
        <f>IFERROR(VLOOKUP(B29,пр.взв!$B$7:$H$14,2,0),"")</f>
        <v/>
      </c>
      <c r="D29" s="297" t="str">
        <f>IFERROR(VLOOKUP(B29,пр.взв!$B$7:$H$14,3,0),"")</f>
        <v/>
      </c>
      <c r="E29" s="297" t="str">
        <f>IFERROR(VLOOKUP(B29,пр.взв!$B$7:$H$14,4,0),"")</f>
        <v/>
      </c>
      <c r="F29" s="297" t="str">
        <f>IFERROR(VLOOKUP(B29,пр.взв!$B$7:$H$14,5,0),"")</f>
        <v/>
      </c>
      <c r="G29" s="317"/>
      <c r="H29" s="317"/>
      <c r="I29" s="223"/>
      <c r="J29" s="223"/>
      <c r="K29" s="326"/>
      <c r="L29" s="315">
        <f>пр.хода!U23</f>
        <v>8</v>
      </c>
      <c r="M29" s="305" t="str">
        <f>IFERROR(VLOOKUP(L29,пр.взв!$B$7:$H$14,2,0),"")</f>
        <v/>
      </c>
      <c r="N29" s="297" t="str">
        <f>IFERROR(VLOOKUP(L29,пр.взв!$B$7:$H$14,3,0),"")</f>
        <v/>
      </c>
      <c r="O29" s="297" t="str">
        <f>IFERROR(VLOOKUP(L29,пр.взв!$B$7:$H$14,4,0),"")</f>
        <v/>
      </c>
      <c r="P29" s="297" t="str">
        <f>IFERROR(VLOOKUP(L29,пр.взв!$B$7:$H$14,5,0),"")</f>
        <v/>
      </c>
      <c r="Q29" s="317"/>
      <c r="R29" s="317"/>
      <c r="S29" s="223"/>
      <c r="T29" s="223"/>
    </row>
    <row r="30" spans="1:20" ht="12.95" customHeight="1" thickBot="1">
      <c r="A30" s="327"/>
      <c r="B30" s="316"/>
      <c r="C30" s="306"/>
      <c r="D30" s="298"/>
      <c r="E30" s="298"/>
      <c r="F30" s="298"/>
      <c r="G30" s="318"/>
      <c r="H30" s="318"/>
      <c r="I30" s="312"/>
      <c r="J30" s="312"/>
      <c r="K30" s="327"/>
      <c r="L30" s="316"/>
      <c r="M30" s="306"/>
      <c r="N30" s="298"/>
      <c r="O30" s="298"/>
      <c r="P30" s="298"/>
      <c r="Q30" s="318"/>
      <c r="R30" s="318"/>
      <c r="S30" s="312"/>
      <c r="T30" s="312"/>
    </row>
  </sheetData>
  <mergeCells count="212">
    <mergeCell ref="B1:J1"/>
    <mergeCell ref="L1:T1"/>
    <mergeCell ref="B2:J2"/>
    <mergeCell ref="L2:T2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O37"/>
  <sheetViews>
    <sheetView workbookViewId="0">
      <selection activeCell="D2" sqref="D2:H2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406" t="s">
        <v>24</v>
      </c>
      <c r="B1" s="406"/>
      <c r="C1" s="406"/>
      <c r="D1" s="406"/>
      <c r="E1" s="406"/>
      <c r="F1" s="406"/>
      <c r="G1" s="406"/>
      <c r="H1" s="406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>Р.Карелия</v>
      </c>
    </row>
    <row r="2" spans="1:41" ht="63" customHeight="1" thickBot="1">
      <c r="A2" s="122"/>
      <c r="B2" s="367" t="s">
        <v>79</v>
      </c>
      <c r="C2" s="367"/>
      <c r="D2" s="479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480"/>
      <c r="F2" s="480"/>
      <c r="G2" s="480"/>
      <c r="H2" s="481"/>
      <c r="I2" s="122"/>
      <c r="T2" s="215">
        <f>SUMIF(J14:J16,V1,$K$14:$K$17)</f>
        <v>0</v>
      </c>
      <c r="U2" s="215"/>
      <c r="V2" s="215"/>
      <c r="W2" s="215"/>
      <c r="X2" s="215"/>
    </row>
    <row r="3" spans="1:41" ht="31.5" customHeight="1" thickBot="1">
      <c r="A3" s="122"/>
      <c r="B3" s="368" t="str">
        <f>пр.взв!A3</f>
        <v>12-14  октября 2018г.                                              г.Лахденпохья</v>
      </c>
      <c r="C3" s="368"/>
      <c r="D3" s="368"/>
      <c r="E3" s="368"/>
      <c r="F3" s="368"/>
      <c r="G3" s="369" t="str">
        <f>пр.взв!D4</f>
        <v>В.к. 57   кг.</v>
      </c>
      <c r="H3" s="370"/>
      <c r="I3" s="122"/>
    </row>
    <row r="4" spans="1:41" ht="12.75" customHeight="1" thickBot="1">
      <c r="A4" s="382" t="s">
        <v>10</v>
      </c>
      <c r="B4" s="384" t="s">
        <v>4</v>
      </c>
      <c r="C4" s="371" t="s">
        <v>5</v>
      </c>
      <c r="D4" s="373" t="s">
        <v>6</v>
      </c>
      <c r="E4" s="375" t="s">
        <v>7</v>
      </c>
      <c r="F4" s="373"/>
      <c r="G4" s="377" t="s">
        <v>9</v>
      </c>
      <c r="H4" s="409" t="s">
        <v>8</v>
      </c>
      <c r="I4" s="122"/>
      <c r="J4" s="359" t="str">
        <f>IFERROR(LEFT(F6,FIND(",",F6)-1),F6)</f>
        <v>Р.Карелия</v>
      </c>
      <c r="K4" s="354">
        <v>1</v>
      </c>
      <c r="L4" s="355" t="s">
        <v>61</v>
      </c>
      <c r="M4" s="357" t="s">
        <v>60</v>
      </c>
      <c r="N4" s="360"/>
      <c r="O4" s="361"/>
      <c r="P4" s="361"/>
      <c r="Q4" s="362"/>
      <c r="S4" s="419" t="s">
        <v>61</v>
      </c>
      <c r="T4" s="357" t="s">
        <v>60</v>
      </c>
      <c r="U4" s="416"/>
      <c r="V4" s="417"/>
      <c r="W4" s="417"/>
      <c r="X4" s="418"/>
      <c r="AC4" s="419" t="s">
        <v>61</v>
      </c>
      <c r="AD4" s="357" t="s">
        <v>60</v>
      </c>
      <c r="AE4" s="416"/>
      <c r="AF4" s="417"/>
      <c r="AG4" s="417"/>
      <c r="AH4" s="418"/>
      <c r="AJ4" s="419" t="s">
        <v>61</v>
      </c>
      <c r="AK4" s="357" t="s">
        <v>60</v>
      </c>
      <c r="AL4" s="416"/>
      <c r="AM4" s="417"/>
      <c r="AN4" s="417"/>
      <c r="AO4" s="418"/>
    </row>
    <row r="5" spans="1:41" ht="16.5" thickBot="1">
      <c r="A5" s="383"/>
      <c r="B5" s="385"/>
      <c r="C5" s="372"/>
      <c r="D5" s="374"/>
      <c r="E5" s="376"/>
      <c r="F5" s="374"/>
      <c r="G5" s="378"/>
      <c r="H5" s="410"/>
      <c r="I5" s="122"/>
      <c r="J5" s="359"/>
      <c r="K5" s="354"/>
      <c r="L5" s="356"/>
      <c r="M5" s="358"/>
      <c r="N5" s="96">
        <v>1</v>
      </c>
      <c r="O5" s="97">
        <v>2</v>
      </c>
      <c r="P5" s="97">
        <v>3</v>
      </c>
      <c r="Q5" s="98">
        <v>5</v>
      </c>
      <c r="S5" s="420"/>
      <c r="T5" s="358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20"/>
      <c r="AD5" s="358"/>
      <c r="AE5" s="132">
        <v>1</v>
      </c>
      <c r="AF5" s="133">
        <v>2</v>
      </c>
      <c r="AG5" s="133">
        <v>3</v>
      </c>
      <c r="AH5" s="134">
        <v>5</v>
      </c>
      <c r="AJ5" s="420"/>
      <c r="AK5" s="358"/>
      <c r="AL5" s="132">
        <v>1</v>
      </c>
      <c r="AM5" s="133">
        <v>2</v>
      </c>
      <c r="AN5" s="133">
        <v>3</v>
      </c>
      <c r="AO5" s="134">
        <v>5</v>
      </c>
    </row>
    <row r="6" spans="1:41" ht="12.75" customHeight="1">
      <c r="A6" s="411">
        <v>1</v>
      </c>
      <c r="B6" s="412">
        <f>пр.хода!H9</f>
        <v>1</v>
      </c>
      <c r="C6" s="413" t="str">
        <f>IFERROR(VLOOKUP(B6,пр.взв!$B$7:$H$14,2,0),"")</f>
        <v>Хамидов Умеджон</v>
      </c>
      <c r="D6" s="392" t="str">
        <f>IFERROR(VLOOKUP(B6,пр.взв!$B$7:$H$14,3,0),"")</f>
        <v>08.12.97, кмс</v>
      </c>
      <c r="E6" s="392" t="str">
        <f>IFERROR(VLOOKUP(B6,пр.взв!$B$7:$H$14,4,0),"")</f>
        <v>СЗФО</v>
      </c>
      <c r="F6" s="386" t="str">
        <f>IFERROR(VLOOKUP(B6,пр.взв!$B$7:$H$14,5,0),"")</f>
        <v>Р.Карелия, Петрозаводск</v>
      </c>
      <c r="G6" s="387">
        <f>IFERROR(VLOOKUP(B6,пр.взв!$B$7:$H$14,6,0),"")</f>
        <v>0</v>
      </c>
      <c r="H6" s="381" t="str">
        <f>IFERROR(VLOOKUP(B6,пр.взв!$B$7:$H$14,7,0),"")</f>
        <v>Шегельман РИ</v>
      </c>
      <c r="I6" s="122"/>
      <c r="J6" s="359" t="s">
        <v>62</v>
      </c>
      <c r="K6" s="354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>Р.Карелия</v>
      </c>
      <c r="U6" s="100">
        <f t="shared" ref="U6:U11" si="0">SUMIF($J$4:$J$7,T6,$K$4:$K$7)</f>
        <v>1</v>
      </c>
      <c r="V6" s="100">
        <f t="shared" ref="V6:V11" ca="1" si="1">SUMIF($I$8:$J$9,T6,$K$6:$K$9)</f>
        <v>1</v>
      </c>
      <c r="W6" s="101">
        <f t="shared" ref="W6:W11" si="2">SUMIF($J$10:$J$13,T6,$K$10:$K$13)</f>
        <v>1</v>
      </c>
      <c r="X6" s="101">
        <f>SUMIF($J$14:$J$17,T6,$K$14:$K$17)</f>
        <v>0</v>
      </c>
      <c r="Z6" t="str">
        <f>T6</f>
        <v>Р.Карелия</v>
      </c>
      <c r="AB6" t="str">
        <f>Z6</f>
        <v>Р.Карелия</v>
      </c>
      <c r="AC6" s="135">
        <v>1</v>
      </c>
      <c r="AD6" s="136" t="str">
        <f>AB6</f>
        <v>Р.Карелия</v>
      </c>
      <c r="AE6" s="137">
        <f t="shared" ref="AE6:AE11" si="3">SUMIF($J$4:$J$7,AD6,$K$4:$K$7)</f>
        <v>1</v>
      </c>
      <c r="AF6" s="137">
        <f t="shared" ref="AF6:AF11" ca="1" si="4">SUMIF($I$8:$J$9,AD6,$K$6:$K$9)</f>
        <v>1</v>
      </c>
      <c r="AG6" s="137">
        <f t="shared" ref="AG6:AG11" si="5">SUMIF($J$10:$J$13,AD6,$K$10:$K$13)</f>
        <v>1</v>
      </c>
      <c r="AH6" s="138">
        <f t="shared" ref="AH6:AH11" si="6">SUMIF($J$14:$J$17,AD6,$K$14:$K$17)</f>
        <v>0</v>
      </c>
      <c r="AJ6" s="135">
        <v>1</v>
      </c>
      <c r="AK6" s="136" t="str">
        <f t="shared" ref="AK6:AO11" si="7">IF(AD6=0," ",AD6)</f>
        <v>Р.Карелия</v>
      </c>
      <c r="AL6" s="137">
        <f t="shared" si="7"/>
        <v>1</v>
      </c>
      <c r="AM6" s="137">
        <f t="shared" ca="1" si="7"/>
        <v>1</v>
      </c>
      <c r="AN6" s="137">
        <f t="shared" si="7"/>
        <v>1</v>
      </c>
      <c r="AO6" s="138" t="str">
        <f t="shared" si="7"/>
        <v xml:space="preserve"> </v>
      </c>
    </row>
    <row r="7" spans="1:41" ht="15.75">
      <c r="A7" s="400"/>
      <c r="B7" s="401"/>
      <c r="C7" s="397"/>
      <c r="D7" s="393"/>
      <c r="E7" s="393"/>
      <c r="F7" s="363"/>
      <c r="G7" s="364"/>
      <c r="H7" s="366"/>
      <c r="I7" s="122"/>
      <c r="J7" s="359"/>
      <c r="K7" s="354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>Санкт-Петербург</v>
      </c>
      <c r="AA7">
        <f>IF(U7=U6," ",U7)</f>
        <v>0</v>
      </c>
      <c r="AB7" t="str">
        <f>IF(OR(Z7=" "),Z8,Z7)</f>
        <v>Санкт-Петербург</v>
      </c>
      <c r="AC7" s="139">
        <v>2</v>
      </c>
      <c r="AD7" s="140" t="str">
        <f>IF(OR(AB7=" "),AB8,AB7)</f>
        <v>Санкт-Петербург</v>
      </c>
      <c r="AE7" s="141">
        <f t="shared" si="3"/>
        <v>0</v>
      </c>
      <c r="AF7" s="141">
        <f t="shared" ca="1" si="4"/>
        <v>0</v>
      </c>
      <c r="AG7" s="141">
        <f t="shared" si="5"/>
        <v>1</v>
      </c>
      <c r="AH7" s="142">
        <f t="shared" si="6"/>
        <v>0</v>
      </c>
      <c r="AJ7" s="139">
        <v>2</v>
      </c>
      <c r="AK7" s="140" t="str">
        <f t="shared" si="7"/>
        <v>Санкт-Петербург</v>
      </c>
      <c r="AL7" s="141" t="str">
        <f t="shared" si="7"/>
        <v xml:space="preserve"> </v>
      </c>
      <c r="AM7" s="141" t="str">
        <f t="shared" ca="1" si="7"/>
        <v xml:space="preserve"> </v>
      </c>
      <c r="AN7" s="141">
        <f t="shared" si="7"/>
        <v>1</v>
      </c>
      <c r="AO7" s="142" t="str">
        <f t="shared" si="7"/>
        <v xml:space="preserve"> </v>
      </c>
    </row>
    <row r="8" spans="1:41" ht="12.75" customHeight="1">
      <c r="A8" s="400">
        <v>2</v>
      </c>
      <c r="B8" s="401">
        <f>пр.хода!H14</f>
        <v>4</v>
      </c>
      <c r="C8" s="402" t="str">
        <f>IFERROR(VLOOKUP(B8,пр.взв!$B$7:$H$14,2,0),"")</f>
        <v>Вологдин Марк Сергеевич</v>
      </c>
      <c r="D8" s="404" t="str">
        <f>IFERROR(VLOOKUP(B8,пр.взв!$B$7:$H$14,3,0),"")</f>
        <v>18.04.00, кмс</v>
      </c>
      <c r="E8" s="363" t="str">
        <f>IFERROR(VLOOKUP(B8,пр.взв!$B$7:$H$14,4,0),"")</f>
        <v>СЗФО</v>
      </c>
      <c r="F8" s="363" t="str">
        <f>IFERROR(VLOOKUP(B8,пр.взв!$B$7:$H$14,5,0),"")</f>
        <v>Р.Карелия, Петрозаводск</v>
      </c>
      <c r="G8" s="363">
        <f>IFERROR(VLOOKUP(B8,пр.взв!$B$7:$H$14,6,0),"")</f>
        <v>0</v>
      </c>
      <c r="H8" s="365" t="str">
        <f>IFERROR(VLOOKUP(B8,пр.взв!$B$7:$H$14,7,0),"")</f>
        <v>Лютинский ВС</v>
      </c>
      <c r="I8" s="122"/>
      <c r="J8" s="354" t="str">
        <f>IFERROR(LEFT(F8,FIND(",",F8)-1),F8)</f>
        <v>Р.Карелия</v>
      </c>
      <c r="K8" s="354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>Санкт-Петербург</v>
      </c>
      <c r="U8" s="100">
        <f t="shared" si="0"/>
        <v>0</v>
      </c>
      <c r="V8" s="100">
        <f t="shared" ca="1" si="1"/>
        <v>0</v>
      </c>
      <c r="W8" s="101">
        <f t="shared" si="2"/>
        <v>1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>Ставропольский</v>
      </c>
      <c r="AC8" s="143">
        <v>3</v>
      </c>
      <c r="AD8" s="140" t="str">
        <f>IF(OR(AB8=" ",AB7=" "),AB9,AB8)</f>
        <v>Ставропольский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1</v>
      </c>
      <c r="AJ8" s="143">
        <v>3</v>
      </c>
      <c r="AK8" s="140" t="str">
        <f t="shared" si="7"/>
        <v>Ставропольский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>
        <f t="shared" si="7"/>
        <v>1</v>
      </c>
    </row>
    <row r="9" spans="1:41" ht="15.75">
      <c r="A9" s="400"/>
      <c r="B9" s="401"/>
      <c r="C9" s="397"/>
      <c r="D9" s="399"/>
      <c r="E9" s="364"/>
      <c r="F9" s="364"/>
      <c r="G9" s="364"/>
      <c r="H9" s="366"/>
      <c r="I9" s="122"/>
      <c r="J9" s="354"/>
      <c r="K9" s="354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>Ставропольский</v>
      </c>
      <c r="AB9" t="str">
        <f>IF(OR(Z7=" ",Z8=" ",Z9=" "),Z10,Z9)</f>
        <v/>
      </c>
      <c r="AC9" s="139">
        <v>4</v>
      </c>
      <c r="AD9" s="140" t="str">
        <f>IF(OR(AB7=" ",AB8=" ",AB9=" "),AB10,AB9)</f>
        <v/>
      </c>
      <c r="AE9" s="141">
        <f t="shared" si="3"/>
        <v>0</v>
      </c>
      <c r="AF9" s="141">
        <f t="shared" ca="1" si="4"/>
        <v>3</v>
      </c>
      <c r="AG9" s="141">
        <f t="shared" si="5"/>
        <v>0</v>
      </c>
      <c r="AH9" s="142">
        <f t="shared" si="6"/>
        <v>1</v>
      </c>
      <c r="AJ9" s="139">
        <v>4</v>
      </c>
      <c r="AK9" s="140" t="str">
        <f t="shared" si="7"/>
        <v/>
      </c>
      <c r="AL9" s="141" t="str">
        <f t="shared" si="7"/>
        <v xml:space="preserve"> </v>
      </c>
      <c r="AM9" s="141">
        <f t="shared" ca="1" si="7"/>
        <v>3</v>
      </c>
      <c r="AN9" s="141" t="str">
        <f t="shared" si="7"/>
        <v xml:space="preserve"> </v>
      </c>
      <c r="AO9" s="142">
        <f t="shared" si="7"/>
        <v>1</v>
      </c>
    </row>
    <row r="10" spans="1:41" ht="12.75" customHeight="1">
      <c r="A10" s="400">
        <v>3</v>
      </c>
      <c r="B10" s="401">
        <f>пр.хода!E25</f>
        <v>5</v>
      </c>
      <c r="C10" s="402" t="str">
        <f>IFERROR(VLOOKUP(B10,пр.взв!$B$7:$H$14,2,0),"")</f>
        <v>Кысса Владислав Григорьевич</v>
      </c>
      <c r="D10" s="404" t="str">
        <f>IFERROR(VLOOKUP(B10,пр.взв!$B$7:$H$14,3,0),"")</f>
        <v>01.07.98, мс</v>
      </c>
      <c r="E10" s="363" t="str">
        <f>IFERROR(VLOOKUP(B10,пр.взв!$B$7:$H$14,4,0),"")</f>
        <v>СП</v>
      </c>
      <c r="F10" s="363" t="str">
        <f>IFERROR(VLOOKUP(B10,пр.взв!$B$7:$H$14,5,0),"")</f>
        <v>Санкт-Петербург</v>
      </c>
      <c r="G10" s="363">
        <f>IFERROR(VLOOKUP(B10,пр.взв!$B$7:$H$14,6,0),"")</f>
        <v>0</v>
      </c>
      <c r="H10" s="365" t="str">
        <f>IFERROR(VLOOKUP(B10,пр.взв!$B$7:$H$14,7,0),"")</f>
        <v>Коршунов АИ</v>
      </c>
      <c r="I10" s="122"/>
      <c r="J10" s="354" t="str">
        <f>IFERROR(LEFT(F10,FIND(",",F10)-1),F10)</f>
        <v>Санкт-Петербург</v>
      </c>
      <c r="K10" s="354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>Ставропольский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1</v>
      </c>
      <c r="Z10" t="str">
        <f>IF(OR(T7=" ",T8=" ",T9=" ",T10=" "),T11,T10)</f>
        <v/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16.5" thickBot="1">
      <c r="A11" s="400"/>
      <c r="B11" s="401"/>
      <c r="C11" s="397"/>
      <c r="D11" s="399"/>
      <c r="E11" s="364"/>
      <c r="F11" s="364"/>
      <c r="G11" s="364"/>
      <c r="H11" s="366"/>
      <c r="I11" s="122"/>
      <c r="J11" s="354"/>
      <c r="K11" s="354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/>
      </c>
      <c r="U11" s="100">
        <f t="shared" si="0"/>
        <v>0</v>
      </c>
      <c r="V11" s="100">
        <f t="shared" ca="1" si="1"/>
        <v>3</v>
      </c>
      <c r="W11" s="101">
        <f t="shared" si="2"/>
        <v>0</v>
      </c>
      <c r="X11" s="101">
        <f>SUMIF($J$14:$J$17,T11,$K$8:$K$17)</f>
        <v>1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12.75" customHeight="1" thickBot="1">
      <c r="A12" s="400">
        <v>3</v>
      </c>
      <c r="B12" s="380">
        <f>пр.хода!Q25</f>
        <v>2</v>
      </c>
      <c r="C12" s="402" t="str">
        <f>IFERROR(VLOOKUP(B12,пр.взв!$B$7:$H$14,2,0),"")</f>
        <v>Волощенко Вячеслав Александрович</v>
      </c>
      <c r="D12" s="404" t="str">
        <f>IFERROR(VLOOKUP(B12,пр.взв!$B$7:$H$14,3,0),"")</f>
        <v>04.02.92, кмс</v>
      </c>
      <c r="E12" s="363" t="str">
        <f>IFERROR(VLOOKUP(B12,пр.взв!$B$7:$H$14,4,0),"")</f>
        <v>СЗФО</v>
      </c>
      <c r="F12" s="363" t="str">
        <f>IFERROR(VLOOKUP(B12,пр.взв!$B$7:$H$14,5,0),"")</f>
        <v>Р.Карелия, Петрозаводск</v>
      </c>
      <c r="G12" s="363">
        <f>IFERROR(VLOOKUP(B12,пр.взв!$B$7:$H$14,6,0),"")</f>
        <v>0</v>
      </c>
      <c r="H12" s="365" t="str">
        <f>IFERROR(VLOOKUP(B12,пр.взв!$B$7:$H$14,7,0),"")</f>
        <v>Шегельман РИ</v>
      </c>
      <c r="I12" s="122"/>
      <c r="J12" s="354" t="str">
        <f>IFERROR(LEFT(F12,FIND(",",F12)-1),F12)</f>
        <v>Р.Карелия</v>
      </c>
      <c r="K12" s="354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15.75">
      <c r="A13" s="400"/>
      <c r="B13" s="380"/>
      <c r="C13" s="397"/>
      <c r="D13" s="399"/>
      <c r="E13" s="364"/>
      <c r="F13" s="364"/>
      <c r="G13" s="364"/>
      <c r="H13" s="366"/>
      <c r="I13" s="122"/>
      <c r="J13" s="354"/>
      <c r="K13" s="354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/>
      </c>
      <c r="U13" s="107"/>
      <c r="V13" s="107"/>
      <c r="W13" s="108"/>
      <c r="X13" s="108"/>
    </row>
    <row r="14" spans="1:41" ht="12.75" customHeight="1">
      <c r="A14" s="379" t="s">
        <v>56</v>
      </c>
      <c r="B14" s="380">
        <f>пр.хода!Z21</f>
        <v>3</v>
      </c>
      <c r="C14" s="402" t="str">
        <f>IFERROR(VLOOKUP(B14,пр.взв!$B$7:$H$14,2,0),"")</f>
        <v>Кейтуков Кемран Арсеньевич</v>
      </c>
      <c r="D14" s="404" t="str">
        <f>IFERROR(VLOOKUP(B14,пр.взв!$B$7:$H$14,3,0),"")</f>
        <v>19.11.94, мс</v>
      </c>
      <c r="E14" s="363" t="str">
        <f>IFERROR(VLOOKUP(B14,пр.взв!$B$7:$H$14,4,0),"")</f>
        <v>СКФО</v>
      </c>
      <c r="F14" s="363" t="str">
        <f>IFERROR(VLOOKUP(B14,пр.взв!$B$7:$H$14,5,0),"")</f>
        <v>Ставропольский, Ставрополь</v>
      </c>
      <c r="G14" s="363">
        <f>IFERROR(VLOOKUP(B14,пр.взв!$B$7:$H$14,6,0),"")</f>
        <v>0</v>
      </c>
      <c r="H14" s="365" t="str">
        <f>IFERROR(VLOOKUP(B14,пр.взв!$B$7:$H$14,7,0),"")</f>
        <v>Хапай АЮ Хапай АЮ</v>
      </c>
      <c r="I14" s="122"/>
      <c r="J14" s="354" t="str">
        <f>IFERROR(LEFT(F14,FIND(",",F14)-1),F14)</f>
        <v>Ставропольский</v>
      </c>
      <c r="K14" s="354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6.5" thickBot="1">
      <c r="A15" s="388"/>
      <c r="B15" s="414"/>
      <c r="C15" s="403"/>
      <c r="D15" s="405"/>
      <c r="E15" s="391"/>
      <c r="F15" s="391"/>
      <c r="G15" s="391"/>
      <c r="H15" s="407"/>
      <c r="I15" s="122"/>
      <c r="J15" s="354"/>
      <c r="K15" s="354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hidden="1" customHeight="1">
      <c r="A16" s="415" t="s">
        <v>51</v>
      </c>
      <c r="B16" s="395" t="str">
        <f>пр.хода!Z22</f>
        <v xml:space="preserve"> </v>
      </c>
      <c r="C16" s="396" t="str">
        <f>IFERROR(VLOOKUP(B16,пр.взв!$B$7:$H$14,2,0),"")</f>
        <v/>
      </c>
      <c r="D16" s="398" t="str">
        <f>IFERROR(VLOOKUP(B16,пр.взв!$B$7:$H$14,3,0),"")</f>
        <v/>
      </c>
      <c r="E16" s="394" t="str">
        <f>IFERROR(VLOOKUP(B16,пр.взв!$B$7:$H$14,4,0),"")</f>
        <v/>
      </c>
      <c r="F16" s="394" t="str">
        <f>IFERROR(VLOOKUP(B16,пр.взв!$B$7:$H$14,5,0),"")</f>
        <v/>
      </c>
      <c r="G16" s="394" t="str">
        <f>IFERROR(VLOOKUP(B16,пр.взв!$B$7:$H$14,6,0),"")</f>
        <v/>
      </c>
      <c r="H16" s="408" t="str">
        <f>IFERROR(VLOOKUP(B16,пр.взв!$B$7:$H$14,7,0),"")</f>
        <v/>
      </c>
      <c r="I16" s="122"/>
      <c r="J16" s="354" t="str">
        <f>IFERROR(LEFT(F16,FIND(",",F16)-1),F16)</f>
        <v/>
      </c>
      <c r="K16" s="354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hidden="1" thickBot="1">
      <c r="A17" s="379"/>
      <c r="B17" s="380"/>
      <c r="C17" s="397"/>
      <c r="D17" s="399"/>
      <c r="E17" s="364"/>
      <c r="F17" s="364"/>
      <c r="G17" s="364"/>
      <c r="H17" s="366"/>
      <c r="I17" s="122"/>
      <c r="J17" s="354"/>
      <c r="K17" s="354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hidden="1" customHeight="1" thickBot="1">
      <c r="A18" s="379" t="s">
        <v>40</v>
      </c>
      <c r="B18" s="380">
        <f>пр.хода!Z23</f>
        <v>7</v>
      </c>
      <c r="C18" s="402" t="str">
        <f>IFERROR(VLOOKUP(B18,пр.взв!$B$7:$H$14,2,0),"")</f>
        <v/>
      </c>
      <c r="D18" s="404" t="str">
        <f>IFERROR(VLOOKUP(B18,пр.взв!$B$7:$H$14,3,0),"")</f>
        <v/>
      </c>
      <c r="E18" s="363" t="str">
        <f>IFERROR(VLOOKUP(B18,пр.взв!$B$7:$H$14,4,0),"")</f>
        <v/>
      </c>
      <c r="F18" s="363" t="str">
        <f>IFERROR(VLOOKUP(B18,пр.взв!$B$7:$H$14,5,0),"")</f>
        <v/>
      </c>
      <c r="G18" s="363" t="str">
        <f>IFERROR(VLOOKUP(B18,пр.взв!$B$7:$H$14,6,0),"")</f>
        <v/>
      </c>
      <c r="H18" s="365" t="str">
        <f>IFERROR(VLOOKUP(B18,пр.взв!$B$7:$H$14,7,0),"")</f>
        <v/>
      </c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hidden="1" customHeight="1">
      <c r="A19" s="379"/>
      <c r="B19" s="380"/>
      <c r="C19" s="397"/>
      <c r="D19" s="399"/>
      <c r="E19" s="364"/>
      <c r="F19" s="364"/>
      <c r="G19" s="364"/>
      <c r="H19" s="366"/>
      <c r="I19" s="122"/>
    </row>
    <row r="20" spans="1:24" ht="12.75" hidden="1" customHeight="1">
      <c r="A20" s="379" t="s">
        <v>40</v>
      </c>
      <c r="B20" s="389">
        <f>пр.хода!Z24</f>
        <v>8</v>
      </c>
      <c r="C20" s="402" t="str">
        <f>IFERROR(VLOOKUP(B20,пр.взв!$B$7:$H$14,2,0),"")</f>
        <v/>
      </c>
      <c r="D20" s="404" t="str">
        <f>IFERROR(VLOOKUP(B20,пр.взв!$B$7:$H$14,3,0),"")</f>
        <v/>
      </c>
      <c r="E20" s="363" t="str">
        <f>IFERROR(VLOOKUP(B20,пр.взв!$B$7:$H$14,4,0),"")</f>
        <v/>
      </c>
      <c r="F20" s="363" t="str">
        <f>IFERROR(VLOOKUP(B20,пр.взв!$B$7:$H$14,5,0),"")</f>
        <v/>
      </c>
      <c r="G20" s="363" t="str">
        <f>IFERROR(VLOOKUP(B20,пр.взв!$B$7:$H$14,6,0),"")</f>
        <v/>
      </c>
      <c r="H20" s="365" t="str">
        <f>IFERROR(VLOOKUP(B20,пр.взв!$B$7:$H$14,7,0),"")</f>
        <v/>
      </c>
      <c r="I20" s="122"/>
    </row>
    <row r="21" spans="1:24" ht="12.95" hidden="1" customHeight="1" thickBot="1">
      <c r="A21" s="388"/>
      <c r="B21" s="390"/>
      <c r="C21" s="403"/>
      <c r="D21" s="405"/>
      <c r="E21" s="391"/>
      <c r="F21" s="391"/>
      <c r="G21" s="391"/>
      <c r="H21" s="407"/>
      <c r="I21" s="122"/>
    </row>
    <row r="22" spans="1:24">
      <c r="A22" s="122"/>
      <c r="B22" s="122"/>
      <c r="C22" s="122"/>
      <c r="D22" s="122"/>
      <c r="E22" s="122"/>
      <c r="F22" s="122"/>
      <c r="G22" s="122"/>
      <c r="H22" s="122"/>
      <c r="I22" s="122"/>
    </row>
    <row r="23" spans="1:24">
      <c r="A23" s="122"/>
      <c r="B23" s="122"/>
      <c r="C23" s="122"/>
      <c r="D23" s="122"/>
      <c r="E23" s="122"/>
      <c r="F23" s="122"/>
      <c r="G23" s="122"/>
      <c r="H23" s="122"/>
      <c r="I23" s="122"/>
    </row>
    <row r="24" spans="1:24">
      <c r="A24" s="122"/>
      <c r="B24" s="122"/>
      <c r="C24" s="122"/>
      <c r="D24" s="122"/>
      <c r="E24" s="122"/>
      <c r="F24" s="122"/>
      <c r="G24" s="122"/>
      <c r="H24" s="122"/>
      <c r="I24" s="122"/>
    </row>
    <row r="25" spans="1:24">
      <c r="A25" s="122"/>
      <c r="B25" s="122"/>
      <c r="C25" s="122"/>
      <c r="D25" s="122"/>
      <c r="E25" s="122"/>
      <c r="F25" s="122"/>
      <c r="G25" s="122"/>
      <c r="H25" s="122"/>
      <c r="I25" s="122"/>
    </row>
    <row r="26" spans="1:24">
      <c r="A26" s="122"/>
      <c r="B26" s="122"/>
      <c r="C26" s="122"/>
      <c r="D26" s="122"/>
      <c r="E26" s="122"/>
      <c r="F26" s="122"/>
      <c r="G26" s="122"/>
      <c r="H26" s="122"/>
      <c r="I26" s="122"/>
    </row>
    <row r="27" spans="1:24">
      <c r="A27" s="125"/>
      <c r="B27" s="125"/>
      <c r="C27" s="125"/>
      <c r="D27" s="125"/>
      <c r="E27" s="125"/>
      <c r="F27" s="125"/>
      <c r="G27" s="125"/>
      <c r="H27" s="125"/>
      <c r="I27" s="122"/>
    </row>
    <row r="28" spans="1:24" ht="15">
      <c r="A28" s="126"/>
      <c r="B28" s="126"/>
      <c r="C28" s="126"/>
      <c r="D28" s="125"/>
      <c r="E28" s="125"/>
      <c r="F28" s="125"/>
      <c r="G28" s="125"/>
      <c r="H28" s="125"/>
      <c r="I28" s="122"/>
    </row>
    <row r="29" spans="1:24" ht="15">
      <c r="A29" s="127" t="str">
        <f>[1]реквизиты!$A$6</f>
        <v>Гл. судья, судья ВК</v>
      </c>
      <c r="B29" s="126"/>
      <c r="C29" s="128"/>
      <c r="D29" s="129"/>
      <c r="E29" s="129"/>
      <c r="F29" s="129"/>
      <c r="G29" s="130" t="str">
        <f>[1]реквизиты!$G$6</f>
        <v>А.В.Лоптунов</v>
      </c>
      <c r="H29" s="122"/>
      <c r="I29" s="125"/>
      <c r="J29" s="3"/>
      <c r="K29" s="3"/>
    </row>
    <row r="30" spans="1:24" ht="15">
      <c r="A30" s="126"/>
      <c r="B30" s="126"/>
      <c r="C30" s="128"/>
      <c r="D30" s="186"/>
      <c r="E30" s="129"/>
      <c r="F30" s="129"/>
      <c r="G30" s="158" t="str">
        <f>[1]реквизиты!$G$7</f>
        <v>/Кандалакша/</v>
      </c>
      <c r="H30" s="122"/>
      <c r="I30" s="125"/>
      <c r="J30" s="3"/>
      <c r="K30" s="3"/>
    </row>
    <row r="31" spans="1:24" ht="15">
      <c r="A31" s="126"/>
      <c r="B31" s="126"/>
      <c r="C31" s="128"/>
      <c r="D31" s="129"/>
      <c r="E31" s="129"/>
      <c r="F31" s="129"/>
      <c r="G31" s="125"/>
      <c r="H31" s="122"/>
      <c r="I31" s="125"/>
      <c r="J31" s="3"/>
      <c r="K31" s="3"/>
    </row>
    <row r="32" spans="1:24" ht="15">
      <c r="A32" s="127" t="str">
        <f>пр.хода!B33</f>
        <v>Гл. секретарь, судья ВК</v>
      </c>
      <c r="B32" s="126"/>
      <c r="C32" s="128"/>
      <c r="D32" s="187"/>
      <c r="E32" s="129"/>
      <c r="F32" s="129"/>
      <c r="G32" s="130" t="str">
        <f>[1]реквизиты!$G$8</f>
        <v>А.С.Тимошин</v>
      </c>
      <c r="H32" s="122"/>
      <c r="I32" s="125"/>
      <c r="J32" s="11"/>
      <c r="K32" s="11"/>
    </row>
    <row r="33" spans="1:9" ht="15">
      <c r="A33" s="126"/>
      <c r="B33" s="126"/>
      <c r="C33" s="126"/>
      <c r="D33" s="129"/>
      <c r="E33" s="129"/>
      <c r="F33" s="129"/>
      <c r="G33" s="158" t="str">
        <f>[1]реквизиты!$G$9</f>
        <v>/Рыбинск/</v>
      </c>
      <c r="H33" s="125"/>
      <c r="I33" s="122"/>
    </row>
    <row r="34" spans="1:9">
      <c r="A34" s="125"/>
      <c r="B34" s="125"/>
      <c r="C34" s="125"/>
      <c r="D34" s="129"/>
      <c r="E34" s="129"/>
      <c r="F34" s="129"/>
      <c r="G34" s="125"/>
      <c r="H34" s="125"/>
      <c r="I34" s="122"/>
    </row>
    <row r="35" spans="1:9">
      <c r="A35" s="122"/>
      <c r="B35" s="122"/>
      <c r="C35" s="122"/>
      <c r="D35" s="123"/>
      <c r="E35" s="123"/>
      <c r="F35" s="123"/>
      <c r="G35" s="122"/>
      <c r="H35" s="122"/>
      <c r="I35" s="122"/>
    </row>
    <row r="36" spans="1:9">
      <c r="A36" s="122"/>
      <c r="B36" s="122"/>
      <c r="C36" s="122"/>
      <c r="D36" s="123"/>
      <c r="E36" s="123"/>
      <c r="F36" s="123"/>
      <c r="G36" s="122"/>
      <c r="H36" s="122"/>
      <c r="I36" s="122"/>
    </row>
    <row r="37" spans="1:9">
      <c r="A37" s="122"/>
      <c r="B37" s="122"/>
      <c r="C37" s="122"/>
      <c r="D37" s="123"/>
      <c r="E37" s="123"/>
      <c r="F37" s="123"/>
      <c r="G37" s="122"/>
      <c r="H37" s="122"/>
      <c r="I37" s="122"/>
    </row>
  </sheetData>
  <sheetProtection formatCells="0" formatColumns="0" formatRows="0" insertColumns="0" insertRows="0" insertHyperlinks="0" deleteColumns="0" deleteRows="0" sort="0" autoFilter="0" pivotTables="0"/>
  <mergeCells count="103">
    <mergeCell ref="AE4:AH4"/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1:H1"/>
    <mergeCell ref="H20:H21"/>
    <mergeCell ref="H12:H13"/>
    <mergeCell ref="H14:H15"/>
    <mergeCell ref="H16:H17"/>
    <mergeCell ref="H18:H19"/>
    <mergeCell ref="H4:H5"/>
    <mergeCell ref="A6:A7"/>
    <mergeCell ref="B6:B7"/>
    <mergeCell ref="C6:C7"/>
    <mergeCell ref="D8:D9"/>
    <mergeCell ref="A10:A11"/>
    <mergeCell ref="B10:B11"/>
    <mergeCell ref="A12:A13"/>
    <mergeCell ref="B12:B13"/>
    <mergeCell ref="C12:C13"/>
    <mergeCell ref="D12:D13"/>
    <mergeCell ref="C10:C11"/>
    <mergeCell ref="D10:D11"/>
    <mergeCell ref="A14:A15"/>
    <mergeCell ref="B14:B15"/>
    <mergeCell ref="C14:C15"/>
    <mergeCell ref="D14:D15"/>
    <mergeCell ref="A16:A17"/>
    <mergeCell ref="F20:F21"/>
    <mergeCell ref="G20:G21"/>
    <mergeCell ref="F14:F15"/>
    <mergeCell ref="G14:G15"/>
    <mergeCell ref="F16:F17"/>
    <mergeCell ref="G16:G17"/>
    <mergeCell ref="C20:C21"/>
    <mergeCell ref="D20:D21"/>
    <mergeCell ref="C18:C19"/>
    <mergeCell ref="D18:D19"/>
    <mergeCell ref="A20:A21"/>
    <mergeCell ref="B20:B21"/>
    <mergeCell ref="E18:E19"/>
    <mergeCell ref="E20:E21"/>
    <mergeCell ref="E6:E7"/>
    <mergeCell ref="E8:E9"/>
    <mergeCell ref="E10:E11"/>
    <mergeCell ref="E12:E13"/>
    <mergeCell ref="E14:E15"/>
    <mergeCell ref="E16:E17"/>
    <mergeCell ref="B16:B17"/>
    <mergeCell ref="C16:C17"/>
    <mergeCell ref="D16:D17"/>
    <mergeCell ref="D6:D7"/>
    <mergeCell ref="A8:A9"/>
    <mergeCell ref="B8:B9"/>
    <mergeCell ref="C8:C9"/>
    <mergeCell ref="B2:C2"/>
    <mergeCell ref="D2:H2"/>
    <mergeCell ref="B3:F3"/>
    <mergeCell ref="G3:H3"/>
    <mergeCell ref="C4:C5"/>
    <mergeCell ref="D4:D5"/>
    <mergeCell ref="E4:F5"/>
    <mergeCell ref="G4:G5"/>
    <mergeCell ref="A18:A19"/>
    <mergeCell ref="B18:B19"/>
    <mergeCell ref="F18:F19"/>
    <mergeCell ref="G18:G19"/>
    <mergeCell ref="H6:H7"/>
    <mergeCell ref="A4:A5"/>
    <mergeCell ref="B4:B5"/>
    <mergeCell ref="F6:F7"/>
    <mergeCell ref="G6:G7"/>
    <mergeCell ref="F8:F9"/>
    <mergeCell ref="N4:Q4"/>
    <mergeCell ref="J14:J15"/>
    <mergeCell ref="K14:K15"/>
    <mergeCell ref="F12:F13"/>
    <mergeCell ref="G12:G13"/>
    <mergeCell ref="H10:H11"/>
    <mergeCell ref="G8:G9"/>
    <mergeCell ref="F10:F11"/>
    <mergeCell ref="G10:G11"/>
    <mergeCell ref="H8:H9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workbookViewId="0">
      <selection sqref="A1:I1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29.45" customHeight="1" thickBot="1">
      <c r="A1" s="421" t="str">
        <f>пр.хода!C3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22"/>
      <c r="C1" s="422"/>
      <c r="D1" s="422"/>
      <c r="E1" s="422"/>
      <c r="F1" s="422"/>
      <c r="G1" s="422"/>
      <c r="H1" s="422"/>
      <c r="I1" s="422"/>
    </row>
    <row r="2" spans="1:9" ht="27.75" customHeight="1">
      <c r="D2" s="44"/>
      <c r="E2" s="44"/>
      <c r="F2" s="51" t="str">
        <f>HYPERLINK(пр.взв!D4)</f>
        <v>В.к. 57   кг.</v>
      </c>
    </row>
    <row r="3" spans="1:9">
      <c r="C3" s="10" t="s">
        <v>21</v>
      </c>
    </row>
    <row r="4" spans="1:9">
      <c r="C4" s="42" t="s">
        <v>11</v>
      </c>
    </row>
    <row r="5" spans="1:9">
      <c r="A5" s="222" t="s">
        <v>12</v>
      </c>
      <c r="B5" s="222" t="s">
        <v>4</v>
      </c>
      <c r="C5" s="433" t="s">
        <v>5</v>
      </c>
      <c r="D5" s="222" t="s">
        <v>13</v>
      </c>
      <c r="E5" s="435" t="s">
        <v>14</v>
      </c>
      <c r="F5" s="436"/>
      <c r="G5" s="222" t="s">
        <v>15</v>
      </c>
      <c r="H5" s="222" t="s">
        <v>16</v>
      </c>
      <c r="I5" s="222" t="s">
        <v>17</v>
      </c>
    </row>
    <row r="6" spans="1:9">
      <c r="A6" s="223"/>
      <c r="B6" s="223"/>
      <c r="C6" s="223"/>
      <c r="D6" s="223"/>
      <c r="E6" s="437"/>
      <c r="F6" s="438"/>
      <c r="G6" s="223"/>
      <c r="H6" s="223"/>
      <c r="I6" s="223"/>
    </row>
    <row r="7" spans="1:9">
      <c r="A7" s="430"/>
      <c r="B7" s="434">
        <f>пр.хода!C22</f>
        <v>5</v>
      </c>
      <c r="C7" s="427" t="str">
        <f>IFERROR(VLOOKUP(B7,пр.взв!$B$7:$H$14,2,0),"")</f>
        <v>Кысса Владислав Григорьевич</v>
      </c>
      <c r="D7" s="423" t="str">
        <f>IFERROR(VLOOKUP(B7,пр.взв!$B$7:$H$14,3,0),"")</f>
        <v>01.07.98, мс</v>
      </c>
      <c r="E7" s="431" t="str">
        <f>IFERROR(VLOOKUP(B7,пр.взв!$B$7:$H$14,4,0),"")</f>
        <v>СП</v>
      </c>
      <c r="F7" s="423" t="str">
        <f>IFERROR(VLOOKUP(B7,пр.взв!$B$7:$H$14,5,0),"")</f>
        <v>Санкт-Петербург</v>
      </c>
      <c r="G7" s="441"/>
      <c r="H7" s="314"/>
      <c r="I7" s="222"/>
    </row>
    <row r="8" spans="1:9">
      <c r="A8" s="430"/>
      <c r="B8" s="222"/>
      <c r="C8" s="428"/>
      <c r="D8" s="424"/>
      <c r="E8" s="432"/>
      <c r="F8" s="429"/>
      <c r="G8" s="441"/>
      <c r="H8" s="314"/>
      <c r="I8" s="222"/>
    </row>
    <row r="9" spans="1:9" ht="12.6" customHeight="1">
      <c r="A9" s="425"/>
      <c r="B9" s="434">
        <f>пр.хода!B27</f>
        <v>3</v>
      </c>
      <c r="C9" s="427" t="str">
        <f>IFERROR(VLOOKUP(B9,пр.взв!$B$7:$H$14,2,0),"")</f>
        <v>Кейтуков Кемран Арсеньевич</v>
      </c>
      <c r="D9" s="423" t="str">
        <f>IFERROR(VLOOKUP(B9,пр.взв!$B$7:$H$14,3,0),"")</f>
        <v>19.11.94, мс</v>
      </c>
      <c r="E9" s="423" t="str">
        <f>IFERROR(VLOOKUP(B9,пр.взв!$B$7:$H$14,4,0),"")</f>
        <v>СКФО</v>
      </c>
      <c r="F9" s="423" t="str">
        <f>IFERROR(VLOOKUP(B9,пр.взв!$B$7:$H$14,5,0),"")</f>
        <v>Ставропольский, Ставрополь</v>
      </c>
      <c r="G9" s="441"/>
      <c r="H9" s="222"/>
      <c r="I9" s="222"/>
    </row>
    <row r="10" spans="1:9" ht="12.6" customHeight="1">
      <c r="A10" s="425"/>
      <c r="B10" s="222"/>
      <c r="C10" s="428"/>
      <c r="D10" s="424"/>
      <c r="E10" s="424"/>
      <c r="F10" s="424"/>
      <c r="G10" s="441"/>
      <c r="H10" s="222"/>
      <c r="I10" s="222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57   кг.</v>
      </c>
    </row>
    <row r="17" spans="1:10">
      <c r="A17" s="222" t="s">
        <v>12</v>
      </c>
      <c r="B17" s="222" t="s">
        <v>4</v>
      </c>
      <c r="C17" s="433" t="s">
        <v>5</v>
      </c>
      <c r="D17" s="222" t="s">
        <v>13</v>
      </c>
      <c r="E17" s="435" t="s">
        <v>14</v>
      </c>
      <c r="F17" s="436"/>
      <c r="G17" s="222" t="s">
        <v>15</v>
      </c>
      <c r="H17" s="222" t="s">
        <v>16</v>
      </c>
      <c r="I17" s="222" t="s">
        <v>17</v>
      </c>
    </row>
    <row r="18" spans="1:10">
      <c r="A18" s="223"/>
      <c r="B18" s="223"/>
      <c r="C18" s="223"/>
      <c r="D18" s="223"/>
      <c r="E18" s="437"/>
      <c r="F18" s="438"/>
      <c r="G18" s="223"/>
      <c r="H18" s="223"/>
      <c r="I18" s="223"/>
    </row>
    <row r="19" spans="1:10" ht="12.75" customHeight="1">
      <c r="A19" s="430"/>
      <c r="B19" s="426">
        <f>пр.хода!R22</f>
        <v>0</v>
      </c>
      <c r="C19" s="427" t="str">
        <f>IFERROR(VLOOKUP(B19,пр.взв!$B$7:$H$14,2,0),"")</f>
        <v/>
      </c>
      <c r="D19" s="423" t="str">
        <f>IFERROR(VLOOKUP(B19,пр.взв!$B$7:$H$14,3,0),"")</f>
        <v/>
      </c>
      <c r="E19" s="431" t="str">
        <f>IFERROR(VLOOKUP(B19,пр.взв!$B$7:$H$14,4,0),"")</f>
        <v/>
      </c>
      <c r="F19" s="423" t="str">
        <f>IFERROR(VLOOKUP(B19,пр.взв!$B$7:$H$14,5,0),"")</f>
        <v/>
      </c>
      <c r="G19" s="333"/>
      <c r="H19" s="314"/>
      <c r="I19" s="222"/>
    </row>
    <row r="20" spans="1:10" ht="12.6" customHeight="1">
      <c r="A20" s="430"/>
      <c r="B20" s="222"/>
      <c r="C20" s="428"/>
      <c r="D20" s="424"/>
      <c r="E20" s="432"/>
      <c r="F20" s="429"/>
      <c r="G20" s="333"/>
      <c r="H20" s="314"/>
      <c r="I20" s="222"/>
    </row>
    <row r="21" spans="1:10" ht="12.75" customHeight="1">
      <c r="A21" s="425"/>
      <c r="B21" s="434">
        <f>пр.хода!S27</f>
        <v>2</v>
      </c>
      <c r="C21" s="427" t="str">
        <f>IFERROR(VLOOKUP(B21,пр.взв!$B$7:$H$14,2,0),"")</f>
        <v>Волощенко Вячеслав Александрович</v>
      </c>
      <c r="D21" s="423" t="str">
        <f>IFERROR(VLOOKUP(B21,пр.взв!$B$7:$H$14,3,0),"")</f>
        <v>04.02.92, кмс</v>
      </c>
      <c r="E21" s="423" t="str">
        <f>IFERROR(VLOOKUP(B21,пр.взв!$B$7:$H$14,4,0),"")</f>
        <v>СЗФО</v>
      </c>
      <c r="F21" s="423" t="str">
        <f>IFERROR(VLOOKUP(B21,пр.взв!$B$7:$H$14,5,0),"")</f>
        <v>Р.Карелия, Петрозаводск</v>
      </c>
      <c r="G21" s="333"/>
      <c r="H21" s="222"/>
      <c r="I21" s="222"/>
    </row>
    <row r="22" spans="1:10" ht="12.6" customHeight="1">
      <c r="A22" s="425"/>
      <c r="B22" s="222"/>
      <c r="C22" s="428"/>
      <c r="D22" s="424"/>
      <c r="E22" s="424"/>
      <c r="F22" s="424"/>
      <c r="G22" s="333"/>
      <c r="H22" s="222"/>
      <c r="I22" s="222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57   кг.</v>
      </c>
    </row>
    <row r="30" spans="1:10">
      <c r="A30" s="222" t="s">
        <v>12</v>
      </c>
      <c r="B30" s="222" t="s">
        <v>4</v>
      </c>
      <c r="C30" s="433" t="s">
        <v>5</v>
      </c>
      <c r="D30" s="222" t="s">
        <v>13</v>
      </c>
      <c r="E30" s="435" t="s">
        <v>14</v>
      </c>
      <c r="F30" s="436"/>
      <c r="G30" s="222" t="s">
        <v>15</v>
      </c>
      <c r="H30" s="222" t="s">
        <v>16</v>
      </c>
      <c r="I30" s="222" t="s">
        <v>17</v>
      </c>
    </row>
    <row r="31" spans="1:10">
      <c r="A31" s="223"/>
      <c r="B31" s="223"/>
      <c r="C31" s="223"/>
      <c r="D31" s="223"/>
      <c r="E31" s="439"/>
      <c r="F31" s="440"/>
      <c r="G31" s="223"/>
      <c r="H31" s="223"/>
      <c r="I31" s="223"/>
    </row>
    <row r="32" spans="1:10" ht="12.75" customHeight="1">
      <c r="A32" s="430"/>
      <c r="B32" s="426">
        <f>пр.хода!G11</f>
        <v>1</v>
      </c>
      <c r="C32" s="427" t="str">
        <f>IFERROR(VLOOKUP(B32,пр.взв!$B$7:$H$14,2,0),"")</f>
        <v>Хамидов Умеджон</v>
      </c>
      <c r="D32" s="423" t="str">
        <f>IFERROR(VLOOKUP(B32,пр.взв!$B$7:$H$14,3,0),"")</f>
        <v>08.12.97, кмс</v>
      </c>
      <c r="E32" s="431" t="str">
        <f>IFERROR(VLOOKUP(B32,пр.взв!$B$7:$H$14,4,0),"")</f>
        <v>СЗФО</v>
      </c>
      <c r="F32" s="423" t="str">
        <f>IFERROR(VLOOKUP(B32,пр.взв!$B$7:$H$14,5,0),"")</f>
        <v>Р.Карелия, Петрозаводск</v>
      </c>
      <c r="G32" s="333"/>
      <c r="H32" s="314"/>
      <c r="I32" s="222"/>
    </row>
    <row r="33" spans="1:9" ht="12.6" customHeight="1">
      <c r="A33" s="430"/>
      <c r="B33" s="222"/>
      <c r="C33" s="428"/>
      <c r="D33" s="424"/>
      <c r="E33" s="432"/>
      <c r="F33" s="429"/>
      <c r="G33" s="333"/>
      <c r="H33" s="314"/>
      <c r="I33" s="222"/>
    </row>
    <row r="34" spans="1:9" ht="12.75" customHeight="1">
      <c r="A34" s="425"/>
      <c r="B34" s="426">
        <f>пр.хода!O11</f>
        <v>4</v>
      </c>
      <c r="C34" s="427" t="str">
        <f>IFERROR(VLOOKUP(B34,пр.взв!$B$7:$H$14,2,0),"")</f>
        <v>Вологдин Марк Сергеевич</v>
      </c>
      <c r="D34" s="423" t="str">
        <f>IFERROR(VLOOKUP(B34,пр.взв!$B$7:$H$14,3,0),"")</f>
        <v>18.04.00, кмс</v>
      </c>
      <c r="E34" s="423" t="str">
        <f>IFERROR(VLOOKUP(B34,пр.взв!$B$7:$H$14,4,0),"")</f>
        <v>СЗФО</v>
      </c>
      <c r="F34" s="423" t="str">
        <f>IFERROR(VLOOKUP(B34,пр.взв!$B$7:$H$14,5,0),"")</f>
        <v>Р.Карелия, Петрозаводск</v>
      </c>
      <c r="G34" s="333"/>
      <c r="H34" s="222"/>
      <c r="I34" s="222"/>
    </row>
    <row r="35" spans="1:9" ht="12.6" customHeight="1">
      <c r="A35" s="425"/>
      <c r="B35" s="222"/>
      <c r="C35" s="428"/>
      <c r="D35" s="424"/>
      <c r="E35" s="424"/>
      <c r="F35" s="424"/>
      <c r="G35" s="333"/>
      <c r="H35" s="222"/>
      <c r="I35" s="222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6" workbookViewId="0">
      <selection sqref="A1:H39"/>
    </sheetView>
  </sheetViews>
  <sheetFormatPr defaultRowHeight="12.75"/>
  <cols>
    <col min="8" max="8" width="24.140625" customWidth="1"/>
  </cols>
  <sheetData>
    <row r="1" spans="1:10" ht="38.25" customHeight="1" thickBot="1">
      <c r="A1" s="442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43"/>
      <c r="C1" s="443"/>
      <c r="D1" s="443"/>
      <c r="E1" s="443"/>
      <c r="F1" s="443"/>
      <c r="G1" s="443"/>
      <c r="H1" s="444"/>
    </row>
    <row r="2" spans="1:10">
      <c r="A2" s="445" t="str">
        <f>[1]реквизиты!$A$3</f>
        <v>12-14  октября 2018г.                                              г.Лахденпохья</v>
      </c>
      <c r="B2" s="445"/>
      <c r="C2" s="445"/>
      <c r="D2" s="445"/>
      <c r="E2" s="445"/>
      <c r="F2" s="445"/>
      <c r="G2" s="445"/>
      <c r="H2" s="445"/>
    </row>
    <row r="3" spans="1:10" ht="18.75" thickBot="1">
      <c r="A3" s="446" t="s">
        <v>45</v>
      </c>
      <c r="B3" s="446"/>
      <c r="C3" s="446"/>
      <c r="D3" s="446"/>
      <c r="E3" s="446"/>
      <c r="F3" s="446"/>
      <c r="G3" s="446"/>
      <c r="H3" s="446"/>
    </row>
    <row r="4" spans="1:10" ht="18.75" thickBot="1">
      <c r="B4" s="74"/>
      <c r="C4" s="75"/>
      <c r="D4" s="447" t="str">
        <f>пр.взв!D4</f>
        <v>В.к. 57   кг.</v>
      </c>
      <c r="E4" s="448"/>
      <c r="F4" s="449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50" t="s">
        <v>46</v>
      </c>
      <c r="B6" s="453" t="str">
        <f>IFERROR(VLOOKUP(J6,пр.взв!$B$7:$H$14,2,0),"")</f>
        <v>Хамидов Умеджон</v>
      </c>
      <c r="C6" s="453"/>
      <c r="D6" s="453"/>
      <c r="E6" s="453"/>
      <c r="F6" s="453"/>
      <c r="G6" s="453"/>
      <c r="H6" s="455" t="str">
        <f>IFERROR(VLOOKUP(J6,пр.взв!$B$7:$H$14,3,0),"")</f>
        <v>08.12.97, кмс</v>
      </c>
      <c r="I6" s="75"/>
      <c r="J6" s="76">
        <f>Ит.пр!B6</f>
        <v>1</v>
      </c>
    </row>
    <row r="7" spans="1:10" ht="18">
      <c r="A7" s="451"/>
      <c r="B7" s="454"/>
      <c r="C7" s="454"/>
      <c r="D7" s="454"/>
      <c r="E7" s="454"/>
      <c r="F7" s="454"/>
      <c r="G7" s="454"/>
      <c r="H7" s="456"/>
      <c r="I7" s="75"/>
      <c r="J7" s="76"/>
    </row>
    <row r="8" spans="1:10" ht="18">
      <c r="A8" s="451"/>
      <c r="B8" s="457" t="str">
        <f>IFERROR(VLOOKUP(J6,пр.взв!$B$7:$H$14,4,0),"")</f>
        <v>СЗФО</v>
      </c>
      <c r="C8" s="457"/>
      <c r="D8" s="457"/>
      <c r="E8" s="457" t="str">
        <f>IFERROR(VLOOKUP(J6,пр.взв!$B$7:$H$14,5,0),"")</f>
        <v>Р.Карелия, Петрозаводск</v>
      </c>
      <c r="F8" s="457"/>
      <c r="G8" s="457"/>
      <c r="H8" s="459"/>
      <c r="I8" s="75"/>
      <c r="J8" s="76"/>
    </row>
    <row r="9" spans="1:10" ht="18.75" thickBot="1">
      <c r="A9" s="452"/>
      <c r="B9" s="458"/>
      <c r="C9" s="458"/>
      <c r="D9" s="458"/>
      <c r="E9" s="458"/>
      <c r="F9" s="458"/>
      <c r="G9" s="458"/>
      <c r="H9" s="460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65" t="s">
        <v>47</v>
      </c>
      <c r="B11" s="453" t="str">
        <f>IFERROR(VLOOKUP(J11,пр.взв!$B$7:$H$14,2,0),"")</f>
        <v>Вологдин Марк Сергеевич</v>
      </c>
      <c r="C11" s="453"/>
      <c r="D11" s="453"/>
      <c r="E11" s="453"/>
      <c r="F11" s="453"/>
      <c r="G11" s="453"/>
      <c r="H11" s="455" t="str">
        <f>IFERROR(VLOOKUP(J11,пр.взв!$B$7:$H$14,3,0),"")</f>
        <v>18.04.00, кмс</v>
      </c>
      <c r="I11" s="75"/>
      <c r="J11" s="76">
        <f>Ит.пр!B8</f>
        <v>4</v>
      </c>
    </row>
    <row r="12" spans="1:10" ht="18" customHeight="1">
      <c r="A12" s="466"/>
      <c r="B12" s="454"/>
      <c r="C12" s="454"/>
      <c r="D12" s="454"/>
      <c r="E12" s="454"/>
      <c r="F12" s="454"/>
      <c r="G12" s="454"/>
      <c r="H12" s="456"/>
      <c r="I12" s="75"/>
      <c r="J12" s="76"/>
    </row>
    <row r="13" spans="1:10" ht="18">
      <c r="A13" s="466"/>
      <c r="B13" s="457" t="str">
        <f>IFERROR(VLOOKUP(J11,пр.взв!$B$7:$H$14,4,0),"")</f>
        <v>СЗФО</v>
      </c>
      <c r="C13" s="457"/>
      <c r="D13" s="457"/>
      <c r="E13" s="457" t="str">
        <f>IFERROR(VLOOKUP(J11,пр.взв!$B$7:$H$14,5,0),"")</f>
        <v>Р.Карелия, Петрозаводск</v>
      </c>
      <c r="F13" s="457"/>
      <c r="G13" s="457"/>
      <c r="H13" s="459"/>
      <c r="I13" s="75"/>
      <c r="J13" s="76"/>
    </row>
    <row r="14" spans="1:10" ht="18.75" thickBot="1">
      <c r="A14" s="467"/>
      <c r="B14" s="458"/>
      <c r="C14" s="458"/>
      <c r="D14" s="458"/>
      <c r="E14" s="458"/>
      <c r="F14" s="458"/>
      <c r="G14" s="458"/>
      <c r="H14" s="460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68" t="s">
        <v>48</v>
      </c>
      <c r="B16" s="453" t="str">
        <f>IFERROR(VLOOKUP(J16,пр.взв!$B$7:$H$14,2,0),"")</f>
        <v>Кысса Владислав Григорьевич</v>
      </c>
      <c r="C16" s="453"/>
      <c r="D16" s="453"/>
      <c r="E16" s="453"/>
      <c r="F16" s="453"/>
      <c r="G16" s="453"/>
      <c r="H16" s="455" t="str">
        <f>IFERROR(VLOOKUP(J16,пр.взв!$B$7:$H$14,3,0),"")</f>
        <v>01.07.98, мс</v>
      </c>
      <c r="I16" s="75"/>
      <c r="J16" s="76">
        <f>Ит.пр!B10</f>
        <v>5</v>
      </c>
    </row>
    <row r="17" spans="1:10" ht="18" customHeight="1">
      <c r="A17" s="469"/>
      <c r="B17" s="454"/>
      <c r="C17" s="454"/>
      <c r="D17" s="454"/>
      <c r="E17" s="454"/>
      <c r="F17" s="454"/>
      <c r="G17" s="454"/>
      <c r="H17" s="456"/>
      <c r="I17" s="75"/>
      <c r="J17" s="76"/>
    </row>
    <row r="18" spans="1:10" ht="18">
      <c r="A18" s="469"/>
      <c r="B18" s="457" t="str">
        <f>IFERROR(VLOOKUP(J16,пр.взв!$B$7:$H$14,4,0),"")</f>
        <v>СП</v>
      </c>
      <c r="C18" s="457"/>
      <c r="D18" s="457"/>
      <c r="E18" s="457" t="str">
        <f>IFERROR(VLOOKUP(J16,пр.взв!$B$7:$H$14,5,0),"")</f>
        <v>Санкт-Петербург</v>
      </c>
      <c r="F18" s="457"/>
      <c r="G18" s="457"/>
      <c r="H18" s="459"/>
      <c r="I18" s="75"/>
      <c r="J18" s="76"/>
    </row>
    <row r="19" spans="1:10" ht="18.75" thickBot="1">
      <c r="A19" s="470"/>
      <c r="B19" s="458"/>
      <c r="C19" s="458"/>
      <c r="D19" s="458"/>
      <c r="E19" s="458"/>
      <c r="F19" s="458"/>
      <c r="G19" s="458"/>
      <c r="H19" s="460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68" t="s">
        <v>48</v>
      </c>
      <c r="B21" s="453" t="str">
        <f>IFERROR(VLOOKUP(J21,пр.взв!$B$7:$H$14,2,0),"")</f>
        <v>Волощенко Вячеслав Александрович</v>
      </c>
      <c r="C21" s="453"/>
      <c r="D21" s="453"/>
      <c r="E21" s="453"/>
      <c r="F21" s="453"/>
      <c r="G21" s="453"/>
      <c r="H21" s="455" t="str">
        <f>IFERROR(VLOOKUP(J21,пр.взв!$B$7:$H$14,3,0),"")</f>
        <v>04.02.92, кмс</v>
      </c>
      <c r="I21" s="75"/>
      <c r="J21" s="76">
        <f>Ит.пр!B12</f>
        <v>2</v>
      </c>
    </row>
    <row r="22" spans="1:10" ht="18" customHeight="1">
      <c r="A22" s="469"/>
      <c r="B22" s="454"/>
      <c r="C22" s="454"/>
      <c r="D22" s="454"/>
      <c r="E22" s="454"/>
      <c r="F22" s="454"/>
      <c r="G22" s="454"/>
      <c r="H22" s="456"/>
      <c r="I22" s="75"/>
      <c r="J22" s="76"/>
    </row>
    <row r="23" spans="1:10" ht="18">
      <c r="A23" s="469"/>
      <c r="B23" s="457" t="str">
        <f>IFERROR(VLOOKUP(J21,пр.взв!$B$7:$H$14,4,0),"")</f>
        <v>СЗФО</v>
      </c>
      <c r="C23" s="457"/>
      <c r="D23" s="457"/>
      <c r="E23" s="457" t="str">
        <f>IFERROR(VLOOKUP(J21,пр.взв!$B$7:$H$14,5,0),"")</f>
        <v>Р.Карелия, Петрозаводск</v>
      </c>
      <c r="F23" s="457"/>
      <c r="G23" s="457"/>
      <c r="H23" s="459"/>
      <c r="I23" s="75"/>
    </row>
    <row r="24" spans="1:10" ht="18.75" thickBot="1">
      <c r="A24" s="470"/>
      <c r="B24" s="458"/>
      <c r="C24" s="458"/>
      <c r="D24" s="458"/>
      <c r="E24" s="458"/>
      <c r="F24" s="458"/>
      <c r="G24" s="458"/>
      <c r="H24" s="460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61" t="str">
        <f>IFERROR(VLOOKUP(J28,пр.взв!$B$7:$H$14,7,0),"")</f>
        <v>Шегельман РИ</v>
      </c>
      <c r="B28" s="462"/>
      <c r="C28" s="462"/>
      <c r="D28" s="462"/>
      <c r="E28" s="462"/>
      <c r="F28" s="462"/>
      <c r="G28" s="462"/>
      <c r="H28" s="463"/>
      <c r="J28">
        <f>J6</f>
        <v>1</v>
      </c>
    </row>
    <row r="29" spans="1:10" ht="13.5" thickBot="1">
      <c r="A29" s="464"/>
      <c r="B29" s="458"/>
      <c r="C29" s="458"/>
      <c r="D29" s="458"/>
      <c r="E29" s="458"/>
      <c r="F29" s="458"/>
      <c r="G29" s="458"/>
      <c r="H29" s="460"/>
    </row>
    <row r="31" spans="1:10" hidden="1"/>
    <row r="32" spans="1:10" hidden="1"/>
    <row r="33" spans="1:8" hidden="1"/>
    <row r="34" spans="1:8" hidden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55118110236220474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M18" sqref="M18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71" t="s">
        <v>22</v>
      </c>
      <c r="D1" s="472"/>
      <c r="E1" s="472"/>
      <c r="F1" s="472"/>
      <c r="G1" s="472"/>
      <c r="H1" s="472"/>
      <c r="I1" s="472"/>
      <c r="J1" s="473"/>
    </row>
    <row r="2" spans="1:36" ht="26.25" customHeight="1" thickBot="1">
      <c r="A2" s="5"/>
      <c r="B2" s="5"/>
      <c r="C2" s="476" t="str">
        <f>пр.хода!C3</f>
        <v>Всероссийские соревнования по самбо, XIV Всероссийский турнир по боевому самбо памяти генерал-лейтенанта ФСБ России Чуйкина В.М.</v>
      </c>
      <c r="D2" s="477"/>
      <c r="E2" s="477"/>
      <c r="F2" s="477"/>
      <c r="G2" s="477"/>
      <c r="H2" s="477"/>
      <c r="I2" s="477"/>
      <c r="J2" s="478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74" t="str">
        <f>пр.хода!C4</f>
        <v>12-14  октября 2018г.                                              г.Лахденпохья</v>
      </c>
      <c r="C3" s="474"/>
      <c r="D3" s="474"/>
      <c r="E3" s="474"/>
      <c r="F3" s="474"/>
      <c r="G3" s="474"/>
      <c r="H3" s="474"/>
      <c r="I3" s="474"/>
      <c r="J3" s="474"/>
      <c r="K3" s="474"/>
      <c r="L3" s="474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57 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66" t="s">
        <v>0</v>
      </c>
      <c r="B5" s="266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34">
        <v>1</v>
      </c>
      <c r="B6" s="264" t="str">
        <f>VLOOKUP('стартвый '!A6:A7,пр.взв!B6:C14,2,FALSE)</f>
        <v>Хамидов Умеджон</v>
      </c>
      <c r="C6" s="235" t="str">
        <f>VLOOKUP(A6,пр.взв!B6:H14,3,FALSE)</f>
        <v>08.12.97, кмс</v>
      </c>
      <c r="D6" s="235" t="str">
        <f>VLOOKUP(A6,пр.взв!B6:H14,5,FALSE)</f>
        <v>Р.Карелия, Петрозаводск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31"/>
      <c r="B7" s="265"/>
      <c r="C7" s="263"/>
      <c r="D7" s="263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30">
        <v>5</v>
      </c>
      <c r="B8" s="252" t="str">
        <f>VLOOKUP('стартвый '!A8:A9,пр.взв!B8:C14,2,FALSE)</f>
        <v>Кысса Владислав Григорьевич</v>
      </c>
      <c r="C8" s="248" t="str">
        <f>VLOOKUP(A8,пр.взв!B6:H14,3,FALSE)</f>
        <v>01.07.98, мс</v>
      </c>
      <c r="D8" s="248" t="str">
        <f>VLOOKUP(A8,пр.взв!B6:H14,5,FALSE)</f>
        <v>Санкт-Петербург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31"/>
      <c r="B9" s="265"/>
      <c r="C9" s="263"/>
      <c r="D9" s="263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34">
        <v>3</v>
      </c>
      <c r="B10" s="264" t="e">
        <f>VLOOKUP('стартвый '!A10:A11,пр.взв!B10:C14,2,FALSE)</f>
        <v>#N/A</v>
      </c>
      <c r="C10" s="235" t="str">
        <f>VLOOKUP(A10,пр.взв!B6:H14,3,FALSE)</f>
        <v>19.11.94, мс</v>
      </c>
      <c r="D10" s="235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31"/>
      <c r="B11" s="265"/>
      <c r="C11" s="263"/>
      <c r="D11" s="263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30">
        <v>7</v>
      </c>
      <c r="B12" s="252" t="e">
        <f>VLOOKUP('стартвый '!A12:A13,пр.взв!B12:C14,2,FALSE)</f>
        <v>#N/A</v>
      </c>
      <c r="C12" s="248" t="e">
        <f>VLOOKUP(A12,пр.взв!B6:H14,3,FALSE)</f>
        <v>#N/A</v>
      </c>
      <c r="D12" s="248" t="e">
        <f>VLOOKUP(A12,пр.взв!B10:H14,5,FALSE)</f>
        <v>#N/A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54"/>
      <c r="B13" s="475"/>
      <c r="C13" s="236"/>
      <c r="D13" s="236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66" t="s">
        <v>1</v>
      </c>
      <c r="B16" s="266"/>
      <c r="E16" s="17"/>
      <c r="F16" s="17"/>
      <c r="G16" s="17"/>
      <c r="H16" s="17"/>
      <c r="I16" s="39"/>
      <c r="J16" s="3"/>
    </row>
    <row r="17" spans="1:12" ht="13.5" thickBot="1">
      <c r="A17" s="234">
        <v>2</v>
      </c>
      <c r="B17" s="264" t="str">
        <f>VLOOKUP(A17,пр.взв!B7:H14,2,FALSE)</f>
        <v>Волощенко Вячеслав Александрович</v>
      </c>
      <c r="C17" s="235" t="str">
        <f>VLOOKUP(A17,пр.взв!B7:H14,3,FALSE)</f>
        <v>04.02.92, кмс</v>
      </c>
      <c r="D17" s="235" t="str">
        <f>VLOOKUP(A17,пр.взв!B7:H14,5,FALSE)</f>
        <v>Р.Карелия, Петрозаводск</v>
      </c>
      <c r="E17" s="17"/>
      <c r="F17" s="17"/>
      <c r="G17" s="17"/>
      <c r="H17" s="17"/>
      <c r="I17" s="32"/>
      <c r="J17" s="3"/>
    </row>
    <row r="18" spans="1:12">
      <c r="A18" s="231"/>
      <c r="B18" s="265"/>
      <c r="C18" s="263"/>
      <c r="D18" s="263"/>
      <c r="E18" s="19"/>
      <c r="F18" s="17"/>
      <c r="G18" s="24"/>
      <c r="H18" s="21"/>
      <c r="I18" s="32"/>
      <c r="J18" s="3"/>
    </row>
    <row r="19" spans="1:12" ht="13.5" thickBot="1">
      <c r="A19" s="230">
        <v>6</v>
      </c>
      <c r="B19" s="252" t="e">
        <f>VLOOKUP('стартвый '!A19:A20,пр.взв!B7:H14,2,FALSE)</f>
        <v>#N/A</v>
      </c>
      <c r="C19" s="248" t="e">
        <f>VLOOKUP(A19,пр.взв!B7:H14,3,FALSE)</f>
        <v>#N/A</v>
      </c>
      <c r="D19" s="248" t="e">
        <f>VLOOKUP(A19,пр.взв!B7:H14,5,FALSE)</f>
        <v>#N/A</v>
      </c>
      <c r="E19" s="18"/>
      <c r="F19" s="20"/>
      <c r="G19" s="23"/>
      <c r="H19" s="21"/>
      <c r="I19" s="32"/>
      <c r="J19" s="3"/>
    </row>
    <row r="20" spans="1:12" ht="13.5" thickBot="1">
      <c r="A20" s="231"/>
      <c r="B20" s="265"/>
      <c r="C20" s="263"/>
      <c r="D20" s="263"/>
      <c r="E20" s="17"/>
      <c r="F20" s="21"/>
      <c r="G20" s="19"/>
      <c r="H20" s="25"/>
      <c r="I20" s="32"/>
      <c r="J20" s="3"/>
    </row>
    <row r="21" spans="1:12" ht="13.5" thickBot="1">
      <c r="A21" s="234">
        <v>4</v>
      </c>
      <c r="B21" s="264" t="str">
        <f>VLOOKUP('стартвый '!A21:A22,пр.взв!B7:H14,2,FALSE)</f>
        <v>Вологдин Марк Сергеевич</v>
      </c>
      <c r="C21" s="235" t="str">
        <f>VLOOKUP(A21,пр.взв!B7:H14,3,FALSE)</f>
        <v>18.04.00, кмс</v>
      </c>
      <c r="D21" s="235" t="e">
        <f>VLOOKUP(A21,пр.взв!B11:H14,5,FALSE)</f>
        <v>#N/A</v>
      </c>
      <c r="E21" s="17"/>
      <c r="F21" s="21"/>
      <c r="G21" s="18"/>
      <c r="H21" s="3"/>
    </row>
    <row r="22" spans="1:12">
      <c r="A22" s="231"/>
      <c r="B22" s="265"/>
      <c r="C22" s="263"/>
      <c r="D22" s="263"/>
      <c r="E22" s="19"/>
      <c r="F22" s="22"/>
      <c r="G22" s="23"/>
      <c r="H22" s="21"/>
    </row>
    <row r="23" spans="1:12" ht="13.5" thickBot="1">
      <c r="A23" s="230">
        <v>8</v>
      </c>
      <c r="B23" s="252" t="e">
        <f>VLOOKUP('стартвый '!A23:A24,пр.взв!B7:H14,2,FALSE)</f>
        <v>#N/A</v>
      </c>
      <c r="C23" s="248" t="e">
        <f>VLOOKUP(A23,пр.взв!B7:H14,3,FALSE)</f>
        <v>#N/A</v>
      </c>
      <c r="D23" s="248" t="e">
        <f>VLOOKUP(A23,пр.взв!B11:H14,5,FALSE)</f>
        <v>#N/A</v>
      </c>
      <c r="E23" s="18"/>
      <c r="F23" s="17"/>
      <c r="G23" s="24"/>
      <c r="H23" s="21"/>
    </row>
    <row r="24" spans="1:12" ht="13.5" thickBot="1">
      <c r="A24" s="254"/>
      <c r="B24" s="475"/>
      <c r="C24" s="236"/>
      <c r="D24" s="236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А.В.Лоптунов</v>
      </c>
      <c r="J38" s="3"/>
      <c r="K38" s="14" t="str">
        <f>пр.хода!R31</f>
        <v>/Кандалакша/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А.С.Тимошин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2018-10-13T11:15:01Z</cp:lastPrinted>
  <dcterms:created xsi:type="dcterms:W3CDTF">1996-10-08T23:32:33Z</dcterms:created>
  <dcterms:modified xsi:type="dcterms:W3CDTF">2019-04-30T13:52:20Z</dcterms:modified>
</cp:coreProperties>
</file>