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ГРАНД-ПРИ СПБ ЖЕНЩИНЫ\"/>
    </mc:Choice>
  </mc:AlternateContent>
  <xr:revisionPtr revIDLastSave="0" documentId="13_ncr:1_{72CD44B7-4E46-46A2-852C-CCBDCBAD00B2}" xr6:coauthVersionLast="40" xr6:coauthVersionMax="40" xr10:uidLastSave="{00000000-0000-0000-0000-000000000000}"/>
  <bookViews>
    <workbookView xWindow="1220" yWindow="-230" windowWidth="9720" windowHeight="7320" xr2:uid="{00000000-000D-0000-FFFF-FFFF00000000}"/>
  </bookViews>
  <sheets>
    <sheet name="пр.взв" sheetId="2" r:id="rId1"/>
    <sheet name="пр.хода" sheetId="3" r:id="rId2"/>
    <sheet name="круги" sheetId="7" state="hidden" r:id="rId3"/>
    <sheet name="Ит.пр" sheetId="1" r:id="rId4"/>
    <sheet name="полуфинал" sheetId="5" r:id="rId5"/>
    <sheet name="нагр. лист" sheetId="9" r:id="rId6"/>
    <sheet name="стартвый " sheetId="4" state="hidden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91029"/>
</workbook>
</file>

<file path=xl/calcChain.xml><?xml version="1.0" encoding="utf-8"?>
<calcChain xmlns="http://schemas.openxmlformats.org/spreadsheetml/2006/main">
  <c r="B34" i="5" l="1"/>
  <c r="D32" i="5"/>
  <c r="F32" i="5"/>
  <c r="E32" i="5"/>
  <c r="C32" i="5"/>
  <c r="F21" i="5"/>
  <c r="E21" i="5"/>
  <c r="D21" i="5"/>
  <c r="C21" i="5"/>
  <c r="F19" i="5"/>
  <c r="E19" i="5"/>
  <c r="D19" i="5"/>
  <c r="C19" i="5"/>
  <c r="H25" i="1"/>
  <c r="H24" i="1"/>
  <c r="H22" i="1"/>
  <c r="H21" i="1"/>
  <c r="B9" i="1"/>
  <c r="L21" i="3"/>
  <c r="E21" i="3"/>
  <c r="G25" i="1"/>
  <c r="G24" i="1"/>
  <c r="G22" i="1"/>
  <c r="G21" i="1"/>
  <c r="C3" i="3"/>
  <c r="L2" i="7" l="1"/>
  <c r="E2" i="7"/>
  <c r="E14" i="7" s="1"/>
  <c r="E22" i="7" s="1"/>
  <c r="O2" i="7" l="1"/>
  <c r="O14" i="7" s="1"/>
  <c r="O22" i="7" s="1"/>
  <c r="A21" i="1"/>
  <c r="B29" i="3"/>
  <c r="A2" i="9" l="1"/>
  <c r="A1" i="9"/>
  <c r="B3" i="1"/>
  <c r="D2" i="1"/>
  <c r="C4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21" i="3" l="1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T12" i="3" l="1"/>
  <c r="S12" i="3"/>
  <c r="R12" i="3"/>
  <c r="T8" i="3"/>
  <c r="S8" i="3"/>
  <c r="R8" i="3"/>
  <c r="I9" i="3"/>
  <c r="D12" i="3"/>
  <c r="C12" i="3"/>
  <c r="B12" i="3"/>
  <c r="D8" i="3"/>
  <c r="C8" i="3"/>
  <c r="B8" i="3"/>
  <c r="D4" i="9" l="1"/>
  <c r="I40" i="4"/>
  <c r="I38" i="4"/>
  <c r="K38" i="4"/>
  <c r="T12" i="1"/>
  <c r="I14" i="3"/>
  <c r="Y20" i="3"/>
  <c r="U19" i="3" s="1"/>
  <c r="Y19" i="3"/>
  <c r="A19" i="3" s="1"/>
  <c r="Y18" i="3"/>
  <c r="D23" i="4"/>
  <c r="D21" i="4"/>
  <c r="D19" i="4"/>
  <c r="D17" i="4"/>
  <c r="D12" i="4"/>
  <c r="D10" i="4"/>
  <c r="D8" i="4"/>
  <c r="D6" i="4"/>
  <c r="B38" i="4"/>
  <c r="B40" i="4"/>
  <c r="A24" i="1"/>
  <c r="G3" i="1"/>
  <c r="J21" i="9"/>
  <c r="C2" i="4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2" i="5"/>
  <c r="F4" i="4"/>
  <c r="H5" i="3"/>
  <c r="B10" i="1" l="1"/>
  <c r="Z18" i="3"/>
  <c r="B11" i="1" s="1"/>
  <c r="D11" i="1" s="1"/>
  <c r="J6" i="9"/>
  <c r="C6" i="1"/>
  <c r="B19" i="3"/>
  <c r="Z19" i="3"/>
  <c r="B12" i="1" s="1"/>
  <c r="C12" i="1" s="1"/>
  <c r="S19" i="3"/>
  <c r="Z20" i="3"/>
  <c r="B13" i="1" s="1"/>
  <c r="C20" i="7"/>
  <c r="E20" i="7"/>
  <c r="D20" i="7"/>
  <c r="F20" i="7"/>
  <c r="C34" i="5"/>
  <c r="F34" i="5"/>
  <c r="E34" i="5"/>
  <c r="D34" i="5"/>
  <c r="G6" i="1"/>
  <c r="F6" i="1"/>
  <c r="J4" i="1" s="1"/>
  <c r="E6" i="1"/>
  <c r="H6" i="1"/>
  <c r="D6" i="1"/>
  <c r="B6" i="9"/>
  <c r="E8" i="9"/>
  <c r="H6" i="9"/>
  <c r="B8" i="9"/>
  <c r="M20" i="7"/>
  <c r="O20" i="7"/>
  <c r="N20" i="7"/>
  <c r="P20" i="7"/>
  <c r="A1" i="5"/>
  <c r="F8" i="1"/>
  <c r="J10" i="1" s="1"/>
  <c r="G8" i="1"/>
  <c r="C8" i="1"/>
  <c r="D8" i="1"/>
  <c r="E8" i="1"/>
  <c r="H8" i="1"/>
  <c r="H10" i="1"/>
  <c r="D10" i="1"/>
  <c r="G10" i="1"/>
  <c r="E10" i="1"/>
  <c r="F10" i="1"/>
  <c r="J14" i="1" s="1"/>
  <c r="C10" i="1"/>
  <c r="M18" i="7"/>
  <c r="P18" i="7"/>
  <c r="N18" i="7"/>
  <c r="O18" i="7"/>
  <c r="J28" i="9"/>
  <c r="A28" i="9" s="1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J12" i="1" s="1"/>
  <c r="V1" i="1" s="1"/>
  <c r="G9" i="1"/>
  <c r="C9" i="1"/>
  <c r="H9" i="1"/>
  <c r="D9" i="1"/>
  <c r="B3" i="4"/>
  <c r="B27" i="7"/>
  <c r="J16" i="9"/>
  <c r="L27" i="7"/>
  <c r="B29" i="7"/>
  <c r="F11" i="1" l="1"/>
  <c r="J16" i="1" s="1"/>
  <c r="Q10" i="1" s="1"/>
  <c r="H11" i="1"/>
  <c r="C11" i="1"/>
  <c r="G11" i="1"/>
  <c r="E11" i="1"/>
  <c r="G12" i="1"/>
  <c r="H12" i="1"/>
  <c r="F12" i="1"/>
  <c r="E12" i="1"/>
  <c r="D12" i="1"/>
  <c r="G7" i="1"/>
  <c r="C7" i="1"/>
  <c r="D7" i="1"/>
  <c r="E7" i="1"/>
  <c r="F7" i="1"/>
  <c r="J8" i="1" s="1"/>
  <c r="H7" i="1"/>
  <c r="C9" i="5"/>
  <c r="E9" i="5"/>
  <c r="F9" i="5"/>
  <c r="D9" i="5"/>
  <c r="C29" i="7"/>
  <c r="F29" i="7"/>
  <c r="E29" i="7"/>
  <c r="D29" i="7"/>
  <c r="M27" i="7"/>
  <c r="N27" i="7"/>
  <c r="P27" i="7"/>
  <c r="O27" i="7"/>
  <c r="E13" i="1"/>
  <c r="F13" i="1"/>
  <c r="C13" i="1"/>
  <c r="H13" i="1"/>
  <c r="G13" i="1"/>
  <c r="D13" i="1"/>
  <c r="B16" i="9"/>
  <c r="E18" i="9"/>
  <c r="B18" i="9"/>
  <c r="H16" i="9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6" i="1" l="1"/>
  <c r="Q6" i="1"/>
  <c r="Q15" i="1"/>
  <c r="Q13" i="1"/>
  <c r="Q7" i="1"/>
  <c r="T2" i="1"/>
  <c r="Q17" i="1"/>
  <c r="Q14" i="1"/>
  <c r="Q9" i="1"/>
  <c r="Q8" i="1"/>
  <c r="Q11" i="1"/>
  <c r="Q12" i="1"/>
  <c r="T9" i="1"/>
  <c r="W9" i="1" s="1"/>
  <c r="T10" i="1"/>
  <c r="V10" i="1" s="1"/>
  <c r="B11" i="9"/>
  <c r="E13" i="9"/>
  <c r="B13" i="9"/>
  <c r="H11" i="9"/>
  <c r="W6" i="1"/>
  <c r="U6" i="1"/>
  <c r="V6" i="1"/>
  <c r="X6" i="1"/>
  <c r="Z6" i="1"/>
  <c r="AB6" i="1" s="1"/>
  <c r="AD6" i="1" s="1"/>
  <c r="P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Q18" i="1" l="1"/>
  <c r="U9" i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s="1"/>
  <c r="O5" i="3" s="1"/>
</calcChain>
</file>

<file path=xl/sharedStrings.xml><?xml version="1.0" encoding="utf-8"?>
<sst xmlns="http://schemas.openxmlformats.org/spreadsheetml/2006/main" count="240" uniqueCount="111">
  <si>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</si>
  <si>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</si>
  <si>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</si>
  <si>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</si>
  <si>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</si>
  <si>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</si>
  <si>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</si>
  <si>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</si>
  <si>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</si>
  <si>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</si>
  <si>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</si>
  <si>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</si>
  <si>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</si>
  <si>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</si>
  <si>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</si>
  <si>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</si>
  <si>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</si>
  <si>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</si>
  <si>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</si>
  <si>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</si>
  <si>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</si>
  <si>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 xml:space="preserve">ПРОТОКОЛ ХОДА СОРЕВНОВАНИЙ       </t>
  </si>
  <si>
    <t>ВСЕРОССИЙСКАЯ ФЕДЕРАЦИЯ САМБО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</si>
  <si>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</si>
  <si>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</si>
  <si>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</si>
  <si>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</si>
  <si>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</si>
  <si>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</si>
  <si>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</si>
  <si>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</si>
  <si>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</si>
  <si>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</si>
  <si>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</si>
  <si>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</si>
  <si>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</si>
  <si>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</si>
  <si>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</si>
  <si>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</si>
  <si>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</si>
  <si>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</si>
  <si>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</si>
  <si>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</si>
  <si>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</si>
  <si>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</si>
  <si>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</si>
  <si>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</si>
  <si>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</si>
  <si>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</si>
  <si>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</si>
  <si>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</si>
  <si>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</si>
  <si>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</si>
  <si>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</si>
  <si>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</si>
  <si>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</si>
  <si>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</si>
  <si>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</si>
  <si>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</si>
  <si>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</si>
  <si>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</si>
  <si>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</si>
  <si>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</si>
  <si>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</si>
  <si>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</si>
  <si>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</si>
  <si>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</si>
  <si>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</si>
  <si>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</si>
  <si>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</si>
  <si>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</si>
  <si>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</si>
  <si>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</si>
  <si>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</si>
  <si>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>/Г-Алтайск/</t>
  </si>
  <si>
    <t xml:space="preserve">ПРОТОКОЛ ВЗВЕШИВАНИЯ </t>
  </si>
  <si>
    <t>№ п/п</t>
  </si>
  <si>
    <t>ковер</t>
  </si>
  <si>
    <t>Гл. судья, судья ВК</t>
  </si>
  <si>
    <t xml:space="preserve">ИТОГОВЫЙ ПРОТОКОЛ ЖЕНЩИНЫ                                             </t>
  </si>
  <si>
    <t xml:space="preserve">ПРОТОКОЛ ХОДА СОРЕВНОВАНИЙ ЖЕНЩИНЫ    </t>
  </si>
  <si>
    <t>АМИРЯН Арпине</t>
  </si>
  <si>
    <t>Армения</t>
  </si>
  <si>
    <t>29 - 31 августа 2024 г.                             г.Санкт-Петербург</t>
  </si>
  <si>
    <t>И.Т.Кадыров</t>
  </si>
  <si>
    <t>/Башкортостан /</t>
  </si>
  <si>
    <t>/Сахалинская/</t>
  </si>
  <si>
    <t>участницы</t>
  </si>
  <si>
    <t>Э.В.Задорожный</t>
  </si>
  <si>
    <t>ВСТРЕЧА ПОДГРУППА А</t>
  </si>
  <si>
    <t>ВСТРЕЧА ПОДГРУППА Б</t>
  </si>
  <si>
    <t>В.к. 50  кг.</t>
  </si>
  <si>
    <t>Страна, субъект, город</t>
  </si>
  <si>
    <t xml:space="preserve"> </t>
  </si>
  <si>
    <t xml:space="preserve">Международное соревнование Гран-При по самбо  (ЕКП 2079780016026609) </t>
  </si>
  <si>
    <t>РОССИЯ</t>
  </si>
  <si>
    <t>АРМЕНИЯ</t>
  </si>
  <si>
    <t>ПОЛЫГАЛОВА Ольга Сергеевна</t>
  </si>
  <si>
    <t>28.08.2002, МС</t>
  </si>
  <si>
    <t>Россия, Березники, МО</t>
  </si>
  <si>
    <t>Клинова О.А., Клинов Э.Н.</t>
  </si>
  <si>
    <t>АНИЩЕНКО Софья Андреевна</t>
  </si>
  <si>
    <t>05.11.2006, КМС</t>
  </si>
  <si>
    <t>Санкт-Петербург, ГБУ ДО СШОР "КШВСМ"</t>
  </si>
  <si>
    <t>Бельтюков А.А., Микайлов М.М.</t>
  </si>
  <si>
    <t>11.04.2001, КМС</t>
  </si>
  <si>
    <t>Хочеян О.</t>
  </si>
  <si>
    <t>МУХАМЕТЬЯНОВА Алия Ришатовна</t>
  </si>
  <si>
    <t>02.01.2005, МС</t>
  </si>
  <si>
    <t>Россия, Уфа, ГАУ ДО СШ им.Н.Гастелло Р.Б.</t>
  </si>
  <si>
    <t>Орлов С.П.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</si>
</sst>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46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6"/>
      <name val="Arial Narrow"/>
      <family val="2"/>
      <charset val="204"/>
    </font>
    <font>
      <sz val="12"/>
      <color theme="0"/>
      <name val="Arial"/>
      <family val="2"/>
      <charset val="204"/>
    </font>
    <font>
      <sz val="16"/>
      <name val="CyrillicOld"/>
    </font>
    <font>
      <i/>
      <sz val="10"/>
      <name val="Arial"/>
      <family val="2"/>
      <charset val="204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8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10"/>
      </left>
      <right/>
      <top style="double">
        <color indexed="10"/>
      </top>
      <bottom/>
      <diagonal/>
    </border>
    <border>
      <left/>
      <right/>
      <top style="double">
        <color indexed="10"/>
      </top>
      <bottom/>
      <diagonal/>
    </border>
    <border>
      <left/>
      <right style="double">
        <color indexed="10"/>
      </right>
      <top style="double">
        <color indexed="10"/>
      </top>
      <bottom/>
      <diagonal/>
    </border>
    <border>
      <left style="double">
        <color indexed="10"/>
      </left>
      <right/>
      <top/>
      <bottom style="double">
        <color indexed="10"/>
      </bottom>
      <diagonal/>
    </border>
    <border>
      <left/>
      <right/>
      <top/>
      <bottom style="double">
        <color indexed="10"/>
      </bottom>
      <diagonal/>
    </border>
    <border>
      <left/>
      <right style="double">
        <color indexed="10"/>
      </right>
      <top/>
      <bottom style="double">
        <color indexed="10"/>
      </bottom>
      <diagonal/>
    </border>
    <border>
      <left style="double">
        <color indexed="12"/>
      </left>
      <right/>
      <top style="double">
        <color indexed="12"/>
      </top>
      <bottom/>
      <diagonal/>
    </border>
    <border>
      <left/>
      <right/>
      <top style="double">
        <color indexed="12"/>
      </top>
      <bottom/>
      <diagonal/>
    </border>
    <border>
      <left/>
      <right style="double">
        <color indexed="12"/>
      </right>
      <top style="double">
        <color indexed="12"/>
      </top>
      <bottom/>
      <diagonal/>
    </border>
    <border>
      <left style="double">
        <color indexed="12"/>
      </left>
      <right/>
      <top/>
      <bottom style="double">
        <color indexed="12"/>
      </bottom>
      <diagonal/>
    </border>
    <border>
      <left/>
      <right/>
      <top/>
      <bottom style="double">
        <color indexed="12"/>
      </bottom>
      <diagonal/>
    </border>
    <border>
      <left/>
      <right style="double">
        <color indexed="12"/>
      </right>
      <top/>
      <bottom style="double">
        <color indexed="12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ouble">
        <color auto="1"/>
      </right>
      <top style="double">
        <color indexed="64"/>
      </top>
      <bottom/>
      <diagonal/>
    </border>
    <border>
      <left style="double">
        <color rgb="FF00B050"/>
      </left>
      <right/>
      <top style="double">
        <color rgb="FF00B050"/>
      </top>
      <bottom/>
      <diagonal/>
    </border>
    <border>
      <left/>
      <right/>
      <top style="double">
        <color rgb="FF00B050"/>
      </top>
      <bottom/>
      <diagonal/>
    </border>
    <border>
      <left/>
      <right style="double">
        <color rgb="FF00B050"/>
      </right>
      <top style="double">
        <color rgb="FF00B050"/>
      </top>
      <bottom/>
      <diagonal/>
    </border>
    <border>
      <left style="double">
        <color rgb="FF00B050"/>
      </left>
      <right/>
      <top/>
      <bottom style="double">
        <color rgb="FF00B050"/>
      </bottom>
      <diagonal/>
    </border>
    <border>
      <left/>
      <right/>
      <top/>
      <bottom style="double">
        <color rgb="FF00B050"/>
      </bottom>
      <diagonal/>
    </border>
    <border>
      <left/>
      <right style="double">
        <color rgb="FF00B050"/>
      </right>
      <top/>
      <bottom style="double">
        <color rgb="FF00B050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514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Font="1"/>
    <xf numFmtId="0" fontId="8" fillId="0" borderId="0" xfId="0" applyFont="1" applyBorder="1"/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5" fillId="0" borderId="15" xfId="0" applyFont="1" applyBorder="1" applyAlignment="1" applyProtection="1">
      <alignment horizontal="center"/>
      <protection locked="0" hidden="1"/>
    </xf>
    <xf numFmtId="0" fontId="35" fillId="0" borderId="17" xfId="0" applyFont="1" applyBorder="1" applyAlignment="1">
      <alignment horizontal="left" vertical="center"/>
    </xf>
    <xf numFmtId="0" fontId="35" fillId="0" borderId="21" xfId="0" applyNumberFormat="1" applyFont="1" applyFill="1" applyBorder="1" applyAlignment="1" applyProtection="1">
      <alignment horizontal="center"/>
      <protection locked="0" hidden="1"/>
    </xf>
    <xf numFmtId="0" fontId="35" fillId="7" borderId="21" xfId="0" applyNumberFormat="1" applyFont="1" applyFill="1" applyBorder="1" applyAlignment="1" applyProtection="1">
      <alignment horizontal="center"/>
      <protection locked="0" hidden="1"/>
    </xf>
    <xf numFmtId="0" fontId="35" fillId="0" borderId="16" xfId="0" applyFont="1" applyBorder="1" applyAlignment="1" applyProtection="1">
      <alignment horizontal="center"/>
      <protection locked="0" hidden="1"/>
    </xf>
    <xf numFmtId="0" fontId="35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NumberFormat="1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Border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1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66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6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66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0" xfId="0" applyNumberFormat="1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55" xfId="0" applyNumberFormat="1" applyFont="1" applyBorder="1" applyAlignment="1" applyProtection="1">
      <alignment vertical="center" wrapText="1"/>
      <protection locked="0"/>
    </xf>
    <xf numFmtId="0" fontId="5" fillId="0" borderId="41" xfId="0" applyNumberFormat="1" applyFont="1" applyBorder="1" applyAlignment="1" applyProtection="1">
      <alignment vertical="center" wrapText="1"/>
      <protection locked="0"/>
    </xf>
    <xf numFmtId="0" fontId="5" fillId="0" borderId="51" xfId="0" applyNumberFormat="1" applyFont="1" applyBorder="1" applyAlignment="1" applyProtection="1">
      <alignment vertical="center" wrapText="1"/>
      <protection locked="0"/>
    </xf>
    <xf numFmtId="0" fontId="5" fillId="0" borderId="64" xfId="0" applyNumberFormat="1" applyFont="1" applyBorder="1" applyAlignment="1" applyProtection="1">
      <alignment vertical="center" wrapText="1"/>
      <protection locked="0"/>
    </xf>
    <xf numFmtId="0" fontId="5" fillId="0" borderId="43" xfId="0" applyNumberFormat="1" applyFont="1" applyBorder="1" applyAlignment="1" applyProtection="1">
      <alignment vertical="center" wrapText="1"/>
      <protection locked="0"/>
    </xf>
    <xf numFmtId="0" fontId="5" fillId="0" borderId="65" xfId="0" applyNumberFormat="1" applyFont="1" applyBorder="1" applyAlignment="1" applyProtection="1">
      <alignment vertical="center" wrapText="1"/>
      <protection locked="0"/>
    </xf>
    <xf numFmtId="0" fontId="36" fillId="0" borderId="14" xfId="0" applyFont="1" applyBorder="1" applyAlignment="1" applyProtection="1">
      <alignment vertical="center" wrapText="1"/>
      <protection locked="0"/>
    </xf>
    <xf numFmtId="0" fontId="36" fillId="0" borderId="50" xfId="0" applyFont="1" applyBorder="1" applyAlignment="1" applyProtection="1">
      <alignment vertical="center" wrapText="1"/>
      <protection locked="0"/>
    </xf>
    <xf numFmtId="0" fontId="16" fillId="0" borderId="67" xfId="0" applyFont="1" applyBorder="1" applyAlignment="1" applyProtection="1">
      <alignment vertical="center" wrapText="1"/>
      <protection locked="0"/>
    </xf>
    <xf numFmtId="0" fontId="5" fillId="0" borderId="50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5" fillId="0" borderId="37" xfId="0" applyNumberFormat="1" applyFont="1" applyBorder="1" applyAlignment="1" applyProtection="1">
      <alignment vertical="center" wrapText="1"/>
      <protection locked="0"/>
    </xf>
    <xf numFmtId="0" fontId="5" fillId="0" borderId="38" xfId="0" applyNumberFormat="1" applyFont="1" applyBorder="1" applyAlignment="1" applyProtection="1">
      <alignment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Border="1" applyAlignment="1">
      <alignment vertical="center" wrapText="1"/>
    </xf>
    <xf numFmtId="0" fontId="13" fillId="0" borderId="0" xfId="1" applyFont="1" applyAlignment="1" applyProtection="1"/>
    <xf numFmtId="0" fontId="34" fillId="0" borderId="0" xfId="1" applyFont="1" applyAlignment="1" applyProtection="1"/>
    <xf numFmtId="0" fontId="34" fillId="0" borderId="0" xfId="0" applyFont="1"/>
    <xf numFmtId="0" fontId="34" fillId="0" borderId="0" xfId="0" applyFont="1" applyBorder="1"/>
    <xf numFmtId="0" fontId="34" fillId="0" borderId="1" xfId="0" applyFont="1" applyBorder="1"/>
    <xf numFmtId="0" fontId="13" fillId="0" borderId="1" xfId="1" applyFont="1" applyBorder="1" applyAlignment="1" applyProtection="1"/>
    <xf numFmtId="0" fontId="34" fillId="0" borderId="0" xfId="1" applyFont="1" applyBorder="1" applyAlignment="1" applyProtection="1"/>
    <xf numFmtId="0" fontId="34" fillId="0" borderId="1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left"/>
    </xf>
    <xf numFmtId="0" fontId="34" fillId="0" borderId="0" xfId="0" applyFont="1" applyFill="1" applyBorder="1"/>
    <xf numFmtId="0" fontId="7" fillId="0" borderId="0" xfId="0" applyNumberFormat="1" applyFont="1"/>
    <xf numFmtId="0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Border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/>
    <xf numFmtId="0" fontId="7" fillId="0" borderId="93" xfId="0" applyNumberFormat="1" applyFont="1" applyBorder="1" applyAlignment="1">
      <alignment horizontal="center" vertical="center"/>
    </xf>
    <xf numFmtId="0" fontId="7" fillId="0" borderId="0" xfId="0" applyFont="1" applyAlignment="1"/>
    <xf numFmtId="49" fontId="7" fillId="0" borderId="0" xfId="0" applyNumberFormat="1" applyFont="1"/>
    <xf numFmtId="0" fontId="2" fillId="0" borderId="0" xfId="0" applyFont="1" applyBorder="1" applyAlignment="1"/>
    <xf numFmtId="0" fontId="18" fillId="0" borderId="0" xfId="1" applyFont="1" applyBorder="1" applyAlignment="1" applyProtection="1">
      <alignment horizontal="center" vertical="center" wrapText="1"/>
    </xf>
    <xf numFmtId="0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49" fontId="18" fillId="0" borderId="0" xfId="0" applyNumberFormat="1" applyFont="1" applyBorder="1" applyAlignment="1">
      <alignment horizontal="center"/>
    </xf>
    <xf numFmtId="0" fontId="7" fillId="0" borderId="0" xfId="0" applyFont="1" applyBorder="1" applyAlignment="1"/>
    <xf numFmtId="0" fontId="40" fillId="0" borderId="0" xfId="0" applyFont="1" applyBorder="1"/>
    <xf numFmtId="0" fontId="40" fillId="0" borderId="0" xfId="0" applyFont="1" applyBorder="1" applyAlignment="1">
      <alignment horizontal="left"/>
    </xf>
    <xf numFmtId="0" fontId="2" fillId="0" borderId="0" xfId="0" applyFont="1"/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Alignment="1">
      <alignment horizontal="center"/>
    </xf>
    <xf numFmtId="49" fontId="6" fillId="0" borderId="15" xfId="0" applyNumberFormat="1" applyFont="1" applyBorder="1" applyAlignment="1" applyProtection="1">
      <alignment horizontal="center" vertical="center" wrapText="1"/>
      <protection locked="0"/>
    </xf>
    <xf numFmtId="0" fontId="36" fillId="0" borderId="1" xfId="0" applyFont="1" applyBorder="1" applyAlignment="1" applyProtection="1">
      <alignment vertical="center" wrapText="1"/>
      <protection locked="0"/>
    </xf>
    <xf numFmtId="0" fontId="5" fillId="0" borderId="68" xfId="0" applyNumberFormat="1" applyFont="1" applyBorder="1" applyAlignment="1" applyProtection="1">
      <alignment vertical="center" wrapText="1"/>
      <protection locked="0"/>
    </xf>
    <xf numFmtId="0" fontId="5" fillId="0" borderId="25" xfId="0" applyNumberFormat="1" applyFont="1" applyBorder="1" applyAlignment="1" applyProtection="1">
      <alignment vertical="center" wrapText="1"/>
      <protection locked="0"/>
    </xf>
    <xf numFmtId="0" fontId="5" fillId="0" borderId="26" xfId="0" applyNumberFormat="1" applyFont="1" applyBorder="1" applyAlignment="1" applyProtection="1">
      <alignment vertical="center" wrapText="1"/>
      <protection locked="0"/>
    </xf>
    <xf numFmtId="0" fontId="5" fillId="0" borderId="27" xfId="0" applyNumberFormat="1" applyFont="1" applyBorder="1" applyAlignment="1" applyProtection="1">
      <alignment vertical="center" wrapText="1"/>
      <protection locked="0"/>
    </xf>
    <xf numFmtId="0" fontId="11" fillId="0" borderId="109" xfId="0" applyFont="1" applyBorder="1" applyAlignment="1" applyProtection="1">
      <alignment horizontal="center" vertical="center" wrapText="1"/>
      <protection locked="0"/>
    </xf>
    <xf numFmtId="0" fontId="5" fillId="0" borderId="110" xfId="0" applyNumberFormat="1" applyFont="1" applyBorder="1" applyAlignment="1" applyProtection="1">
      <alignment vertical="center" wrapText="1"/>
      <protection locked="0"/>
    </xf>
    <xf numFmtId="0" fontId="11" fillId="0" borderId="111" xfId="0" applyFont="1" applyBorder="1" applyAlignment="1" applyProtection="1">
      <alignment horizontal="center" vertical="center" wrapText="1"/>
      <protection locked="0"/>
    </xf>
    <xf numFmtId="0" fontId="5" fillId="0" borderId="112" xfId="0" applyNumberFormat="1" applyFont="1" applyBorder="1" applyAlignment="1" applyProtection="1">
      <alignment vertical="center" wrapText="1"/>
      <protection locked="0"/>
    </xf>
    <xf numFmtId="0" fontId="11" fillId="0" borderId="113" xfId="0" applyFont="1" applyBorder="1" applyAlignment="1" applyProtection="1">
      <alignment horizontal="center" vertical="center" wrapText="1"/>
      <protection locked="0"/>
    </xf>
    <xf numFmtId="0" fontId="36" fillId="0" borderId="114" xfId="0" applyFont="1" applyBorder="1" applyAlignment="1" applyProtection="1">
      <alignment vertical="center" wrapText="1"/>
      <protection locked="0"/>
    </xf>
    <xf numFmtId="0" fontId="5" fillId="0" borderId="115" xfId="0" applyNumberFormat="1" applyFont="1" applyBorder="1" applyAlignment="1" applyProtection="1">
      <alignment vertical="center" wrapText="1"/>
      <protection locked="0"/>
    </xf>
    <xf numFmtId="0" fontId="5" fillId="0" borderId="116" xfId="0" applyNumberFormat="1" applyFont="1" applyBorder="1" applyAlignment="1" applyProtection="1">
      <alignment vertical="center" wrapText="1"/>
      <protection locked="0"/>
    </xf>
    <xf numFmtId="0" fontId="5" fillId="0" borderId="117" xfId="0" applyNumberFormat="1" applyFont="1" applyBorder="1" applyAlignment="1" applyProtection="1">
      <alignment vertical="center" wrapText="1"/>
      <protection locked="0"/>
    </xf>
    <xf numFmtId="0" fontId="5" fillId="0" borderId="118" xfId="0" applyNumberFormat="1" applyFont="1" applyBorder="1" applyAlignment="1" applyProtection="1">
      <alignment vertical="center" wrapText="1"/>
      <protection locked="0"/>
    </xf>
    <xf numFmtId="0" fontId="34" fillId="0" borderId="0" xfId="0" applyFont="1" applyProtection="1">
      <protection locked="0"/>
    </xf>
    <xf numFmtId="0" fontId="34" fillId="0" borderId="0" xfId="0" applyFont="1" applyBorder="1" applyProtection="1">
      <protection locked="0"/>
    </xf>
    <xf numFmtId="0" fontId="34" fillId="0" borderId="1" xfId="0" applyFont="1" applyBorder="1" applyProtection="1">
      <protection locked="0"/>
    </xf>
    <xf numFmtId="0" fontId="0" fillId="0" borderId="0" xfId="0" applyAlignment="1">
      <alignment horizontal="center"/>
    </xf>
    <xf numFmtId="0" fontId="2" fillId="0" borderId="0" xfId="0" applyNumberFormat="1" applyFont="1" applyAlignment="1">
      <alignment horizontal="center"/>
    </xf>
    <xf numFmtId="0" fontId="5" fillId="0" borderId="55" xfId="0" applyNumberFormat="1" applyFont="1" applyBorder="1" applyAlignment="1" applyProtection="1">
      <alignment horizontal="center" vertical="center" wrapText="1"/>
      <protection locked="0"/>
    </xf>
    <xf numFmtId="0" fontId="5" fillId="0" borderId="41" xfId="0" applyNumberFormat="1" applyFont="1" applyBorder="1" applyAlignment="1" applyProtection="1">
      <alignment horizontal="center" vertical="center" wrapText="1"/>
      <protection locked="0"/>
    </xf>
    <xf numFmtId="0" fontId="5" fillId="0" borderId="117" xfId="0" applyNumberFormat="1" applyFont="1" applyBorder="1" applyAlignment="1" applyProtection="1">
      <alignment horizontal="center" vertical="center" wrapText="1"/>
      <protection locked="0"/>
    </xf>
    <xf numFmtId="0" fontId="5" fillId="0" borderId="26" xfId="0" applyNumberFormat="1" applyFont="1" applyBorder="1" applyAlignment="1" applyProtection="1">
      <alignment horizontal="center" vertical="center" wrapText="1"/>
      <protection locked="0"/>
    </xf>
    <xf numFmtId="0" fontId="5" fillId="0" borderId="3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34" fillId="0" borderId="0" xfId="0" applyFont="1" applyAlignment="1" applyProtection="1">
      <alignment horizontal="center"/>
      <protection locked="0"/>
    </xf>
    <xf numFmtId="0" fontId="34" fillId="0" borderId="1" xfId="0" applyFont="1" applyBorder="1" applyAlignment="1" applyProtection="1">
      <alignment horizontal="center"/>
      <protection locked="0"/>
    </xf>
    <xf numFmtId="0" fontId="34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5" fillId="0" borderId="3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7" fillId="0" borderId="44" xfId="0" applyFont="1" applyBorder="1" applyAlignment="1">
      <alignment horizontal="center" vertical="center"/>
    </xf>
    <xf numFmtId="0" fontId="37" fillId="0" borderId="45" xfId="0" applyFont="1" applyBorder="1" applyAlignment="1">
      <alignment horizontal="center" vertical="center"/>
    </xf>
    <xf numFmtId="0" fontId="37" fillId="0" borderId="42" xfId="0" applyFont="1" applyBorder="1" applyAlignment="1">
      <alignment horizontal="center" vertical="center"/>
    </xf>
    <xf numFmtId="0" fontId="37" fillId="0" borderId="46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61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34" fillId="0" borderId="0" xfId="1" applyFont="1" applyAlignment="1" applyProtection="1">
      <alignment horizontal="center"/>
    </xf>
    <xf numFmtId="0" fontId="2" fillId="0" borderId="71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wrapText="1"/>
    </xf>
    <xf numFmtId="0" fontId="2" fillId="0" borderId="76" xfId="0" applyFont="1" applyBorder="1" applyAlignment="1">
      <alignment horizontal="center" vertical="center" wrapText="1"/>
    </xf>
    <xf numFmtId="0" fontId="18" fillId="0" borderId="69" xfId="1" applyFont="1" applyBorder="1" applyAlignment="1" applyProtection="1">
      <alignment horizontal="center" vertical="center" wrapText="1"/>
    </xf>
    <xf numFmtId="0" fontId="18" fillId="0" borderId="72" xfId="1" applyFont="1" applyBorder="1" applyAlignment="1" applyProtection="1">
      <alignment horizontal="center" vertical="center" wrapText="1"/>
    </xf>
    <xf numFmtId="0" fontId="18" fillId="0" borderId="74" xfId="1" applyFont="1" applyBorder="1" applyAlignment="1" applyProtection="1">
      <alignment horizontal="center" vertical="center" wrapText="1"/>
    </xf>
    <xf numFmtId="0" fontId="18" fillId="0" borderId="70" xfId="1" applyFont="1" applyBorder="1" applyAlignment="1" applyProtection="1">
      <alignment horizontal="center" vertical="center" wrapText="1"/>
    </xf>
    <xf numFmtId="0" fontId="18" fillId="0" borderId="68" xfId="1" applyFont="1" applyBorder="1" applyAlignment="1" applyProtection="1">
      <alignment horizontal="center" vertical="center" wrapText="1"/>
    </xf>
    <xf numFmtId="0" fontId="18" fillId="0" borderId="75" xfId="1" applyFont="1" applyBorder="1" applyAlignment="1" applyProtection="1">
      <alignment horizontal="center" vertical="center" wrapText="1"/>
    </xf>
    <xf numFmtId="0" fontId="45" fillId="0" borderId="70" xfId="1" applyFont="1" applyBorder="1" applyAlignment="1" applyProtection="1">
      <alignment horizontal="center" vertical="center" wrapText="1"/>
    </xf>
    <xf numFmtId="0" fontId="45" fillId="0" borderId="68" xfId="1" applyFont="1" applyBorder="1" applyAlignment="1" applyProtection="1">
      <alignment horizontal="center" vertical="center" wrapText="1"/>
    </xf>
    <xf numFmtId="0" fontId="45" fillId="0" borderId="75" xfId="1" applyFont="1" applyBorder="1" applyAlignment="1" applyProtection="1">
      <alignment horizontal="center" vertical="center" wrapText="1"/>
    </xf>
    <xf numFmtId="0" fontId="5" fillId="0" borderId="0" xfId="1" applyFont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8" fillId="0" borderId="0" xfId="1" applyFont="1" applyBorder="1" applyAlignment="1" applyProtection="1">
      <alignment horizontal="center" vertical="center" wrapText="1"/>
    </xf>
    <xf numFmtId="0" fontId="45" fillId="0" borderId="71" xfId="1" applyFont="1" applyBorder="1" applyAlignment="1" applyProtection="1">
      <alignment horizontal="center" vertical="center" wrapText="1"/>
    </xf>
    <xf numFmtId="0" fontId="45" fillId="0" borderId="73" xfId="1" applyFont="1" applyBorder="1" applyAlignment="1" applyProtection="1">
      <alignment horizontal="center" vertical="center" wrapText="1"/>
    </xf>
    <xf numFmtId="0" fontId="45" fillId="0" borderId="76" xfId="1" applyFont="1" applyBorder="1" applyAlignment="1" applyProtection="1">
      <alignment horizontal="center" vertical="center" wrapText="1"/>
    </xf>
    <xf numFmtId="0" fontId="2" fillId="0" borderId="69" xfId="0" applyFont="1" applyBorder="1" applyAlignment="1">
      <alignment horizontal="center" vertical="center" wrapText="1"/>
    </xf>
    <xf numFmtId="0" fontId="2" fillId="0" borderId="72" xfId="0" applyFont="1" applyBorder="1" applyAlignment="1">
      <alignment horizontal="center" vertical="center" wrapText="1"/>
    </xf>
    <xf numFmtId="0" fontId="2" fillId="0" borderId="74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2" fillId="0" borderId="0" xfId="1" applyFont="1" applyBorder="1" applyAlignment="1" applyProtection="1">
      <alignment horizontal="center" vertical="center" wrapText="1"/>
    </xf>
    <xf numFmtId="49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wrapText="1"/>
    </xf>
    <xf numFmtId="0" fontId="4" fillId="0" borderId="77" xfId="0" applyNumberFormat="1" applyFont="1" applyBorder="1" applyAlignment="1">
      <alignment horizontal="center" vertical="center" wrapText="1"/>
    </xf>
    <xf numFmtId="0" fontId="4" fillId="0" borderId="78" xfId="0" applyNumberFormat="1" applyFont="1" applyBorder="1" applyAlignment="1">
      <alignment horizontal="center" vertical="center" wrapText="1"/>
    </xf>
    <xf numFmtId="0" fontId="4" fillId="0" borderId="79" xfId="0" applyNumberFormat="1" applyFont="1" applyBorder="1" applyAlignment="1">
      <alignment horizontal="center" vertical="center" wrapText="1"/>
    </xf>
    <xf numFmtId="0" fontId="4" fillId="0" borderId="80" xfId="0" applyNumberFormat="1" applyFont="1" applyBorder="1" applyAlignment="1">
      <alignment horizontal="center" vertical="center" wrapText="1"/>
    </xf>
    <xf numFmtId="0" fontId="4" fillId="0" borderId="81" xfId="0" applyNumberFormat="1" applyFont="1" applyBorder="1" applyAlignment="1">
      <alignment horizontal="center" vertical="center" wrapText="1"/>
    </xf>
    <xf numFmtId="0" fontId="4" fillId="0" borderId="82" xfId="0" applyNumberFormat="1" applyFont="1" applyBorder="1" applyAlignment="1">
      <alignment horizontal="center" vertical="center" wrapText="1"/>
    </xf>
    <xf numFmtId="0" fontId="39" fillId="2" borderId="47" xfId="1" applyFont="1" applyFill="1" applyBorder="1" applyAlignment="1" applyProtection="1">
      <alignment horizontal="center" vertical="center" wrapText="1"/>
    </xf>
    <xf numFmtId="0" fontId="39" fillId="2" borderId="48" xfId="1" applyFont="1" applyFill="1" applyBorder="1" applyAlignment="1" applyProtection="1">
      <alignment horizontal="center" vertical="center" wrapText="1"/>
    </xf>
    <xf numFmtId="0" fontId="39" fillId="2" borderId="49" xfId="1" applyFont="1" applyFill="1" applyBorder="1" applyAlignment="1" applyProtection="1">
      <alignment horizontal="center" vertical="center" wrapText="1"/>
    </xf>
    <xf numFmtId="0" fontId="42" fillId="0" borderId="0" xfId="1" applyFont="1" applyBorder="1" applyAlignment="1" applyProtection="1">
      <alignment horizontal="center" vertical="center" wrapText="1"/>
    </xf>
    <xf numFmtId="0" fontId="4" fillId="0" borderId="83" xfId="0" applyNumberFormat="1" applyFont="1" applyBorder="1" applyAlignment="1">
      <alignment horizontal="center" vertical="center" wrapText="1"/>
    </xf>
    <xf numFmtId="0" fontId="4" fillId="0" borderId="84" xfId="0" applyNumberFormat="1" applyFont="1" applyBorder="1" applyAlignment="1">
      <alignment horizontal="center" vertical="center" wrapText="1"/>
    </xf>
    <xf numFmtId="0" fontId="4" fillId="0" borderId="85" xfId="0" applyNumberFormat="1" applyFont="1" applyBorder="1" applyAlignment="1">
      <alignment horizontal="center" vertical="center" wrapText="1"/>
    </xf>
    <xf numFmtId="0" fontId="4" fillId="0" borderId="86" xfId="0" applyNumberFormat="1" applyFont="1" applyBorder="1" applyAlignment="1">
      <alignment horizontal="center" vertical="center" wrapText="1"/>
    </xf>
    <xf numFmtId="0" fontId="4" fillId="0" borderId="87" xfId="0" applyNumberFormat="1" applyFont="1" applyBorder="1" applyAlignment="1">
      <alignment horizontal="center" vertical="center" wrapText="1"/>
    </xf>
    <xf numFmtId="0" fontId="4" fillId="0" borderId="88" xfId="0" applyNumberFormat="1" applyFont="1" applyBorder="1" applyAlignment="1">
      <alignment horizontal="center" vertical="center" wrapText="1"/>
    </xf>
    <xf numFmtId="0" fontId="42" fillId="0" borderId="47" xfId="0" applyFont="1" applyBorder="1" applyAlignment="1">
      <alignment horizontal="center" vertical="center"/>
    </xf>
    <xf numFmtId="0" fontId="42" fillId="0" borderId="48" xfId="0" applyFont="1" applyBorder="1" applyAlignment="1">
      <alignment horizontal="center" vertical="center"/>
    </xf>
    <xf numFmtId="0" fontId="42" fillId="0" borderId="49" xfId="0" applyFont="1" applyBorder="1" applyAlignment="1">
      <alignment horizontal="center" vertical="center"/>
    </xf>
    <xf numFmtId="0" fontId="2" fillId="0" borderId="89" xfId="0" applyNumberFormat="1" applyFont="1" applyBorder="1" applyAlignment="1">
      <alignment horizontal="center" vertical="center"/>
    </xf>
    <xf numFmtId="0" fontId="2" fillId="0" borderId="90" xfId="0" applyNumberFormat="1" applyFont="1" applyBorder="1" applyAlignment="1">
      <alignment horizontal="center" vertical="center"/>
    </xf>
    <xf numFmtId="0" fontId="7" fillId="0" borderId="91" xfId="0" applyNumberFormat="1" applyFont="1" applyBorder="1" applyAlignment="1">
      <alignment horizontal="center" vertical="center"/>
    </xf>
    <xf numFmtId="0" fontId="7" fillId="0" borderId="92" xfId="0" applyNumberFormat="1" applyFont="1" applyBorder="1" applyAlignment="1">
      <alignment horizontal="center" vertical="center"/>
    </xf>
    <xf numFmtId="49" fontId="18" fillId="0" borderId="91" xfId="0" applyNumberFormat="1" applyFont="1" applyBorder="1" applyAlignment="1">
      <alignment horizontal="center" vertical="center"/>
    </xf>
    <xf numFmtId="49" fontId="18" fillId="0" borderId="92" xfId="0" applyNumberFormat="1" applyFont="1" applyBorder="1" applyAlignment="1">
      <alignment horizontal="center" vertical="center"/>
    </xf>
    <xf numFmtId="0" fontId="13" fillId="0" borderId="47" xfId="1" applyFont="1" applyBorder="1" applyAlignment="1" applyProtection="1">
      <alignment horizontal="center" vertical="center"/>
    </xf>
    <xf numFmtId="0" fontId="13" fillId="0" borderId="48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6" fillId="0" borderId="94" xfId="1" applyFont="1" applyBorder="1" applyAlignment="1" applyProtection="1">
      <alignment horizontal="center" vertical="center" wrapText="1"/>
    </xf>
    <xf numFmtId="0" fontId="6" fillId="0" borderId="95" xfId="1" applyFont="1" applyBorder="1" applyAlignment="1" applyProtection="1">
      <alignment horizontal="center" vertical="center" wrapText="1"/>
    </xf>
    <xf numFmtId="0" fontId="6" fillId="0" borderId="96" xfId="1" applyFont="1" applyBorder="1" applyAlignment="1" applyProtection="1">
      <alignment horizontal="center" vertical="center" wrapText="1"/>
    </xf>
    <xf numFmtId="0" fontId="6" fillId="0" borderId="97" xfId="1" applyFont="1" applyBorder="1" applyAlignment="1" applyProtection="1">
      <alignment horizontal="center" vertical="center" wrapText="1"/>
    </xf>
    <xf numFmtId="0" fontId="6" fillId="0" borderId="98" xfId="1" applyFont="1" applyBorder="1" applyAlignment="1" applyProtection="1">
      <alignment horizontal="center" vertical="center" wrapText="1"/>
    </xf>
    <xf numFmtId="0" fontId="6" fillId="0" borderId="99" xfId="1" applyFont="1" applyBorder="1" applyAlignment="1" applyProtection="1">
      <alignment horizontal="center" vertical="center" wrapText="1"/>
    </xf>
    <xf numFmtId="0" fontId="1" fillId="0" borderId="51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" fillId="0" borderId="41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1" fillId="0" borderId="41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49" fontId="22" fillId="0" borderId="51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23" fillId="0" borderId="53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1" fillId="0" borderId="51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51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0" fillId="0" borderId="30" xfId="0" applyNumberFormat="1" applyFont="1" applyBorder="1" applyAlignment="1">
      <alignment horizontal="center" vertical="center" wrapText="1"/>
    </xf>
    <xf numFmtId="49" fontId="19" fillId="0" borderId="41" xfId="0" applyNumberFormat="1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0" borderId="100" xfId="0" applyFont="1" applyBorder="1" applyAlignment="1" applyProtection="1">
      <alignment horizontal="center" vertical="center" wrapText="1"/>
      <protection locked="0"/>
    </xf>
    <xf numFmtId="0" fontId="6" fillId="0" borderId="107" xfId="0" applyFont="1" applyBorder="1" applyAlignment="1" applyProtection="1">
      <alignment horizontal="center" vertical="center" wrapText="1"/>
      <protection locked="0"/>
    </xf>
    <xf numFmtId="0" fontId="15" fillId="0" borderId="10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06" xfId="0" applyFont="1" applyBorder="1" applyAlignment="1" applyProtection="1">
      <alignment horizontal="center" vertical="center" wrapText="1"/>
      <protection locked="0"/>
    </xf>
    <xf numFmtId="0" fontId="5" fillId="0" borderId="108" xfId="0" applyFont="1" applyBorder="1" applyAlignment="1" applyProtection="1">
      <alignment horizontal="center" vertical="center" wrapText="1"/>
      <protection locked="0"/>
    </xf>
    <xf numFmtId="0" fontId="11" fillId="3" borderId="47" xfId="0" applyFont="1" applyFill="1" applyBorder="1" applyAlignment="1" applyProtection="1">
      <alignment horizontal="center" vertical="center"/>
      <protection locked="0" hidden="1"/>
    </xf>
    <xf numFmtId="0" fontId="11" fillId="3" borderId="48" xfId="0" applyFont="1" applyFill="1" applyBorder="1" applyAlignment="1" applyProtection="1">
      <alignment horizontal="center" vertical="center"/>
      <protection locked="0" hidden="1"/>
    </xf>
    <xf numFmtId="0" fontId="11" fillId="3" borderId="49" xfId="0" applyFont="1" applyFill="1" applyBorder="1" applyAlignment="1" applyProtection="1">
      <alignment horizontal="center" vertical="center"/>
      <protection locked="0" hidden="1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59" xfId="0" applyFont="1" applyFill="1" applyBorder="1" applyAlignment="1" applyProtection="1">
      <alignment horizontal="center" vertical="center"/>
      <protection locked="0" hidden="1"/>
    </xf>
    <xf numFmtId="0" fontId="11" fillId="3" borderId="60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38" fillId="2" borderId="47" xfId="1" applyFont="1" applyFill="1" applyBorder="1" applyAlignment="1" applyProtection="1">
      <alignment horizontal="center" vertical="center" wrapText="1"/>
      <protection locked="0"/>
    </xf>
    <xf numFmtId="0" fontId="38" fillId="2" borderId="48" xfId="1" applyFont="1" applyFill="1" applyBorder="1" applyAlignment="1" applyProtection="1">
      <alignment horizontal="center" vertical="center" wrapText="1"/>
      <protection locked="0"/>
    </xf>
    <xf numFmtId="0" fontId="38" fillId="2" borderId="49" xfId="1" applyFont="1" applyFill="1" applyBorder="1" applyAlignment="1" applyProtection="1">
      <alignment horizontal="center" vertical="center" wrapText="1"/>
      <protection locked="0"/>
    </xf>
    <xf numFmtId="0" fontId="42" fillId="0" borderId="0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10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103" xfId="0" applyFont="1" applyBorder="1" applyAlignment="1" applyProtection="1">
      <alignment horizontal="center" vertical="center" wrapText="1"/>
      <protection locked="0"/>
    </xf>
    <xf numFmtId="0" fontId="5" fillId="0" borderId="57" xfId="0" applyFont="1" applyBorder="1" applyAlignment="1" applyProtection="1">
      <alignment horizontal="center" vertical="center" wrapText="1"/>
      <protection locked="0"/>
    </xf>
    <xf numFmtId="0" fontId="5" fillId="0" borderId="104" xfId="0" applyFont="1" applyBorder="1" applyAlignment="1" applyProtection="1">
      <alignment horizontal="center" vertical="center" wrapText="1"/>
      <protection locked="0"/>
    </xf>
    <xf numFmtId="0" fontId="5" fillId="0" borderId="56" xfId="0" applyFont="1" applyBorder="1" applyAlignment="1" applyProtection="1">
      <alignment horizontal="center" vertical="center" wrapText="1"/>
      <protection locked="0"/>
    </xf>
    <xf numFmtId="0" fontId="5" fillId="0" borderId="105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13" fillId="0" borderId="42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5" fillId="0" borderId="41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5" fillId="0" borderId="41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43" fillId="0" borderId="41" xfId="1" applyFont="1" applyFill="1" applyBorder="1" applyAlignment="1" applyProtection="1">
      <alignment horizontal="center" vertical="center" wrapText="1"/>
    </xf>
    <xf numFmtId="0" fontId="43" fillId="0" borderId="26" xfId="1" applyFont="1" applyFill="1" applyBorder="1" applyAlignment="1" applyProtection="1">
      <alignment horizontal="center" vertical="center" wrapText="1"/>
    </xf>
    <xf numFmtId="0" fontId="44" fillId="0" borderId="23" xfId="0" applyFont="1" applyBorder="1" applyAlignment="1">
      <alignment horizontal="center" vertical="center" wrapText="1"/>
    </xf>
    <xf numFmtId="49" fontId="43" fillId="0" borderId="23" xfId="0" applyNumberFormat="1" applyFont="1" applyBorder="1" applyAlignment="1">
      <alignment horizontal="center" vertical="center" wrapText="1"/>
    </xf>
    <xf numFmtId="0" fontId="43" fillId="0" borderId="23" xfId="0" applyFont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1" fillId="0" borderId="23" xfId="1" applyNumberFormat="1" applyFont="1" applyBorder="1" applyAlignment="1" applyProtection="1">
      <alignment horizontal="center" vertical="center" wrapText="1"/>
    </xf>
    <xf numFmtId="0" fontId="5" fillId="0" borderId="23" xfId="0" applyNumberFormat="1" applyFont="1" applyBorder="1" applyAlignment="1">
      <alignment horizontal="center" vertical="center" wrapText="1"/>
    </xf>
    <xf numFmtId="0" fontId="43" fillId="0" borderId="41" xfId="1" applyFont="1" applyFill="1" applyBorder="1" applyAlignment="1" applyProtection="1">
      <alignment horizontal="left" vertical="center" wrapText="1"/>
    </xf>
    <xf numFmtId="0" fontId="43" fillId="0" borderId="39" xfId="1" applyFont="1" applyFill="1" applyBorder="1" applyAlignment="1" applyProtection="1">
      <alignment horizontal="left" vertical="center" wrapText="1"/>
    </xf>
    <xf numFmtId="0" fontId="43" fillId="0" borderId="39" xfId="1" applyFont="1" applyFill="1" applyBorder="1" applyAlignment="1" applyProtection="1">
      <alignment horizontal="center" vertical="center" wrapText="1"/>
    </xf>
    <xf numFmtId="0" fontId="43" fillId="0" borderId="61" xfId="1" applyFont="1" applyFill="1" applyBorder="1" applyAlignment="1" applyProtection="1">
      <alignment horizontal="center" vertical="center" wrapText="1"/>
    </xf>
    <xf numFmtId="0" fontId="43" fillId="0" borderId="5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center" vertical="center" wrapText="1"/>
    </xf>
    <xf numFmtId="49" fontId="5" fillId="0" borderId="39" xfId="0" applyNumberFormat="1" applyFont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/>
    </xf>
    <xf numFmtId="0" fontId="1" fillId="0" borderId="41" xfId="1" applyNumberFormat="1" applyFont="1" applyBorder="1" applyAlignment="1" applyProtection="1">
      <alignment horizontal="center" vertical="center" wrapText="1"/>
    </xf>
    <xf numFmtId="0" fontId="1" fillId="0" borderId="39" xfId="1" applyNumberFormat="1" applyFont="1" applyBorder="1" applyAlignment="1" applyProtection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61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6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38" fillId="2" borderId="47" xfId="1" applyFont="1" applyFill="1" applyBorder="1" applyAlignment="1" applyProtection="1">
      <alignment horizontal="center" vertical="center" wrapText="1"/>
    </xf>
    <xf numFmtId="0" fontId="38" fillId="2" borderId="48" xfId="1" applyFont="1" applyFill="1" applyBorder="1" applyAlignment="1" applyProtection="1">
      <alignment horizontal="center" vertical="center" wrapText="1"/>
    </xf>
    <xf numFmtId="0" fontId="38" fillId="2" borderId="49" xfId="1" applyFont="1" applyFill="1" applyBorder="1" applyAlignment="1" applyProtection="1">
      <alignment horizontal="center" vertical="center" wrapText="1"/>
    </xf>
    <xf numFmtId="0" fontId="24" fillId="0" borderId="58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47" xfId="1" applyFont="1" applyFill="1" applyBorder="1" applyAlignment="1" applyProtection="1">
      <alignment horizontal="center" vertical="center"/>
    </xf>
    <xf numFmtId="0" fontId="27" fillId="5" borderId="48" xfId="1" applyFont="1" applyFill="1" applyBorder="1" applyAlignment="1" applyProtection="1">
      <alignment horizontal="center" vertical="center"/>
    </xf>
    <xf numFmtId="0" fontId="27" fillId="5" borderId="49" xfId="1" applyFont="1" applyFill="1" applyBorder="1" applyAlignment="1" applyProtection="1">
      <alignment horizontal="center" vertical="center"/>
    </xf>
    <xf numFmtId="0" fontId="28" fillId="4" borderId="44" xfId="0" applyFont="1" applyFill="1" applyBorder="1" applyAlignment="1">
      <alignment horizontal="center" vertical="center"/>
    </xf>
    <xf numFmtId="0" fontId="28" fillId="4" borderId="62" xfId="0" applyFont="1" applyFill="1" applyBorder="1" applyAlignment="1">
      <alignment horizontal="center" vertical="center"/>
    </xf>
    <xf numFmtId="0" fontId="28" fillId="4" borderId="42" xfId="0" applyFont="1" applyFill="1" applyBorder="1" applyAlignment="1">
      <alignment horizontal="center" vertical="center"/>
    </xf>
    <xf numFmtId="0" fontId="29" fillId="0" borderId="58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5" xfId="0" applyFont="1" applyBorder="1" applyAlignment="1">
      <alignment horizontal="center" vertical="center" wrapText="1"/>
    </xf>
    <xf numFmtId="0" fontId="30" fillId="0" borderId="63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5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8" fillId="5" borderId="44" xfId="0" applyFont="1" applyFill="1" applyBorder="1" applyAlignment="1">
      <alignment horizontal="center" vertical="center"/>
    </xf>
    <xf numFmtId="0" fontId="28" fillId="5" borderId="62" xfId="0" applyFont="1" applyFill="1" applyBorder="1" applyAlignment="1">
      <alignment horizontal="center" vertical="center"/>
    </xf>
    <xf numFmtId="0" fontId="28" fillId="5" borderId="42" xfId="0" applyFont="1" applyFill="1" applyBorder="1" applyAlignment="1">
      <alignment horizontal="center" vertical="center"/>
    </xf>
    <xf numFmtId="0" fontId="28" fillId="6" borderId="44" xfId="0" applyFont="1" applyFill="1" applyBorder="1" applyAlignment="1">
      <alignment horizontal="center" vertical="center"/>
    </xf>
    <xf numFmtId="0" fontId="28" fillId="6" borderId="62" xfId="0" applyFont="1" applyFill="1" applyBorder="1" applyAlignment="1">
      <alignment horizontal="center" vertical="center"/>
    </xf>
    <xf numFmtId="0" fontId="28" fillId="6" borderId="42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4" fillId="0" borderId="44" xfId="1" applyFont="1" applyBorder="1" applyAlignment="1" applyProtection="1">
      <alignment horizontal="center" vertical="center" wrapText="1"/>
    </xf>
    <xf numFmtId="0" fontId="4" fillId="0" borderId="58" xfId="1" applyFont="1" applyBorder="1" applyAlignment="1" applyProtection="1">
      <alignment horizontal="center" vertical="center" wrapText="1"/>
    </xf>
    <xf numFmtId="0" fontId="4" fillId="0" borderId="45" xfId="1" applyFont="1" applyBorder="1" applyAlignment="1" applyProtection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2" fillId="0" borderId="35" xfId="0" applyFont="1" applyBorder="1" applyAlignment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5" fillId="0" borderId="50" xfId="0" applyFont="1" applyBorder="1" applyAlignment="1">
      <alignment horizontal="left" vertical="center" wrapText="1"/>
    </xf>
    <xf numFmtId="0" fontId="13" fillId="0" borderId="42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6" xfId="1" applyFont="1" applyBorder="1" applyAlignment="1" applyProtection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2" xr:uid="{00000000-0005-0000-0000-000002000000}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>
          <a:extLst>
            <a:ext uri="{FF2B5EF4-FFF2-40B4-BE49-F238E27FC236}">
              <a16:creationId xmlns:a16="http://schemas.microsoft.com/office/drawing/2014/main" id="{00000000-0008-0000-0000-0000D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73025</xdr:colOff>
      <xdr:row>0</xdr:row>
      <xdr:rowOff>63500</xdr:rowOff>
    </xdr:from>
    <xdr:to>
      <xdr:col>3</xdr:col>
      <xdr:colOff>644525</xdr:colOff>
      <xdr:row>1</xdr:row>
      <xdr:rowOff>273050</xdr:rowOff>
    </xdr:to>
    <xdr:pic>
      <xdr:nvPicPr>
        <xdr:cNvPr id="1234" name="Picture 4" descr="фед">
          <a:extLst>
            <a:ext uri="{FF2B5EF4-FFF2-40B4-BE49-F238E27FC236}">
              <a16:creationId xmlns:a16="http://schemas.microsoft.com/office/drawing/2014/main" id="{00000000-0008-0000-0100-0000D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63500"/>
          <a:ext cx="57150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127000</xdr:colOff>
      <xdr:row>0</xdr:row>
      <xdr:rowOff>0</xdr:rowOff>
    </xdr:from>
    <xdr:to>
      <xdr:col>1</xdr:col>
      <xdr:colOff>333041</xdr:colOff>
      <xdr:row>1</xdr:row>
      <xdr:rowOff>286310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37F374E-C2BD-48CA-A395-67710CBD1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000" y="0"/>
          <a:ext cx="542591" cy="597460"/>
        </a:xfrm>
        <a:prstGeom prst="rect">
          <a:avLst/>
        </a:prstGeom>
      </xdr:spPr>
    </xdr:pic>
    <xdr:clientData/>
  </xdr:twoCellAnchor>
  <xdr:twoCellAnchor editAs="oneCell">
    <xdr:from>
      <xdr:col>1</xdr:col>
      <xdr:colOff>412750</xdr:colOff>
      <xdr:row>0</xdr:row>
      <xdr:rowOff>95250</xdr:rowOff>
    </xdr:from>
    <xdr:to>
      <xdr:col>1</xdr:col>
      <xdr:colOff>930955</xdr:colOff>
      <xdr:row>1</xdr:row>
      <xdr:rowOff>277919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CBA18DBA-EF99-4FEB-AB24-0080C0569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9300" y="95250"/>
          <a:ext cx="518205" cy="49381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0</xdr:row>
      <xdr:rowOff>120650</xdr:rowOff>
    </xdr:from>
    <xdr:to>
      <xdr:col>2</xdr:col>
      <xdr:colOff>844550</xdr:colOff>
      <xdr:row>0</xdr:row>
      <xdr:rowOff>666750</xdr:rowOff>
    </xdr:to>
    <xdr:pic>
      <xdr:nvPicPr>
        <xdr:cNvPr id="2440" name="Picture 1" descr="фед">
          <a:extLst>
            <a:ext uri="{FF2B5EF4-FFF2-40B4-BE49-F238E27FC236}">
              <a16:creationId xmlns:a16="http://schemas.microsoft.com/office/drawing/2014/main" id="{00000000-0008-0000-0300-00008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0650"/>
          <a:ext cx="539750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12700</xdr:colOff>
      <xdr:row>0</xdr:row>
      <xdr:rowOff>19050</xdr:rowOff>
    </xdr:from>
    <xdr:to>
      <xdr:col>1</xdr:col>
      <xdr:colOff>79041</xdr:colOff>
      <xdr:row>0</xdr:row>
      <xdr:rowOff>616510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4E6A54C7-A41F-47E4-8898-25F8B7E74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00" y="19050"/>
          <a:ext cx="542591" cy="597460"/>
        </a:xfrm>
        <a:prstGeom prst="rect">
          <a:avLst/>
        </a:prstGeom>
      </xdr:spPr>
    </xdr:pic>
    <xdr:clientData/>
  </xdr:twoCellAnchor>
  <xdr:twoCellAnchor editAs="oneCell">
    <xdr:from>
      <xdr:col>1</xdr:col>
      <xdr:colOff>146050</xdr:colOff>
      <xdr:row>0</xdr:row>
      <xdr:rowOff>127000</xdr:rowOff>
    </xdr:from>
    <xdr:to>
      <xdr:col>2</xdr:col>
      <xdr:colOff>226105</xdr:colOff>
      <xdr:row>0</xdr:row>
      <xdr:rowOff>620819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30A7DF36-0ACE-4D38-8431-0B0DEE24BE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2300" y="127000"/>
          <a:ext cx="518205" cy="49381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>
          <a:extLst>
            <a:ext uri="{FF2B5EF4-FFF2-40B4-BE49-F238E27FC236}">
              <a16:creationId xmlns:a16="http://schemas.microsoft.com/office/drawing/2014/main" id="{00000000-0008-0000-0600-0000C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2 (2)"/>
      <sheetName val="реквизиты (2)"/>
      <sheetName val="1дн"/>
      <sheetName val="Лист1"/>
      <sheetName val="Лист2"/>
    </sheetNames>
    <sheetDataSet>
      <sheetData sheetId="0"/>
      <sheetData sheetId="1">
        <row r="6">
          <cell r="G6" t="str">
            <v>Алтайский</v>
          </cell>
        </row>
      </sheetData>
      <sheetData sheetId="2">
        <row r="2">
          <cell r="A2" t="str">
            <v xml:space="preserve">Чемпионат России по самбо </v>
          </cell>
        </row>
        <row r="6">
          <cell r="A6" t="str">
            <v>Гл. судья, судья ВК</v>
          </cell>
          <cell r="G6" t="str">
            <v>А.А.Лебедев</v>
          </cell>
        </row>
        <row r="7">
          <cell r="G7" t="str">
            <v>/Москва 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/Ярославская/</v>
          </cell>
        </row>
      </sheetData>
      <sheetData sheetId="3">
        <row r="3">
          <cell r="A3" t="str">
            <v>12-17 декабря 2018 года                          г.Новосибирск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indexed="12"/>
  </sheetPr>
  <dimension ref="A1:AI145"/>
  <sheetViews>
    <sheetView tabSelected="1" workbookViewId="0">
      <selection activeCell="B9" sqref="B9"/>
    </sheetView>
  </sheetViews>
  <sheetFormatPr defaultRowHeight="12.5"/>
  <cols>
    <col min="1" max="1" width="4.26953125" customWidth="1"/>
    <col min="2" max="2" width="5.453125" customWidth="1"/>
    <col min="3" max="3" width="27.1796875" customWidth="1"/>
    <col min="4" max="4" width="15.26953125" customWidth="1"/>
    <col min="5" max="5" width="7" customWidth="1"/>
    <col min="6" max="6" width="15.1796875" customWidth="1"/>
    <col min="7" max="7" width="7.26953125" customWidth="1"/>
    <col min="8" max="8" width="18.7265625" customWidth="1"/>
    <col min="9" max="9" width="2.26953125" customWidth="1"/>
    <col min="10" max="11" width="4.26953125" hidden="1" customWidth="1"/>
    <col min="12" max="12" width="13.453125" hidden="1" customWidth="1"/>
    <col min="13" max="19" width="4.26953125" hidden="1" customWidth="1"/>
    <col min="20" max="20" width="15.81640625" hidden="1" customWidth="1"/>
    <col min="21" max="23" width="4.26953125" hidden="1" customWidth="1"/>
    <col min="24" max="24" width="38.1796875" hidden="1" customWidth="1"/>
    <col min="25" max="25" width="10.81640625" customWidth="1"/>
    <col min="26" max="26" width="4.26953125" customWidth="1"/>
    <col min="27" max="27" width="5.1796875" customWidth="1"/>
    <col min="28" max="33" width="4.7265625" customWidth="1"/>
    <col min="34" max="34" width="4.26953125" customWidth="1"/>
    <col min="35" max="35" width="2.54296875" customWidth="1"/>
    <col min="36" max="39" width="4.26953125" customWidth="1"/>
  </cols>
  <sheetData>
    <row r="1" spans="1:35" ht="24" customHeight="1">
      <c r="A1" s="264" t="s">
        <v>75</v>
      </c>
      <c r="B1" s="264"/>
      <c r="C1" s="264"/>
      <c r="D1" s="264"/>
      <c r="E1" s="264"/>
      <c r="F1" s="264"/>
      <c r="G1" s="264"/>
      <c r="H1" s="264"/>
    </row>
    <row r="2" spans="1:35" ht="55.5" customHeight="1">
      <c r="A2" s="144"/>
      <c r="B2" s="263" t="s">
        <v>94</v>
      </c>
      <c r="C2" s="263"/>
      <c r="D2" s="263"/>
      <c r="E2" s="263"/>
      <c r="F2" s="263"/>
      <c r="G2" s="263"/>
      <c r="H2" s="145"/>
      <c r="I2" s="131"/>
      <c r="J2" s="131"/>
      <c r="K2" s="131"/>
    </row>
    <row r="3" spans="1:35" ht="17.25" customHeight="1">
      <c r="A3" s="267" t="s">
        <v>83</v>
      </c>
      <c r="B3" s="267"/>
      <c r="C3" s="267"/>
      <c r="D3" s="267"/>
      <c r="E3" s="267"/>
      <c r="F3" s="267"/>
      <c r="G3" s="267"/>
      <c r="H3" s="267"/>
    </row>
    <row r="4" spans="1:35" ht="19.5" customHeight="1">
      <c r="D4" s="8" t="s">
        <v>91</v>
      </c>
      <c r="E4" s="8"/>
      <c r="Y4" s="257" t="s">
        <v>72</v>
      </c>
      <c r="Z4" s="257"/>
      <c r="AA4" s="257"/>
      <c r="AB4" s="257"/>
      <c r="AC4" s="257"/>
      <c r="AD4" s="257"/>
      <c r="AE4" s="257"/>
    </row>
    <row r="5" spans="1:35" ht="12.75" customHeight="1" thickBot="1">
      <c r="A5" s="265" t="s">
        <v>76</v>
      </c>
      <c r="B5" s="272" t="s">
        <v>4</v>
      </c>
      <c r="C5" s="265" t="s">
        <v>5</v>
      </c>
      <c r="D5" s="265" t="s">
        <v>6</v>
      </c>
      <c r="E5" s="268" t="s">
        <v>7</v>
      </c>
      <c r="F5" s="269"/>
      <c r="G5" s="265" t="s">
        <v>9</v>
      </c>
      <c r="H5" s="265" t="s">
        <v>8</v>
      </c>
      <c r="Q5" s="258"/>
      <c r="R5" s="258"/>
      <c r="S5" s="258"/>
      <c r="T5" s="100"/>
      <c r="U5" s="100"/>
      <c r="V5" s="100"/>
      <c r="W5" s="100"/>
      <c r="X5" s="100"/>
      <c r="Y5" s="132"/>
      <c r="Z5" s="105"/>
      <c r="AA5" s="105"/>
      <c r="AB5" s="105"/>
      <c r="AC5" s="105"/>
      <c r="AD5" s="105"/>
      <c r="AE5" s="105"/>
    </row>
    <row r="6" spans="1:35" ht="13.5" thickBot="1">
      <c r="A6" s="266"/>
      <c r="B6" s="266"/>
      <c r="C6" s="266"/>
      <c r="D6" s="266"/>
      <c r="E6" s="270"/>
      <c r="F6" s="271"/>
      <c r="G6" s="266"/>
      <c r="H6" s="266"/>
      <c r="J6" s="94"/>
      <c r="K6" s="94"/>
      <c r="L6" s="94"/>
      <c r="M6" s="94"/>
      <c r="N6" s="94"/>
      <c r="O6" s="94"/>
      <c r="P6" s="146"/>
      <c r="Q6" s="146" t="str">
        <f>N7</f>
        <v>КМС</v>
      </c>
      <c r="R6" s="146" t="str">
        <f>N8</f>
        <v>МС</v>
      </c>
      <c r="S6" s="147" t="str">
        <f>N9</f>
        <v/>
      </c>
      <c r="T6" s="147" t="str">
        <f>N10</f>
        <v/>
      </c>
      <c r="U6" s="147" t="str">
        <f>N11</f>
        <v/>
      </c>
      <c r="V6" s="147" t="str">
        <f>N12</f>
        <v/>
      </c>
      <c r="W6" s="147" t="str">
        <f>N13</f>
        <v/>
      </c>
      <c r="X6" s="98"/>
      <c r="Y6" s="133" t="s">
        <v>73</v>
      </c>
      <c r="Z6" s="102" t="str">
        <f t="shared" ref="Z6:AF6" si="0">Q6</f>
        <v>КМС</v>
      </c>
      <c r="AA6" s="102" t="str">
        <f t="shared" si="0"/>
        <v>МС</v>
      </c>
      <c r="AB6" s="148" t="str">
        <f t="shared" si="0"/>
        <v/>
      </c>
      <c r="AC6" s="148" t="str">
        <f t="shared" si="0"/>
        <v/>
      </c>
      <c r="AD6" s="102" t="str">
        <f t="shared" si="0"/>
        <v/>
      </c>
      <c r="AE6" s="134" t="str">
        <f t="shared" si="0"/>
        <v/>
      </c>
      <c r="AF6" s="135" t="str">
        <f t="shared" si="0"/>
        <v/>
      </c>
    </row>
    <row r="7" spans="1:35" ht="24" customHeight="1">
      <c r="A7" s="149" t="s">
        <v>49</v>
      </c>
      <c r="B7" s="150">
        <v>1</v>
      </c>
      <c r="C7" s="151" t="s">
        <v>107</v>
      </c>
      <c r="D7" s="152" t="s">
        <v>108</v>
      </c>
      <c r="E7" s="153" t="s">
        <v>95</v>
      </c>
      <c r="F7" s="152" t="s">
        <v>109</v>
      </c>
      <c r="G7" s="154"/>
      <c r="H7" s="155" t="s">
        <v>110</v>
      </c>
      <c r="I7" s="31"/>
      <c r="J7" s="156">
        <v>1</v>
      </c>
      <c r="K7" s="143" t="str">
        <f>IFERROR(RIGHT(D7,LEN(D7)-FIND("*",SUBSTITUTE(D7," ","*",LEN(D7)-LEN(SUBSTITUTE(D7," ",""))))),D7)</f>
        <v>МС</v>
      </c>
      <c r="L7" s="143" t="str">
        <f>IFERROR(LEFT(F7,FIND(",",F7)-1),F7)</f>
        <v>Россия</v>
      </c>
      <c r="M7" s="157" t="str">
        <f t="array" ref="M7">IFERROR(INDEX(субъект,MATCH(SUM(COUNTIF(M$6:M6,субъект)),COUNTIF(субъект,"&lt;"&amp;субъект),0)),"")</f>
        <v>Армения</v>
      </c>
      <c r="N7" s="157" t="str">
        <f t="array" ref="N7">IFERROR(INDEX(разряд,MATCH(SUM(COUNTIF(N$6:N6,разряд)),COUNTIF(разряд,"&lt;"&amp;разряд),0)),"")</f>
        <v>КМС</v>
      </c>
      <c r="O7" s="158">
        <v>1</v>
      </c>
      <c r="P7" s="103" t="str">
        <f t="shared" ref="P7:P14" si="1">M7</f>
        <v>Армения</v>
      </c>
      <c r="Q7" s="159">
        <f t="shared" ref="Q7:Q14" si="2">SUMIFS($J$7:$J$30,$L$7:$L$30,P7,$K$7:$K$30,Q$6)</f>
        <v>1</v>
      </c>
      <c r="R7" s="159">
        <f t="shared" ref="R7:R14" si="3">SUMIFS($J$7:$J$30,$L$7:$L$30,P7,$K$7:$K$30,R$6)</f>
        <v>0</v>
      </c>
      <c r="S7" s="160">
        <f t="shared" ref="S7:S14" si="4">SUMIFS($J$7:$J$30,$L$7:$L$30,P7,$K$7:$K$30,S$6)</f>
        <v>0</v>
      </c>
      <c r="T7" s="161">
        <f t="shared" ref="T7:T14" si="5">SUMIFS($J$7:$J$30,$L$7:$L$30,P7,$K$7:$K$30,T$6)</f>
        <v>0</v>
      </c>
      <c r="U7" s="161">
        <f t="shared" ref="U7:U14" si="6">SUMIFS($J$7:$J$30,$L$7:$L$30,P7,$K$7:$K$30,U$6)</f>
        <v>0</v>
      </c>
      <c r="V7" s="161">
        <f t="shared" ref="V7:V14" si="7">SUMIFS($J$7:$J$30,$L$7:$L$30,P7,$K$7:$K$30,V$6)</f>
        <v>0</v>
      </c>
      <c r="W7" s="161">
        <f t="shared" ref="W7:W14" si="8">SUMIFS($J$7:$J$30,$L$7:$L$30,P7,$K$7:$K$30,W$6)</f>
        <v>0</v>
      </c>
      <c r="X7" s="162"/>
      <c r="Y7" s="163" t="str">
        <f>P7</f>
        <v>Армения</v>
      </c>
      <c r="Z7" s="130">
        <f>IF(Q7=0," ",Q7)</f>
        <v>1</v>
      </c>
      <c r="AA7" s="130" t="str">
        <f>IF(R7=0," ",R7)</f>
        <v xml:space="preserve"> </v>
      </c>
      <c r="AB7" s="130" t="str">
        <f>IF(S7=0," ",S7)</f>
        <v xml:space="preserve"> </v>
      </c>
      <c r="AC7" s="130" t="str">
        <f>IF(T7=0," ",T7)</f>
        <v xml:space="preserve"> </v>
      </c>
      <c r="AD7" s="130" t="str">
        <f t="shared" ref="AD7:AF14" si="9">IF(U7=0," ",U7)</f>
        <v xml:space="preserve"> </v>
      </c>
      <c r="AE7" s="101" t="str">
        <f t="shared" si="9"/>
        <v xml:space="preserve"> </v>
      </c>
      <c r="AF7" s="101" t="str">
        <f t="shared" si="9"/>
        <v xml:space="preserve"> </v>
      </c>
      <c r="AH7" s="259">
        <f>SUM(Z7:AF14)</f>
        <v>4</v>
      </c>
      <c r="AI7" s="260"/>
    </row>
    <row r="8" spans="1:35" ht="24" customHeight="1" thickBot="1">
      <c r="A8" s="149" t="s">
        <v>50</v>
      </c>
      <c r="B8" s="150">
        <v>3</v>
      </c>
      <c r="C8" s="151" t="s">
        <v>97</v>
      </c>
      <c r="D8" s="152" t="s">
        <v>98</v>
      </c>
      <c r="E8" s="153" t="s">
        <v>95</v>
      </c>
      <c r="F8" s="152" t="s">
        <v>99</v>
      </c>
      <c r="G8" s="154"/>
      <c r="H8" s="155" t="s">
        <v>100</v>
      </c>
      <c r="I8" s="31"/>
      <c r="J8" s="156">
        <v>1</v>
      </c>
      <c r="K8" s="143" t="str">
        <f t="shared" ref="K8:K14" si="10">IFERROR(RIGHT(D8,LEN(D8)-FIND("*",SUBSTITUTE(D8," ","*",LEN(D8)-LEN(SUBSTITUTE(D8," ",""))))),D8)</f>
        <v>МС</v>
      </c>
      <c r="L8" s="143" t="str">
        <f t="shared" ref="L8:L14" si="11">IFERROR(LEFT(F8,FIND(",",F8)-1),F8)</f>
        <v>Россия</v>
      </c>
      <c r="M8" s="157" t="str">
        <f t="array" ref="M8">IFERROR(INDEX(субъект,MATCH(SUM(COUNTIF(M$6:M7,субъект)),COUNTIF(субъект,"&lt;"&amp;субъект),0)),"")</f>
        <v>Россия</v>
      </c>
      <c r="N8" s="157" t="str">
        <f t="array" ref="N8">IFERROR(INDEX(разряд,MATCH(SUM(COUNTIF(N$6:N7,разряд)),COUNTIF(разряд,"&lt;"&amp;разряд),0)),"")</f>
        <v>МС</v>
      </c>
      <c r="O8" s="158">
        <v>2</v>
      </c>
      <c r="P8" s="103" t="str">
        <f t="shared" si="1"/>
        <v>Россия</v>
      </c>
      <c r="Q8" s="159">
        <f t="shared" si="2"/>
        <v>0</v>
      </c>
      <c r="R8" s="159">
        <f t="shared" si="3"/>
        <v>2</v>
      </c>
      <c r="S8" s="160">
        <f t="shared" si="4"/>
        <v>0</v>
      </c>
      <c r="T8" s="161">
        <f t="shared" si="5"/>
        <v>0</v>
      </c>
      <c r="U8" s="161">
        <f t="shared" si="6"/>
        <v>0</v>
      </c>
      <c r="V8" s="161">
        <f t="shared" si="7"/>
        <v>0</v>
      </c>
      <c r="W8" s="161">
        <f t="shared" si="8"/>
        <v>0</v>
      </c>
      <c r="X8" s="104"/>
      <c r="Y8" s="101" t="str">
        <f t="shared" ref="Y8:Y14" si="12">P8</f>
        <v>Россия</v>
      </c>
      <c r="Z8" s="101" t="str">
        <f>IF($Y$8=$Y$7," ",IF(Q8=0," ",Q8))</f>
        <v xml:space="preserve"> </v>
      </c>
      <c r="AA8" s="101">
        <f>IF($Y$8=$Y$7," ",IF(R8=0," ",R8))</f>
        <v>2</v>
      </c>
      <c r="AB8" s="101" t="str">
        <f>IF($Y$8=$Y$7," ",IF(S8=0," ",S8))</f>
        <v xml:space="preserve"> </v>
      </c>
      <c r="AC8" s="101" t="str">
        <f>IF($Y$8=$Y$7," ",IF(T8=0," ",T8))</f>
        <v xml:space="preserve"> </v>
      </c>
      <c r="AD8" s="101" t="str">
        <f t="shared" si="9"/>
        <v xml:space="preserve"> </v>
      </c>
      <c r="AE8" s="101" t="str">
        <f t="shared" si="9"/>
        <v xml:space="preserve"> </v>
      </c>
      <c r="AF8" s="101" t="str">
        <f t="shared" si="9"/>
        <v xml:space="preserve"> </v>
      </c>
      <c r="AH8" s="261"/>
      <c r="AI8" s="262"/>
    </row>
    <row r="9" spans="1:35" ht="24" customHeight="1">
      <c r="A9" s="149" t="s">
        <v>51</v>
      </c>
      <c r="B9" s="150">
        <v>2</v>
      </c>
      <c r="C9" s="151" t="s">
        <v>101</v>
      </c>
      <c r="D9" s="152" t="s">
        <v>102</v>
      </c>
      <c r="E9" s="153" t="s">
        <v>95</v>
      </c>
      <c r="F9" s="152" t="s">
        <v>103</v>
      </c>
      <c r="G9" s="154"/>
      <c r="H9" s="155" t="s">
        <v>104</v>
      </c>
      <c r="I9" s="31"/>
      <c r="J9" s="156">
        <v>1</v>
      </c>
      <c r="K9" s="143" t="str">
        <f t="shared" si="10"/>
        <v>КМС</v>
      </c>
      <c r="L9" s="143" t="str">
        <f t="shared" si="11"/>
        <v>Санкт-Петербург</v>
      </c>
      <c r="M9" s="157" t="str">
        <f t="array" ref="M9">IFERROR(INDEX(субъект,MATCH(SUM(COUNTIF(M$6:M8,субъект)),COUNTIF(субъект,"&lt;"&amp;субъект),0)),"")</f>
        <v>Санкт-Петербург</v>
      </c>
      <c r="N9" s="157" t="str">
        <f t="array" ref="N9">IFERROR(INDEX(разряд,MATCH(SUM(COUNTIF(N$6:N8,разряд)),COUNTIF(разряд,"&lt;"&amp;разряд),0)),"")</f>
        <v/>
      </c>
      <c r="O9" s="158">
        <v>3</v>
      </c>
      <c r="P9" s="103" t="str">
        <f t="shared" si="1"/>
        <v>Санкт-Петербург</v>
      </c>
      <c r="Q9" s="159">
        <f t="shared" si="2"/>
        <v>1</v>
      </c>
      <c r="R9" s="159">
        <f t="shared" si="3"/>
        <v>0</v>
      </c>
      <c r="S9" s="160">
        <f t="shared" si="4"/>
        <v>0</v>
      </c>
      <c r="T9" s="161">
        <f t="shared" si="5"/>
        <v>0</v>
      </c>
      <c r="U9" s="161">
        <f t="shared" si="6"/>
        <v>0</v>
      </c>
      <c r="V9" s="161">
        <f t="shared" si="7"/>
        <v>0</v>
      </c>
      <c r="W9" s="161">
        <f t="shared" si="8"/>
        <v>0</v>
      </c>
      <c r="X9" s="104"/>
      <c r="Y9" s="101" t="str">
        <f t="shared" si="12"/>
        <v>Санкт-Петербург</v>
      </c>
      <c r="Z9" s="101">
        <f>IF(OR($Y9=$Y7,$Y9=$Y8)," ",IF(Q9=0," ",Q9))</f>
        <v>1</v>
      </c>
      <c r="AA9" s="101" t="str">
        <f>IF(OR($Y9=$Y7,$Y9=$Y8)," ",IF(R9=0," ",R9))</f>
        <v xml:space="preserve"> </v>
      </c>
      <c r="AB9" s="101" t="str">
        <f>IF(OR($Y9=$Y7,$Y9=$Y8)," ",IF(S9=0," ",S9))</f>
        <v xml:space="preserve"> </v>
      </c>
      <c r="AC9" s="101" t="str">
        <f>IF(OR($Y9=$Y7,$Y9=$Y8)," ",IF(T9=0," ",T9))</f>
        <v xml:space="preserve"> </v>
      </c>
      <c r="AD9" s="101" t="str">
        <f t="shared" si="9"/>
        <v xml:space="preserve"> </v>
      </c>
      <c r="AE9" s="101" t="str">
        <f t="shared" si="9"/>
        <v xml:space="preserve"> </v>
      </c>
      <c r="AF9" s="101" t="str">
        <f t="shared" si="9"/>
        <v xml:space="preserve"> </v>
      </c>
    </row>
    <row r="10" spans="1:35" ht="24" customHeight="1">
      <c r="A10" s="149" t="s">
        <v>52</v>
      </c>
      <c r="B10" s="150">
        <v>4</v>
      </c>
      <c r="C10" s="151" t="s">
        <v>81</v>
      </c>
      <c r="D10" s="152" t="s">
        <v>105</v>
      </c>
      <c r="E10" s="153" t="s">
        <v>96</v>
      </c>
      <c r="F10" s="152" t="s">
        <v>82</v>
      </c>
      <c r="G10" s="154"/>
      <c r="H10" s="155" t="s">
        <v>106</v>
      </c>
      <c r="I10" s="31"/>
      <c r="J10" s="156">
        <v>1</v>
      </c>
      <c r="K10" s="143" t="str">
        <f t="shared" si="10"/>
        <v>КМС</v>
      </c>
      <c r="L10" s="143" t="str">
        <f t="shared" si="11"/>
        <v>Армения</v>
      </c>
      <c r="M10" s="157" t="str">
        <f t="array" ref="M10">IFERROR(INDEX(субъект,MATCH(SUM(COUNTIF(M$6:M9,субъект)),COUNTIF(субъект,"&lt;"&amp;субъект),0)),"")</f>
        <v/>
      </c>
      <c r="N10" s="157" t="str">
        <f t="array" ref="N10">IFERROR(INDEX(разряд,MATCH(SUM(COUNTIF(N$6:N9,разряд)),COUNTIF(разряд,"&lt;"&amp;разряд),0)),"")</f>
        <v/>
      </c>
      <c r="O10" s="158">
        <v>4</v>
      </c>
      <c r="P10" s="103" t="str">
        <f t="shared" si="1"/>
        <v/>
      </c>
      <c r="Q10" s="159">
        <f t="shared" si="2"/>
        <v>0</v>
      </c>
      <c r="R10" s="159">
        <f t="shared" si="3"/>
        <v>0</v>
      </c>
      <c r="S10" s="160">
        <f t="shared" si="4"/>
        <v>0</v>
      </c>
      <c r="T10" s="161">
        <f t="shared" si="5"/>
        <v>0</v>
      </c>
      <c r="U10" s="161">
        <f t="shared" si="6"/>
        <v>0</v>
      </c>
      <c r="V10" s="161">
        <f t="shared" si="7"/>
        <v>0</v>
      </c>
      <c r="W10" s="161">
        <f t="shared" si="8"/>
        <v>0</v>
      </c>
      <c r="X10" s="98"/>
      <c r="Y10" s="101" t="str">
        <f t="shared" si="12"/>
        <v/>
      </c>
      <c r="Z10" s="101" t="str">
        <f>IF(OR($Y10=$Y8,$Y10=$Y9,$Y10=$Y7)," ",IF(Q10=0," ",Q10))</f>
        <v xml:space="preserve"> </v>
      </c>
      <c r="AA10" s="101" t="str">
        <f>IF(OR($Y10=$Y8,$Y10=$Y9,$Y10=$Y7)," ",IF(R10=0," ",R10))</f>
        <v xml:space="preserve"> </v>
      </c>
      <c r="AB10" s="101" t="str">
        <f>IF(OR($Y10=$Y8,$Y10=$Y9,$Y10=$Y7)," ",IF(S10=0," ",S10))</f>
        <v xml:space="preserve"> </v>
      </c>
      <c r="AC10" s="101" t="str">
        <f>IF(OR($Y10=$Y8,$Y10=$Y9,$Y10=$Y7)," ",IF(T10=0," ",T10))</f>
        <v xml:space="preserve"> </v>
      </c>
      <c r="AD10" s="101" t="str">
        <f t="shared" si="9"/>
        <v xml:space="preserve"> </v>
      </c>
      <c r="AE10" s="101" t="str">
        <f t="shared" si="9"/>
        <v xml:space="preserve"> </v>
      </c>
      <c r="AF10" s="101" t="str">
        <f t="shared" si="9"/>
        <v xml:space="preserve"> </v>
      </c>
    </row>
    <row r="11" spans="1:35" ht="24" hidden="1" customHeight="1">
      <c r="A11" s="149" t="s">
        <v>53</v>
      </c>
      <c r="B11" s="150">
        <v>5</v>
      </c>
      <c r="C11" s="151"/>
      <c r="D11" s="152"/>
      <c r="E11" s="153"/>
      <c r="F11" s="152"/>
      <c r="G11" s="154"/>
      <c r="H11" s="155"/>
      <c r="I11" s="31"/>
      <c r="J11" s="156">
        <v>1</v>
      </c>
      <c r="K11" s="143">
        <f t="shared" si="10"/>
        <v>0</v>
      </c>
      <c r="L11" s="143">
        <f t="shared" si="11"/>
        <v>0</v>
      </c>
      <c r="M11" s="157" t="str">
        <f t="array" ref="M11">IFERROR(INDEX(субъект,MATCH(SUM(COUNTIF(M$6:M10,субъект)),COUNTIF(субъект,"&lt;"&amp;субъект),0)),"")</f>
        <v/>
      </c>
      <c r="N11" s="157" t="str">
        <f t="array" ref="N11">IFERROR(INDEX(разряд,MATCH(SUM(COUNTIF(N$6:N10,разряд)),COUNTIF(разряд,"&lt;"&amp;разряд),0)),"")</f>
        <v/>
      </c>
      <c r="O11" s="158">
        <v>5</v>
      </c>
      <c r="P11" s="103" t="str">
        <f t="shared" si="1"/>
        <v/>
      </c>
      <c r="Q11" s="159">
        <f t="shared" si="2"/>
        <v>0</v>
      </c>
      <c r="R11" s="159">
        <f t="shared" si="3"/>
        <v>0</v>
      </c>
      <c r="S11" s="160">
        <f t="shared" si="4"/>
        <v>0</v>
      </c>
      <c r="T11" s="161">
        <f t="shared" si="5"/>
        <v>0</v>
      </c>
      <c r="U11" s="161">
        <f t="shared" si="6"/>
        <v>0</v>
      </c>
      <c r="V11" s="161">
        <f t="shared" si="7"/>
        <v>0</v>
      </c>
      <c r="W11" s="161">
        <f t="shared" si="8"/>
        <v>0</v>
      </c>
      <c r="X11" s="104"/>
      <c r="Y11" s="101" t="str">
        <f t="shared" si="12"/>
        <v/>
      </c>
      <c r="Z11" s="101" t="str">
        <f>IF(OR($Y11=$Y9,$Y11=$Y10,$Y11=$Y8,$Y11=$Y7)," ",IF(Q11=0," ",Q11))</f>
        <v xml:space="preserve"> </v>
      </c>
      <c r="AA11" s="101" t="str">
        <f>IF(OR($Y11=$Y9,$Y11=$Y10,$Y11=$Y8,$Y11=$Y7)," ",IF(R11=0," ",R11))</f>
        <v xml:space="preserve"> </v>
      </c>
      <c r="AB11" s="101" t="str">
        <f>IF(OR($Y11=$Y9,$Y11=$Y10,$Y11=$Y8,$Y11=$Y7)," ",IF(S11=0," ",S11))</f>
        <v xml:space="preserve"> </v>
      </c>
      <c r="AC11" s="101" t="str">
        <f>IF(OR($Y11=$Y9,$Y11=$Y10,$Y11=$Y8,$Y11=$Y7)," ",IF(T11=0," ",T11))</f>
        <v xml:space="preserve"> </v>
      </c>
      <c r="AD11" s="101" t="str">
        <f t="shared" si="9"/>
        <v xml:space="preserve"> </v>
      </c>
      <c r="AE11" s="101" t="str">
        <f t="shared" si="9"/>
        <v xml:space="preserve"> </v>
      </c>
      <c r="AF11" s="101" t="str">
        <f t="shared" si="9"/>
        <v xml:space="preserve"> </v>
      </c>
    </row>
    <row r="12" spans="1:35" ht="24" hidden="1" customHeight="1">
      <c r="A12" s="149" t="s">
        <v>54</v>
      </c>
      <c r="B12" s="150">
        <v>6</v>
      </c>
      <c r="C12" s="151"/>
      <c r="D12" s="152"/>
      <c r="E12" s="151"/>
      <c r="F12" s="152"/>
      <c r="G12" s="151"/>
      <c r="H12" s="155"/>
      <c r="I12" s="31"/>
      <c r="J12" s="156">
        <v>1</v>
      </c>
      <c r="K12" s="143">
        <f t="shared" si="10"/>
        <v>0</v>
      </c>
      <c r="L12" s="143">
        <f t="shared" si="11"/>
        <v>0</v>
      </c>
      <c r="M12" s="157" t="str">
        <f t="array" ref="M12">IFERROR(INDEX(субъект,MATCH(SUM(COUNTIF(M$6:M11,субъект)),COUNTIF(субъект,"&lt;"&amp;субъект),0)),"")</f>
        <v/>
      </c>
      <c r="N12" s="157" t="str">
        <f t="array" ref="N12">IFERROR(INDEX(разряд,MATCH(SUM(COUNTIF(N$6:N11,разряд)),COUNTIF(разряд,"&lt;"&amp;разряд),0)),"")</f>
        <v/>
      </c>
      <c r="O12" s="158">
        <v>6</v>
      </c>
      <c r="P12" s="103" t="str">
        <f t="shared" si="1"/>
        <v/>
      </c>
      <c r="Q12" s="159">
        <f t="shared" si="2"/>
        <v>0</v>
      </c>
      <c r="R12" s="159">
        <f t="shared" si="3"/>
        <v>0</v>
      </c>
      <c r="S12" s="160">
        <f t="shared" si="4"/>
        <v>0</v>
      </c>
      <c r="T12" s="161">
        <f t="shared" si="5"/>
        <v>0</v>
      </c>
      <c r="U12" s="161">
        <f t="shared" si="6"/>
        <v>0</v>
      </c>
      <c r="V12" s="161">
        <f t="shared" si="7"/>
        <v>0</v>
      </c>
      <c r="W12" s="161">
        <f t="shared" si="8"/>
        <v>0</v>
      </c>
      <c r="X12" s="98"/>
      <c r="Y12" s="101" t="str">
        <f t="shared" si="12"/>
        <v/>
      </c>
      <c r="Z12" s="101" t="str">
        <f>IF(OR($Y12=$Y10,$Y12=$Y11,$Y12=$Y9,$Y12=$Y8,$Y12=$Y7)," ",IF(Q12=0," ",Q12))</f>
        <v xml:space="preserve"> </v>
      </c>
      <c r="AA12" s="101" t="str">
        <f>IF(OR($Y12=$Y10,$Y12=$Y11,$Y12=$Y9,$Y12=$Y8,$Y12=$Y7)," ",IF(R12=0," ",R12))</f>
        <v xml:space="preserve"> </v>
      </c>
      <c r="AB12" s="101" t="str">
        <f>IF(OR($Y12=$Y10,$Y12=$Y11,$Y12=$Y9,$Y12=$Y8,$Y12=$Y7)," ",IF(S12=0," ",S12))</f>
        <v xml:space="preserve"> </v>
      </c>
      <c r="AC12" s="101" t="str">
        <f>IF(OR($Y12=$Y10,$Y12=$Y11,$Y12=$Y9,$Y12=$Y8,$Y12=$Y7)," ",IF(T12=0," ",T12))</f>
        <v xml:space="preserve"> </v>
      </c>
      <c r="AD12" s="101" t="str">
        <f t="shared" si="9"/>
        <v xml:space="preserve"> </v>
      </c>
      <c r="AE12" s="101" t="str">
        <f t="shared" si="9"/>
        <v xml:space="preserve"> </v>
      </c>
      <c r="AF12" s="101" t="str">
        <f t="shared" si="9"/>
        <v xml:space="preserve"> </v>
      </c>
    </row>
    <row r="13" spans="1:35" ht="24" hidden="1" customHeight="1">
      <c r="A13" s="149" t="s">
        <v>55</v>
      </c>
      <c r="B13" s="164">
        <v>7</v>
      </c>
      <c r="C13" s="142"/>
      <c r="D13" s="142"/>
      <c r="E13" s="142"/>
      <c r="F13" s="152"/>
      <c r="G13" s="165"/>
      <c r="H13" s="166"/>
      <c r="I13" s="31"/>
      <c r="J13" s="156">
        <v>1</v>
      </c>
      <c r="K13" s="143">
        <f t="shared" si="10"/>
        <v>0</v>
      </c>
      <c r="L13" s="143">
        <f t="shared" si="11"/>
        <v>0</v>
      </c>
      <c r="M13" s="157" t="str">
        <f t="array" ref="M13">IFERROR(INDEX(субъект,MATCH(SUM(COUNTIF(M$6:M12,субъект)),COUNTIF(субъект,"&lt;"&amp;субъект),0)),"")</f>
        <v/>
      </c>
      <c r="N13" s="157" t="str">
        <f t="array" ref="N13">IFERROR(INDEX(разряд,MATCH(SUM(COUNTIF(N$6:N12,разряд)),COUNTIF(разряд,"&lt;"&amp;разряд),0)),"")</f>
        <v/>
      </c>
      <c r="O13" s="158">
        <v>7</v>
      </c>
      <c r="P13" s="103" t="str">
        <f t="shared" si="1"/>
        <v/>
      </c>
      <c r="Q13" s="159">
        <f t="shared" si="2"/>
        <v>0</v>
      </c>
      <c r="R13" s="159">
        <f t="shared" si="3"/>
        <v>0</v>
      </c>
      <c r="S13" s="160">
        <f t="shared" si="4"/>
        <v>0</v>
      </c>
      <c r="T13" s="161">
        <f t="shared" si="5"/>
        <v>0</v>
      </c>
      <c r="U13" s="161">
        <f t="shared" si="6"/>
        <v>0</v>
      </c>
      <c r="V13" s="161">
        <f t="shared" si="7"/>
        <v>0</v>
      </c>
      <c r="W13" s="161">
        <f t="shared" si="8"/>
        <v>0</v>
      </c>
      <c r="X13" s="104"/>
      <c r="Y13" s="101" t="str">
        <f t="shared" si="12"/>
        <v/>
      </c>
      <c r="Z13" s="101" t="str">
        <f>IF(OR($Y13=$Y11,$Y13=$Y12,$Y13=$Y10,$Y13=$Y9,$Y13=$Y8,$Y13=$Y7)," ",IF(Q13=0," ",Q13))</f>
        <v xml:space="preserve"> </v>
      </c>
      <c r="AA13" s="101" t="str">
        <f>IF(OR($Y13=$Y11,$Y13=$Y12,$Y13=$Y10,$Y13=$Y9,$Y13=$Y8,$Y13=$Y7)," ",IF(R13=0," ",R13))</f>
        <v xml:space="preserve"> </v>
      </c>
      <c r="AB13" s="101" t="str">
        <f>IF(OR($Y13=$Y11,$Y13=$Y12,$Y13=$Y10,$Y13=$Y9,$Y13=$Y8,$Y13=$Y7)," ",IF(S13=0," ",S13))</f>
        <v xml:space="preserve"> </v>
      </c>
      <c r="AC13" s="101" t="str">
        <f>IF(OR($Y13=$Y11,$Y13=$Y12,$Y13=$Y10,$Y13=$Y9,$Y13=$Y8,$Y13=$Y7)," ",IF(T13=0," ",T13))</f>
        <v xml:space="preserve"> </v>
      </c>
      <c r="AD13" s="101" t="str">
        <f t="shared" si="9"/>
        <v xml:space="preserve"> </v>
      </c>
      <c r="AE13" s="101" t="str">
        <f t="shared" si="9"/>
        <v xml:space="preserve"> </v>
      </c>
      <c r="AF13" s="101" t="str">
        <f t="shared" si="9"/>
        <v xml:space="preserve"> </v>
      </c>
    </row>
    <row r="14" spans="1:35" ht="24" hidden="1" customHeight="1">
      <c r="A14" s="149" t="s">
        <v>56</v>
      </c>
      <c r="B14" s="164">
        <v>8</v>
      </c>
      <c r="C14" s="142"/>
      <c r="D14" s="142"/>
      <c r="E14" s="142"/>
      <c r="F14" s="142"/>
      <c r="G14" s="165"/>
      <c r="H14" s="166"/>
      <c r="I14" s="31"/>
      <c r="J14" s="156">
        <v>1</v>
      </c>
      <c r="K14" s="143">
        <f t="shared" si="10"/>
        <v>0</v>
      </c>
      <c r="L14" s="143">
        <f t="shared" si="11"/>
        <v>0</v>
      </c>
      <c r="M14" s="157" t="str">
        <f t="array" ref="M14">IFERROR(INDEX(субъект,MATCH(SUM(COUNTIF(M$6:M13,субъект)),COUNTIF(субъект,"&lt;"&amp;субъект),0)),"")</f>
        <v/>
      </c>
      <c r="N14" s="157" t="str">
        <f t="array" ref="N14">IFERROR(INDEX(разряд,MATCH(SUM(COUNTIF(N$6:N13,разряд)),COUNTIF(разряд,"&lt;"&amp;разряд),0)),"")</f>
        <v/>
      </c>
      <c r="O14" s="158">
        <v>8</v>
      </c>
      <c r="P14" s="103" t="str">
        <f t="shared" si="1"/>
        <v/>
      </c>
      <c r="Q14" s="159">
        <f t="shared" si="2"/>
        <v>0</v>
      </c>
      <c r="R14" s="159">
        <f t="shared" si="3"/>
        <v>0</v>
      </c>
      <c r="S14" s="160">
        <f t="shared" si="4"/>
        <v>0</v>
      </c>
      <c r="T14" s="161">
        <f t="shared" si="5"/>
        <v>0</v>
      </c>
      <c r="U14" s="161">
        <f t="shared" si="6"/>
        <v>0</v>
      </c>
      <c r="V14" s="161">
        <f t="shared" si="7"/>
        <v>0</v>
      </c>
      <c r="W14" s="161">
        <f t="shared" si="8"/>
        <v>0</v>
      </c>
      <c r="X14" s="104"/>
      <c r="Y14" s="101" t="str">
        <f t="shared" si="12"/>
        <v/>
      </c>
      <c r="Z14" s="101" t="str">
        <f>IF(OR($Y14=$Y12,$Y14=$Y13,$Y14=$Y11,$Y14=$Y10,$Y14=$Y9,$Y14=$Y7)," ",IF(Q14=0," ",Q14))</f>
        <v xml:space="preserve"> </v>
      </c>
      <c r="AA14" s="101" t="str">
        <f>IF(OR($Y14=$Y12,$Y14=$Y13,$Y14=$Y11,$Y14=$Y10,$Y14=$Y9,$Y14=$Y7)," ",IF(R14=0," ",R14))</f>
        <v xml:space="preserve"> </v>
      </c>
      <c r="AB14" s="101" t="str">
        <f>IF(OR($Y14=$Y12,$Y14=$Y13,$Y14=$Y11,$Y14=$Y10,$Y14=$Y9,$Y14=$Y7)," ",IF(S14=0," ",S14))</f>
        <v xml:space="preserve"> </v>
      </c>
      <c r="AC14" s="101" t="str">
        <f>IF(OR($Y14=$Y12,$Y14=$Y13,$Y14=$Y11,$Y14=$Y10,$Y14=$Y9,$Y14=$Y7)," ",IF(T14=0," ",T14))</f>
        <v xml:space="preserve"> </v>
      </c>
      <c r="AD14" s="101" t="str">
        <f t="shared" si="9"/>
        <v xml:space="preserve"> </v>
      </c>
      <c r="AE14" s="101" t="str">
        <f t="shared" si="9"/>
        <v xml:space="preserve"> </v>
      </c>
      <c r="AF14" s="101" t="str">
        <f t="shared" si="9"/>
        <v xml:space="preserve"> </v>
      </c>
    </row>
    <row r="15" spans="1:35" ht="13">
      <c r="A15" s="5" t="s">
        <v>38</v>
      </c>
      <c r="D15" s="137"/>
      <c r="E15" s="137"/>
      <c r="F15" s="137"/>
      <c r="G15" s="137"/>
      <c r="H15" s="137"/>
      <c r="I15" s="3"/>
      <c r="J15" s="254"/>
      <c r="K15" s="255"/>
      <c r="L15" s="256"/>
      <c r="M15" s="136"/>
      <c r="N15" s="136"/>
      <c r="O15" s="3"/>
    </row>
    <row r="16" spans="1:35" ht="13">
      <c r="D16" s="137"/>
      <c r="E16" s="137"/>
      <c r="F16" s="137"/>
      <c r="G16" s="137"/>
      <c r="H16" s="137"/>
      <c r="J16" s="254"/>
      <c r="K16" s="255"/>
      <c r="L16" s="256"/>
      <c r="M16" s="136"/>
      <c r="N16" s="136"/>
      <c r="O16" s="3"/>
    </row>
    <row r="17" spans="1:15" ht="13">
      <c r="A17" s="5" t="s">
        <v>39</v>
      </c>
      <c r="D17" s="137"/>
      <c r="E17" s="137"/>
      <c r="F17" s="137"/>
      <c r="G17" s="137"/>
      <c r="H17" s="137"/>
      <c r="J17" s="254"/>
      <c r="K17" s="255"/>
      <c r="L17" s="256"/>
      <c r="M17" s="136"/>
      <c r="N17" s="136"/>
      <c r="O17" s="3"/>
    </row>
    <row r="18" spans="1:15" ht="13">
      <c r="D18" s="137"/>
      <c r="E18" s="137"/>
      <c r="F18" s="137"/>
      <c r="G18" s="137"/>
      <c r="H18" s="137"/>
      <c r="J18" s="254"/>
      <c r="K18" s="255"/>
      <c r="L18" s="256"/>
      <c r="M18" s="136"/>
      <c r="N18" s="136"/>
      <c r="O18" s="3"/>
    </row>
    <row r="19" spans="1:15" ht="13">
      <c r="A19" s="5" t="s">
        <v>40</v>
      </c>
      <c r="D19" s="137"/>
      <c r="E19" s="137"/>
      <c r="F19" s="137"/>
      <c r="G19" s="137"/>
      <c r="H19" s="137"/>
      <c r="J19" s="254"/>
      <c r="K19" s="255"/>
      <c r="L19" s="256"/>
      <c r="M19" s="136"/>
      <c r="N19" s="136"/>
      <c r="O19" s="3"/>
    </row>
    <row r="20" spans="1:15" ht="13">
      <c r="D20" s="137"/>
      <c r="E20" s="137"/>
      <c r="F20" s="137"/>
      <c r="G20" s="137"/>
      <c r="H20" s="137"/>
      <c r="J20" s="254"/>
      <c r="K20" s="255"/>
      <c r="L20" s="256"/>
      <c r="M20" s="136"/>
      <c r="N20" s="136"/>
      <c r="O20" s="3"/>
    </row>
    <row r="21" spans="1:15" ht="13">
      <c r="A21" s="5" t="s">
        <v>41</v>
      </c>
      <c r="D21" s="137"/>
      <c r="E21" s="137"/>
      <c r="F21" s="137"/>
      <c r="G21" s="137"/>
      <c r="H21" s="137"/>
      <c r="J21" s="254"/>
      <c r="K21" s="255"/>
      <c r="L21" s="256"/>
      <c r="M21" s="136"/>
      <c r="N21" s="136"/>
      <c r="O21" s="3"/>
    </row>
    <row r="22" spans="1:15" ht="13">
      <c r="A22" s="137"/>
      <c r="B22" s="137"/>
      <c r="C22" s="137"/>
      <c r="D22" s="137"/>
      <c r="E22" s="137"/>
      <c r="F22" s="137"/>
      <c r="G22" s="137"/>
      <c r="H22" s="137"/>
      <c r="J22" s="254"/>
      <c r="K22" s="255"/>
      <c r="L22" s="256"/>
      <c r="M22" s="136"/>
      <c r="N22" s="136"/>
      <c r="O22" s="3"/>
    </row>
    <row r="73" spans="9:9">
      <c r="I73" s="137"/>
    </row>
    <row r="74" spans="9:9">
      <c r="I74" s="137"/>
    </row>
    <row r="75" spans="9:9">
      <c r="I75" s="137"/>
    </row>
    <row r="76" spans="9:9">
      <c r="I76" s="137"/>
    </row>
    <row r="77" spans="9:9">
      <c r="I77" s="137"/>
    </row>
    <row r="78" spans="9:9">
      <c r="I78" s="137"/>
    </row>
    <row r="79" spans="9:9">
      <c r="I79" s="137"/>
    </row>
    <row r="80" spans="9:9">
      <c r="I80" s="137"/>
    </row>
    <row r="81" spans="9:9">
      <c r="I81" s="137"/>
    </row>
    <row r="82" spans="9:9">
      <c r="I82" s="137"/>
    </row>
    <row r="83" spans="9:9">
      <c r="I83" s="137"/>
    </row>
    <row r="84" spans="9:9">
      <c r="I84" s="137"/>
    </row>
    <row r="85" spans="9:9">
      <c r="I85" s="137"/>
    </row>
    <row r="86" spans="9:9">
      <c r="I86" s="137"/>
    </row>
    <row r="87" spans="9:9">
      <c r="I87" s="137"/>
    </row>
    <row r="88" spans="9:9">
      <c r="I88" s="137"/>
    </row>
    <row r="89" spans="9:9">
      <c r="I89" s="137"/>
    </row>
    <row r="90" spans="9:9">
      <c r="I90" s="137"/>
    </row>
    <row r="91" spans="9:9">
      <c r="I91" s="137"/>
    </row>
    <row r="92" spans="9:9">
      <c r="I92" s="137"/>
    </row>
    <row r="93" spans="9:9">
      <c r="I93" s="137"/>
    </row>
    <row r="94" spans="9:9">
      <c r="I94" s="137"/>
    </row>
    <row r="95" spans="9:9">
      <c r="I95" s="137"/>
    </row>
    <row r="96" spans="9:9">
      <c r="I96" s="137"/>
    </row>
    <row r="97" spans="9:9">
      <c r="I97" s="137"/>
    </row>
    <row r="98" spans="9:9">
      <c r="I98" s="137"/>
    </row>
    <row r="99" spans="9:9">
      <c r="I99" s="137"/>
    </row>
    <row r="100" spans="9:9">
      <c r="I100" s="137"/>
    </row>
    <row r="101" spans="9:9">
      <c r="I101" s="137"/>
    </row>
    <row r="102" spans="9:9">
      <c r="I102" s="137"/>
    </row>
    <row r="103" spans="9:9">
      <c r="I103" s="137"/>
    </row>
    <row r="104" spans="9:9">
      <c r="I104" s="137"/>
    </row>
    <row r="105" spans="9:9">
      <c r="I105" s="137"/>
    </row>
    <row r="106" spans="9:9">
      <c r="I106" s="137"/>
    </row>
    <row r="107" spans="9:9">
      <c r="I107" s="137"/>
    </row>
    <row r="108" spans="9:9">
      <c r="I108" s="137"/>
    </row>
    <row r="109" spans="9:9">
      <c r="I109" s="137"/>
    </row>
    <row r="110" spans="9:9">
      <c r="I110" s="137"/>
    </row>
    <row r="111" spans="9:9">
      <c r="I111" s="137"/>
    </row>
    <row r="112" spans="9:9">
      <c r="I112" s="137"/>
    </row>
    <row r="113" spans="9:9">
      <c r="I113" s="137"/>
    </row>
    <row r="114" spans="9:9">
      <c r="I114" s="137"/>
    </row>
    <row r="115" spans="9:9">
      <c r="I115" s="137"/>
    </row>
    <row r="116" spans="9:9">
      <c r="I116" s="137"/>
    </row>
    <row r="117" spans="9:9">
      <c r="I117" s="137"/>
    </row>
    <row r="118" spans="9:9">
      <c r="I118" s="137"/>
    </row>
    <row r="119" spans="9:9">
      <c r="I119" s="137"/>
    </row>
    <row r="120" spans="9:9">
      <c r="I120" s="137"/>
    </row>
    <row r="121" spans="9:9">
      <c r="I121" s="137"/>
    </row>
    <row r="122" spans="9:9">
      <c r="I122" s="137"/>
    </row>
    <row r="123" spans="9:9">
      <c r="I123" s="137"/>
    </row>
    <row r="124" spans="9:9">
      <c r="I124" s="137"/>
    </row>
    <row r="125" spans="9:9">
      <c r="I125" s="137"/>
    </row>
    <row r="126" spans="9:9">
      <c r="I126" s="137"/>
    </row>
    <row r="127" spans="9:9">
      <c r="I127" s="137"/>
    </row>
    <row r="128" spans="9:9">
      <c r="I128" s="137"/>
    </row>
    <row r="129" spans="9:9">
      <c r="I129" s="137"/>
    </row>
    <row r="130" spans="9:9">
      <c r="I130" s="137"/>
    </row>
    <row r="131" spans="9:9">
      <c r="I131" s="137"/>
    </row>
    <row r="132" spans="9:9">
      <c r="I132" s="137"/>
    </row>
    <row r="133" spans="9:9">
      <c r="I133" s="137"/>
    </row>
    <row r="134" spans="9:9">
      <c r="I134" s="137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4">
    <sortCondition ref="B7:B14"/>
  </sortState>
  <mergeCells count="25"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tabColor indexed="14"/>
  </sheetPr>
  <dimension ref="A1:AB33"/>
  <sheetViews>
    <sheetView workbookViewId="0">
      <selection activeCell="U29" sqref="A1:U29"/>
    </sheetView>
  </sheetViews>
  <sheetFormatPr defaultRowHeight="12.5"/>
  <cols>
    <col min="1" max="1" width="4.81640625" customWidth="1"/>
    <col min="2" max="2" width="17.54296875" customWidth="1"/>
    <col min="3" max="3" width="10.54296875" customWidth="1"/>
    <col min="4" max="4" width="9.54296875" customWidth="1"/>
    <col min="5" max="17" width="4.7265625" customWidth="1"/>
    <col min="18" max="18" width="17.54296875" customWidth="1"/>
    <col min="19" max="19" width="10.54296875" customWidth="1"/>
    <col min="20" max="20" width="9.54296875" customWidth="1"/>
    <col min="21" max="21" width="4.7265625" customWidth="1"/>
    <col min="23" max="23" width="9.1796875" customWidth="1"/>
    <col min="24" max="24" width="0" hidden="1" customWidth="1"/>
    <col min="25" max="25" width="5.7265625" hidden="1" customWidth="1"/>
    <col min="26" max="26" width="2.7265625" hidden="1" customWidth="1"/>
    <col min="27" max="27" width="0" hidden="1" customWidth="1"/>
  </cols>
  <sheetData>
    <row r="1" spans="1:28" ht="24.75" customHeight="1">
      <c r="A1" s="295" t="s">
        <v>22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X1" s="99"/>
      <c r="Y1" s="99"/>
      <c r="Z1" s="99"/>
      <c r="AA1" s="99"/>
    </row>
    <row r="2" spans="1:28" ht="26.25" customHeight="1" thickBot="1">
      <c r="A2" s="74"/>
      <c r="B2" s="74"/>
      <c r="C2" s="296" t="s">
        <v>80</v>
      </c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74"/>
      <c r="T2" s="74"/>
      <c r="U2" s="74"/>
      <c r="X2" s="99"/>
      <c r="Y2" s="99"/>
      <c r="Z2" s="99"/>
      <c r="AA2" s="99"/>
    </row>
    <row r="3" spans="1:28" ht="36" customHeight="1" thickBot="1">
      <c r="A3" s="74"/>
      <c r="B3" s="74"/>
      <c r="C3" s="305" t="str">
        <f>пр.взв!B2</f>
        <v xml:space="preserve">Международное соревнование Гран-При по самбо  (ЕКП 2079780016026609) </v>
      </c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306"/>
      <c r="Q3" s="306"/>
      <c r="R3" s="307"/>
      <c r="S3" s="74"/>
      <c r="T3" s="74"/>
      <c r="U3" s="74"/>
      <c r="X3" s="99"/>
      <c r="Y3" s="99"/>
      <c r="Z3" s="99"/>
      <c r="AA3" s="99"/>
    </row>
    <row r="4" spans="1:28" ht="26.25" customHeight="1" thickBot="1">
      <c r="A4" s="34"/>
      <c r="B4" s="34"/>
      <c r="C4" s="308" t="str">
        <f>пр.взв!A3</f>
        <v>29 - 31 августа 2024 г.                             г.Санкт-Петербург</v>
      </c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74"/>
      <c r="T4" s="74"/>
      <c r="U4" s="74"/>
      <c r="X4" s="99"/>
      <c r="Y4" s="99"/>
      <c r="Z4" s="99"/>
      <c r="AA4" s="99"/>
    </row>
    <row r="5" spans="1:28" ht="21" customHeight="1" thickBot="1">
      <c r="A5" s="140"/>
      <c r="B5" s="140"/>
      <c r="C5" s="140"/>
      <c r="D5" s="140"/>
      <c r="E5" s="140"/>
      <c r="F5" s="140"/>
      <c r="G5" s="140"/>
      <c r="H5" s="324" t="str">
        <f>HYPERLINK(пр.взв!D4)</f>
        <v>В.к. 50  кг.</v>
      </c>
      <c r="I5" s="325"/>
      <c r="J5" s="325"/>
      <c r="K5" s="325"/>
      <c r="L5" s="325"/>
      <c r="M5" s="325"/>
      <c r="N5" s="326"/>
      <c r="O5" s="315" t="str">
        <f>W5&amp;" "&amp;AB5</f>
        <v>4 участницы</v>
      </c>
      <c r="P5" s="316"/>
      <c r="Q5" s="317"/>
      <c r="R5" s="139"/>
      <c r="S5" s="140"/>
      <c r="T5" s="140"/>
      <c r="U5" s="140"/>
      <c r="W5">
        <v>4</v>
      </c>
      <c r="X5" s="99"/>
      <c r="Y5" s="99"/>
      <c r="Z5" s="99"/>
      <c r="AA5" s="99"/>
      <c r="AB5" s="5" t="s">
        <v>87</v>
      </c>
    </row>
    <row r="6" spans="1:28" ht="15" customHeight="1">
      <c r="A6" s="140"/>
      <c r="B6" s="140"/>
      <c r="C6" s="140"/>
      <c r="D6" s="140"/>
      <c r="E6" s="199"/>
      <c r="F6" s="199"/>
      <c r="G6" s="199"/>
      <c r="H6" s="61"/>
      <c r="I6" s="62"/>
      <c r="J6" s="62"/>
      <c r="K6" s="62"/>
      <c r="L6" s="62"/>
      <c r="M6" s="62"/>
      <c r="N6" s="199"/>
      <c r="O6" s="199"/>
      <c r="P6" s="199"/>
      <c r="Q6" s="199"/>
      <c r="R6" s="140"/>
      <c r="S6" s="140"/>
      <c r="T6" s="140"/>
      <c r="U6" s="140"/>
      <c r="X6" s="99"/>
      <c r="Y6" s="99"/>
      <c r="Z6" s="99"/>
      <c r="AA6" s="99"/>
    </row>
    <row r="7" spans="1:28" ht="18" customHeight="1" thickBot="1">
      <c r="A7" s="298" t="s">
        <v>0</v>
      </c>
      <c r="B7" s="298"/>
      <c r="C7" s="140"/>
      <c r="D7" s="140"/>
      <c r="E7" s="200"/>
      <c r="F7" s="200"/>
      <c r="G7" s="200"/>
      <c r="H7" s="200"/>
      <c r="I7" s="327" t="s">
        <v>18</v>
      </c>
      <c r="J7" s="327"/>
      <c r="K7" s="327"/>
      <c r="L7" s="327"/>
      <c r="M7" s="327"/>
      <c r="N7" s="200"/>
      <c r="O7" s="200"/>
      <c r="P7" s="200"/>
      <c r="Q7" s="63"/>
      <c r="R7" s="188"/>
      <c r="S7" s="201"/>
      <c r="T7" s="297" t="s">
        <v>1</v>
      </c>
      <c r="U7" s="297"/>
      <c r="X7" s="99"/>
      <c r="Y7" s="99"/>
      <c r="Z7" s="99"/>
      <c r="AA7" s="99"/>
    </row>
    <row r="8" spans="1:28" ht="12.75" customHeight="1" thickTop="1" thickBot="1">
      <c r="A8" s="292">
        <v>1</v>
      </c>
      <c r="B8" s="280" t="str">
        <f>IFERROR(VLOOKUP(пр.хода!A8,пр.взв!$B$7:$H$14,2,0),"")</f>
        <v>МУХАМЕТЬЯНОВА Алия Ришатовна</v>
      </c>
      <c r="C8" s="280" t="str">
        <f>IFERROR(VLOOKUP(A8,пр.взв!$B$7:$H$14,3,0),"")</f>
        <v>02.01.2005, МС</v>
      </c>
      <c r="D8" s="289" t="str">
        <f>IFERROR(VLOOKUP(A8,пр.взв!$B$7:$H$14,5,0),"")</f>
        <v>Россия, Уфа, ГАУ ДО СШ им.Н.Гастелло Р.Б.</v>
      </c>
      <c r="E8" s="200"/>
      <c r="F8" s="200"/>
      <c r="G8" s="200"/>
      <c r="H8" s="240"/>
      <c r="I8" s="240" t="s">
        <v>23</v>
      </c>
      <c r="J8" s="219"/>
      <c r="K8" s="200"/>
      <c r="L8" s="200"/>
      <c r="M8" s="200"/>
      <c r="N8" s="200"/>
      <c r="O8" s="200"/>
      <c r="P8" s="200"/>
      <c r="Q8" s="200"/>
      <c r="R8" s="277" t="str">
        <f>IFERROR(VLOOKUP(U8,пр.взв!$B$7:$H$14,2,0),"")</f>
        <v>АНИЩЕНКО Софья Андреевна</v>
      </c>
      <c r="S8" s="280" t="str">
        <f>IFERROR(VLOOKUP(U8,пр.взв!$B$7:$H$14,3,0),"")</f>
        <v>05.11.2006, КМС</v>
      </c>
      <c r="T8" s="283" t="str">
        <f>IFERROR(VLOOKUP(U8,пр.взв!$B$7:$H$14,5,0),"")</f>
        <v>Санкт-Петербург, ГБУ ДО СШОР "КШВСМ"</v>
      </c>
      <c r="U8" s="274">
        <v>2</v>
      </c>
      <c r="X8" s="99"/>
      <c r="Y8" s="99"/>
      <c r="Z8" s="99"/>
      <c r="AA8" s="99"/>
    </row>
    <row r="9" spans="1:28" ht="12.75" customHeight="1" thickTop="1">
      <c r="A9" s="293"/>
      <c r="B9" s="281"/>
      <c r="C9" s="281"/>
      <c r="D9" s="290"/>
      <c r="E9" s="62"/>
      <c r="F9" s="200"/>
      <c r="G9" s="202"/>
      <c r="H9" s="203"/>
      <c r="I9" s="299" t="str">
        <f>IFERROR(VLOOKUP(H9,пр.взв!$B$7:$H$14,2,0),"")</f>
        <v/>
      </c>
      <c r="J9" s="300"/>
      <c r="K9" s="300"/>
      <c r="L9" s="300"/>
      <c r="M9" s="301"/>
      <c r="N9" s="200"/>
      <c r="O9" s="200"/>
      <c r="P9" s="200"/>
      <c r="Q9" s="62"/>
      <c r="R9" s="278"/>
      <c r="S9" s="281"/>
      <c r="T9" s="284"/>
      <c r="U9" s="275"/>
      <c r="X9" s="99"/>
      <c r="Y9" s="99"/>
      <c r="Z9" s="99"/>
      <c r="AA9" s="99"/>
    </row>
    <row r="10" spans="1:28" ht="12.75" customHeight="1" thickBot="1">
      <c r="A10" s="293"/>
      <c r="B10" s="281"/>
      <c r="C10" s="281"/>
      <c r="D10" s="290"/>
      <c r="E10" s="204"/>
      <c r="F10" s="58"/>
      <c r="G10" s="58"/>
      <c r="H10" s="58"/>
      <c r="I10" s="302"/>
      <c r="J10" s="303"/>
      <c r="K10" s="303"/>
      <c r="L10" s="303"/>
      <c r="M10" s="304"/>
      <c r="N10" s="200"/>
      <c r="O10" s="58"/>
      <c r="P10" s="58"/>
      <c r="Q10" s="204"/>
      <c r="R10" s="278"/>
      <c r="S10" s="281"/>
      <c r="T10" s="284"/>
      <c r="U10" s="275"/>
      <c r="X10" s="99"/>
      <c r="Y10" s="99"/>
      <c r="Z10" s="99"/>
      <c r="AA10" s="99"/>
    </row>
    <row r="11" spans="1:28" ht="12.75" customHeight="1" thickTop="1" thickBot="1">
      <c r="A11" s="294"/>
      <c r="B11" s="282"/>
      <c r="C11" s="282"/>
      <c r="D11" s="291"/>
      <c r="E11" s="200"/>
      <c r="F11" s="318"/>
      <c r="G11" s="319"/>
      <c r="H11" s="205"/>
      <c r="I11" s="200"/>
      <c r="J11" s="200"/>
      <c r="K11" s="53"/>
      <c r="L11" s="200"/>
      <c r="M11" s="200"/>
      <c r="N11" s="58"/>
      <c r="O11" s="318"/>
      <c r="P11" s="319"/>
      <c r="Q11" s="200"/>
      <c r="R11" s="279"/>
      <c r="S11" s="282"/>
      <c r="T11" s="285"/>
      <c r="U11" s="276"/>
      <c r="X11" s="99"/>
      <c r="Y11" s="99"/>
      <c r="Z11" s="99"/>
      <c r="AA11" s="99"/>
    </row>
    <row r="12" spans="1:28" ht="12.75" customHeight="1" thickTop="1" thickBot="1">
      <c r="A12" s="292">
        <v>3</v>
      </c>
      <c r="B12" s="280" t="str">
        <f>IFERROR(VLOOKUP(пр.хода!A12,пр.взв!$B$7:$H$14,2,0),"")</f>
        <v>ПОЛЫГАЛОВА Ольга Сергеевна</v>
      </c>
      <c r="C12" s="280" t="str">
        <f>IFERROR(VLOOKUP(A12,пр.взв!$B$7:$H$14,3,0),"")</f>
        <v>28.08.2002, МС</v>
      </c>
      <c r="D12" s="289" t="str">
        <f>IFERROR(VLOOKUP(A12,пр.взв!$B$7:$H$14,5,0),"")</f>
        <v>Россия, Березники, МО</v>
      </c>
      <c r="E12" s="206"/>
      <c r="F12" s="320"/>
      <c r="G12" s="321"/>
      <c r="H12" s="205"/>
      <c r="I12" s="200"/>
      <c r="J12" s="200"/>
      <c r="K12" s="200"/>
      <c r="L12" s="200"/>
      <c r="M12" s="200"/>
      <c r="N12" s="58"/>
      <c r="O12" s="322"/>
      <c r="P12" s="323"/>
      <c r="Q12" s="206"/>
      <c r="R12" s="277" t="str">
        <f>IFERROR(VLOOKUP(U12,пр.взв!$B$7:$H$14,2,0),"")</f>
        <v>АМИРЯН Арпине</v>
      </c>
      <c r="S12" s="280" t="str">
        <f>IFERROR(VLOOKUP(U12,пр.взв!$B$7:$H$14,3,0),"")</f>
        <v>11.04.2001, КМС</v>
      </c>
      <c r="T12" s="283" t="str">
        <f>IFERROR(VLOOKUP(U12,пр.взв!$B$7:$H$14,5,0),"")</f>
        <v>Армения</v>
      </c>
      <c r="U12" s="274">
        <v>4</v>
      </c>
      <c r="X12" s="99"/>
      <c r="Y12" s="99"/>
      <c r="Z12" s="99"/>
      <c r="AA12" s="99"/>
    </row>
    <row r="13" spans="1:28" ht="12.75" customHeight="1" thickTop="1" thickBot="1">
      <c r="A13" s="293"/>
      <c r="B13" s="281"/>
      <c r="C13" s="281"/>
      <c r="D13" s="290"/>
      <c r="E13" s="62"/>
      <c r="F13" s="58"/>
      <c r="G13" s="58"/>
      <c r="H13" s="218"/>
      <c r="I13" s="240" t="s">
        <v>24</v>
      </c>
      <c r="J13" s="219"/>
      <c r="K13" s="200"/>
      <c r="L13" s="200"/>
      <c r="M13" s="200"/>
      <c r="N13" s="58"/>
      <c r="O13" s="58"/>
      <c r="P13" s="58"/>
      <c r="Q13" s="62"/>
      <c r="R13" s="278"/>
      <c r="S13" s="281"/>
      <c r="T13" s="284"/>
      <c r="U13" s="275"/>
      <c r="X13" s="99"/>
      <c r="Y13" s="99"/>
      <c r="Z13" s="99"/>
      <c r="AA13" s="99"/>
    </row>
    <row r="14" spans="1:28" ht="12.75" customHeight="1" thickTop="1">
      <c r="A14" s="293"/>
      <c r="B14" s="281"/>
      <c r="C14" s="281"/>
      <c r="D14" s="290"/>
      <c r="E14" s="204"/>
      <c r="F14" s="200"/>
      <c r="G14" s="202"/>
      <c r="H14" s="203"/>
      <c r="I14" s="309" t="str">
        <f>IFERROR(VLOOKUP(H14,пр.взв!$B$7:$H$14,2,0),"")</f>
        <v/>
      </c>
      <c r="J14" s="310"/>
      <c r="K14" s="310"/>
      <c r="L14" s="310"/>
      <c r="M14" s="311"/>
      <c r="N14" s="200"/>
      <c r="O14" s="200"/>
      <c r="P14" s="200"/>
      <c r="Q14" s="204"/>
      <c r="R14" s="278"/>
      <c r="S14" s="281"/>
      <c r="T14" s="284"/>
      <c r="U14" s="275"/>
      <c r="X14" s="99"/>
      <c r="Y14" s="99"/>
      <c r="Z14" s="99"/>
      <c r="AA14" s="99"/>
    </row>
    <row r="15" spans="1:28" ht="12.75" customHeight="1" thickBot="1">
      <c r="A15" s="294"/>
      <c r="B15" s="282"/>
      <c r="C15" s="282"/>
      <c r="D15" s="291"/>
      <c r="E15" s="200"/>
      <c r="F15" s="200"/>
      <c r="G15" s="202"/>
      <c r="H15" s="58"/>
      <c r="I15" s="312"/>
      <c r="J15" s="313"/>
      <c r="K15" s="313"/>
      <c r="L15" s="313"/>
      <c r="M15" s="314"/>
      <c r="N15" s="200"/>
      <c r="O15" s="200"/>
      <c r="P15" s="200"/>
      <c r="Q15" s="200"/>
      <c r="R15" s="279"/>
      <c r="S15" s="282"/>
      <c r="T15" s="285"/>
      <c r="U15" s="276"/>
      <c r="X15" s="99"/>
      <c r="Y15" s="99"/>
      <c r="Z15" s="99"/>
      <c r="AA15" s="99"/>
    </row>
    <row r="16" spans="1:28" ht="12.75" customHeight="1" thickTop="1">
      <c r="A16" s="207"/>
      <c r="B16" s="207"/>
      <c r="C16" s="207"/>
      <c r="D16" s="14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1"/>
      <c r="S16" s="201"/>
      <c r="T16" s="201"/>
      <c r="U16" s="208"/>
      <c r="X16" s="99"/>
      <c r="Y16" s="99"/>
      <c r="Z16" s="99"/>
      <c r="AA16" s="99"/>
    </row>
    <row r="17" spans="1:27" ht="12" customHeight="1">
      <c r="A17" s="186"/>
      <c r="B17" s="140"/>
      <c r="C17" s="140"/>
      <c r="D17" s="140"/>
      <c r="E17" s="201"/>
      <c r="F17" s="201"/>
      <c r="G17" s="201"/>
      <c r="H17" s="201"/>
      <c r="I17" s="201"/>
      <c r="J17" s="201"/>
      <c r="K17" s="201"/>
      <c r="L17" s="201"/>
      <c r="M17" s="201"/>
      <c r="N17" s="201"/>
      <c r="O17" s="201"/>
      <c r="P17" s="201"/>
      <c r="Q17" s="201"/>
      <c r="R17" s="201"/>
      <c r="S17" s="201"/>
      <c r="T17" s="201"/>
      <c r="U17" s="187"/>
      <c r="X17" s="99"/>
      <c r="Y17" s="99"/>
      <c r="Z17" s="99"/>
      <c r="AA17" s="99"/>
    </row>
    <row r="18" spans="1:27" ht="12.75" customHeight="1">
      <c r="A18" s="209"/>
      <c r="B18" s="210"/>
      <c r="C18" s="186"/>
      <c r="D18" s="141"/>
      <c r="E18" s="141"/>
      <c r="F18" s="140"/>
      <c r="G18" s="140"/>
      <c r="H18" s="140"/>
      <c r="I18" s="140"/>
      <c r="J18" s="141"/>
      <c r="K18" s="140"/>
      <c r="L18" s="140"/>
      <c r="M18" s="140"/>
      <c r="N18" s="140"/>
      <c r="O18" s="140"/>
      <c r="P18" s="140"/>
      <c r="Q18" s="141"/>
      <c r="R18" s="211"/>
      <c r="S18" s="288"/>
      <c r="T18" s="288"/>
      <c r="U18" s="212"/>
      <c r="V18" s="74"/>
      <c r="X18" s="94"/>
      <c r="Y18" s="95" t="str">
        <f>IF(U10=""," ",IF(Q9=""," ",IF(Q9=U8,U10,IF(Q9=U10,U8,"Х"))))</f>
        <v xml:space="preserve"> </v>
      </c>
      <c r="Z18" s="96" t="str">
        <f>IF(R18=""," ",IF(R18=Q21,S23,R18))</f>
        <v xml:space="preserve"> </v>
      </c>
      <c r="AA18" s="94"/>
    </row>
    <row r="19" spans="1:27" ht="12.75" customHeight="1">
      <c r="A19" s="209" t="str">
        <f>Y19</f>
        <v xml:space="preserve"> </v>
      </c>
      <c r="B19" s="288" t="str">
        <f>IFERROR(VLOOKUP(A19,пр.взв!$B$7:$H$14,2,0),"")</f>
        <v/>
      </c>
      <c r="C19" s="213"/>
      <c r="D19" s="141"/>
      <c r="E19" s="141"/>
      <c r="F19" s="140"/>
      <c r="G19" s="217" t="s">
        <v>36</v>
      </c>
      <c r="H19" s="140"/>
      <c r="I19" s="140"/>
      <c r="J19" s="141"/>
      <c r="K19" s="140"/>
      <c r="L19" s="140"/>
      <c r="M19" s="140"/>
      <c r="N19" s="217" t="s">
        <v>36</v>
      </c>
      <c r="O19" s="140"/>
      <c r="P19" s="140"/>
      <c r="Q19" s="141"/>
      <c r="R19" s="213"/>
      <c r="S19" s="288" t="str">
        <f>IFERROR(VLOOKUP(U19,пр.взв!$B$7:$H$14,2,0),"")</f>
        <v/>
      </c>
      <c r="T19" s="288"/>
      <c r="U19" s="212" t="str">
        <f>Y20</f>
        <v xml:space="preserve"> </v>
      </c>
      <c r="V19" s="74"/>
      <c r="X19" s="94"/>
      <c r="Y19" s="95" t="str">
        <f>IF(A14=""," ",IF(E13=""," ",IF(E13=A12,A14,IF(E13=A14,A12,"Х"))))</f>
        <v xml:space="preserve"> </v>
      </c>
      <c r="Z19" s="96" t="str">
        <f>IF(A19="","",IF(A19=C18,#REF!,A19))</f>
        <v xml:space="preserve"> </v>
      </c>
      <c r="AA19" s="94"/>
    </row>
    <row r="20" spans="1:27" ht="16" thickBot="1">
      <c r="A20" s="214"/>
      <c r="B20" s="288"/>
      <c r="C20" s="141"/>
      <c r="D20" s="141"/>
      <c r="E20" s="141"/>
      <c r="F20" s="140"/>
      <c r="G20" s="140"/>
      <c r="H20" s="140"/>
      <c r="I20" s="140"/>
      <c r="J20" s="140"/>
      <c r="K20" s="140"/>
      <c r="L20" s="140"/>
      <c r="M20" s="140"/>
      <c r="N20" s="140"/>
      <c r="O20" s="140"/>
      <c r="P20" s="140"/>
      <c r="Q20" s="141"/>
      <c r="R20" s="141"/>
      <c r="S20" s="288"/>
      <c r="T20" s="288"/>
      <c r="U20" s="212"/>
      <c r="V20" s="74"/>
      <c r="X20" s="94"/>
      <c r="Y20" s="95" t="str">
        <f>IF(U14=""," ",IF(Q13=""," ",IF(Q13=U12,U14,IF(Q13=U14,U12,"Х"))))</f>
        <v xml:space="preserve"> </v>
      </c>
      <c r="Z20" s="96" t="str">
        <f>IF(U19="","",IF(U19=R18,#REF!,U19))</f>
        <v xml:space="preserve"> </v>
      </c>
      <c r="AA20" s="94"/>
    </row>
    <row r="21" spans="1:27" ht="13.5" customHeight="1" thickTop="1">
      <c r="A21" s="141"/>
      <c r="B21" s="141"/>
      <c r="C21" s="141"/>
      <c r="D21" s="215"/>
      <c r="E21" s="328" t="str">
        <f>IFERROR(VLOOKUP(D21,пр.взв!$B$7:$H$14,2,0),"")</f>
        <v/>
      </c>
      <c r="F21" s="329"/>
      <c r="G21" s="329"/>
      <c r="H21" s="329"/>
      <c r="I21" s="329"/>
      <c r="J21" s="330"/>
      <c r="K21" s="140"/>
      <c r="L21" s="328" t="str">
        <f>IFERROR(VLOOKUP(R21,пр.взв!$B$7:$H$14,2,0),"")</f>
        <v/>
      </c>
      <c r="M21" s="329"/>
      <c r="N21" s="329"/>
      <c r="O21" s="329"/>
      <c r="P21" s="329"/>
      <c r="Q21" s="330"/>
      <c r="R21" s="216"/>
      <c r="S21" s="141"/>
      <c r="T21" s="141"/>
      <c r="U21" s="140"/>
      <c r="V21" s="74"/>
      <c r="X21" s="94"/>
      <c r="Y21" s="94" t="str">
        <f>IF(H9="","",IF(H9=G11,O11,G11))</f>
        <v/>
      </c>
      <c r="Z21" s="94"/>
      <c r="AA21" s="94"/>
    </row>
    <row r="22" spans="1:27" ht="16" thickBot="1">
      <c r="A22" s="55"/>
      <c r="B22" s="141"/>
      <c r="C22" s="141"/>
      <c r="D22" s="141"/>
      <c r="E22" s="331"/>
      <c r="F22" s="332"/>
      <c r="G22" s="332"/>
      <c r="H22" s="332"/>
      <c r="I22" s="332"/>
      <c r="J22" s="333"/>
      <c r="K22" s="217"/>
      <c r="L22" s="331"/>
      <c r="M22" s="332"/>
      <c r="N22" s="332"/>
      <c r="O22" s="332"/>
      <c r="P22" s="332"/>
      <c r="Q22" s="333"/>
      <c r="R22" s="141"/>
      <c r="S22" s="141"/>
      <c r="T22" s="141"/>
      <c r="U22" s="140"/>
      <c r="V22" s="74"/>
      <c r="X22" s="94"/>
      <c r="Y22" s="94"/>
      <c r="Z22" s="94"/>
      <c r="AA22" s="94"/>
    </row>
    <row r="23" spans="1:27" ht="13.5" thickTop="1">
      <c r="A23" s="27"/>
      <c r="B23" s="9"/>
      <c r="C23" s="286"/>
      <c r="D23" s="286"/>
      <c r="E23" s="75"/>
      <c r="F23" s="26"/>
      <c r="G23" s="26"/>
      <c r="H23" s="26"/>
      <c r="I23" s="26"/>
      <c r="J23" s="8"/>
      <c r="K23" s="8"/>
      <c r="L23" s="8"/>
      <c r="M23" s="26"/>
      <c r="N23" s="26"/>
      <c r="O23" s="26"/>
      <c r="P23" s="26"/>
      <c r="Q23" s="75"/>
      <c r="R23" s="286"/>
      <c r="S23" s="65"/>
      <c r="T23" s="75"/>
      <c r="U23" s="74"/>
      <c r="V23" s="74"/>
      <c r="X23" s="94"/>
      <c r="Y23" s="94"/>
      <c r="Z23" s="94"/>
      <c r="AA23" s="94"/>
    </row>
    <row r="24" spans="1:27">
      <c r="A24" s="75"/>
      <c r="B24" s="75"/>
      <c r="C24" s="286"/>
      <c r="D24" s="286"/>
      <c r="E24" s="75"/>
      <c r="F24" s="75"/>
      <c r="G24" s="75"/>
      <c r="H24" s="75"/>
      <c r="I24" s="75"/>
      <c r="J24" s="74"/>
      <c r="K24" s="74"/>
      <c r="L24" s="74"/>
      <c r="M24" s="74"/>
      <c r="N24" s="74"/>
      <c r="O24" s="74"/>
      <c r="P24" s="74"/>
      <c r="Q24" s="75"/>
      <c r="R24" s="287"/>
      <c r="S24" s="75"/>
      <c r="T24" s="75"/>
      <c r="U24" s="74"/>
      <c r="V24" s="74"/>
      <c r="X24" s="97"/>
      <c r="Y24" s="94"/>
      <c r="Z24" s="94"/>
      <c r="AA24" s="94"/>
    </row>
    <row r="25" spans="1:27">
      <c r="A25" s="74"/>
      <c r="B25" s="74"/>
      <c r="C25" s="74"/>
      <c r="D25" s="74"/>
      <c r="E25" s="74"/>
      <c r="F25" s="75"/>
      <c r="G25" s="75"/>
      <c r="H25" s="75"/>
      <c r="I25" s="75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X25" s="94"/>
      <c r="Y25" s="94"/>
      <c r="Z25" s="94"/>
      <c r="AA25" s="94"/>
    </row>
    <row r="26" spans="1:27" ht="9" customHeight="1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X26" s="94"/>
      <c r="Y26" s="94"/>
      <c r="Z26" s="94"/>
      <c r="AA26" s="94"/>
    </row>
    <row r="27" spans="1:27" ht="15.5">
      <c r="A27" s="74"/>
      <c r="B27" s="190" t="s">
        <v>78</v>
      </c>
      <c r="C27" s="191"/>
      <c r="D27" s="192"/>
      <c r="E27" s="192"/>
      <c r="F27" s="192"/>
      <c r="G27" s="191"/>
      <c r="H27" s="193"/>
      <c r="I27" s="193"/>
      <c r="J27" s="193"/>
      <c r="K27" s="193"/>
      <c r="L27" s="194"/>
      <c r="M27" s="191"/>
      <c r="N27" s="189" t="s">
        <v>84</v>
      </c>
      <c r="O27" s="191"/>
      <c r="P27" s="192"/>
      <c r="Q27" s="192"/>
      <c r="R27" s="273" t="s">
        <v>85</v>
      </c>
      <c r="S27" s="273"/>
      <c r="T27" s="74"/>
      <c r="U27" s="74"/>
      <c r="X27" s="94"/>
      <c r="Y27" s="94"/>
      <c r="Z27" s="94"/>
      <c r="AA27" s="94"/>
    </row>
    <row r="28" spans="1:27" ht="18" customHeight="1">
      <c r="A28" s="74"/>
      <c r="B28" s="191"/>
      <c r="C28" s="191"/>
      <c r="D28" s="192"/>
      <c r="E28" s="192"/>
      <c r="F28" s="192"/>
      <c r="G28" s="192"/>
      <c r="H28" s="192"/>
      <c r="I28" s="192"/>
      <c r="J28" s="192"/>
      <c r="K28" s="192"/>
      <c r="L28" s="195"/>
      <c r="M28" s="192"/>
      <c r="N28" s="191"/>
      <c r="O28" s="191"/>
      <c r="P28" s="192"/>
      <c r="Q28" s="192"/>
      <c r="R28" s="192"/>
      <c r="S28" s="74"/>
      <c r="T28" s="74"/>
      <c r="U28" s="74"/>
      <c r="X28" s="94"/>
      <c r="Y28" s="94"/>
      <c r="Z28" s="94"/>
      <c r="AA28" s="94"/>
    </row>
    <row r="29" spans="1:27" ht="15.5">
      <c r="A29" s="74"/>
      <c r="B29" s="190" t="str">
        <f>[1]реквизиты!$A$8</f>
        <v>Гл. секретарь, судья ВК</v>
      </c>
      <c r="C29" s="191"/>
      <c r="D29" s="192"/>
      <c r="E29" s="192"/>
      <c r="F29" s="192"/>
      <c r="G29" s="192"/>
      <c r="H29" s="193"/>
      <c r="I29" s="193"/>
      <c r="J29" s="193"/>
      <c r="K29" s="193"/>
      <c r="L29" s="196"/>
      <c r="M29" s="197"/>
      <c r="N29" s="189" t="s">
        <v>88</v>
      </c>
      <c r="O29" s="191"/>
      <c r="P29" s="198"/>
      <c r="Q29" s="198"/>
      <c r="R29" s="273" t="s">
        <v>86</v>
      </c>
      <c r="S29" s="273"/>
      <c r="T29" s="74"/>
      <c r="U29" s="74"/>
      <c r="X29" s="94"/>
      <c r="Y29" s="94"/>
      <c r="Z29" s="94"/>
      <c r="AA29" s="94"/>
    </row>
    <row r="30" spans="1:27" ht="15.5">
      <c r="B30" s="46"/>
      <c r="C30" s="46"/>
      <c r="D30" s="46"/>
      <c r="E30" s="5"/>
      <c r="F30" s="5"/>
      <c r="L30" s="13"/>
      <c r="M30" s="33"/>
      <c r="O30" s="5"/>
      <c r="P30" s="11"/>
      <c r="Q30" s="11"/>
      <c r="R30" s="11"/>
      <c r="X30" s="98"/>
      <c r="Y30" s="98"/>
      <c r="Z30" s="98"/>
      <c r="AA30" s="98"/>
    </row>
    <row r="31" spans="1:27" ht="13">
      <c r="B31" s="13"/>
      <c r="E31" s="3"/>
      <c r="F31" s="3"/>
      <c r="G31" s="11"/>
      <c r="H31" s="11"/>
      <c r="I31" s="11"/>
      <c r="J31" s="11"/>
      <c r="K31" s="11"/>
      <c r="L31" s="16"/>
      <c r="M31" s="33"/>
      <c r="R31" s="51"/>
      <c r="X31" s="98"/>
      <c r="Y31" s="98"/>
      <c r="Z31" s="98"/>
      <c r="AA31" s="98"/>
    </row>
    <row r="32" spans="1:27">
      <c r="E32" s="3"/>
      <c r="F32" s="3"/>
      <c r="G32" s="11"/>
      <c r="H32" s="11"/>
      <c r="I32" s="11"/>
      <c r="J32" s="11"/>
      <c r="K32" s="11"/>
      <c r="L32" s="33"/>
      <c r="M32" s="33"/>
    </row>
    <row r="33" spans="12:13">
      <c r="L33" s="7"/>
      <c r="M33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29:W31 E21 A18:D28 L21 E18:F20 E22:F28 G18:K28 N18:W28 L18:M20 L22:M28 L1:M17 N1:W17 G1:K17 E1:F17 A1:D17" name="Диапазон2"/>
    <protectedRange sqref="A18:A20" name="Диапазон1"/>
  </protectedRanges>
  <mergeCells count="40">
    <mergeCell ref="H5:N5"/>
    <mergeCell ref="I7:M7"/>
    <mergeCell ref="S8:S11"/>
    <mergeCell ref="T8:T11"/>
    <mergeCell ref="C23:D24"/>
    <mergeCell ref="E21:J22"/>
    <mergeCell ref="L21:Q22"/>
    <mergeCell ref="B19:B20"/>
    <mergeCell ref="A1:U1"/>
    <mergeCell ref="C2:R2"/>
    <mergeCell ref="T7:U7"/>
    <mergeCell ref="A7:B7"/>
    <mergeCell ref="I9:M10"/>
    <mergeCell ref="C3:R3"/>
    <mergeCell ref="C4:R4"/>
    <mergeCell ref="I14:M15"/>
    <mergeCell ref="O5:Q5"/>
    <mergeCell ref="R8:R11"/>
    <mergeCell ref="F11:G11"/>
    <mergeCell ref="F12:G12"/>
    <mergeCell ref="O11:P11"/>
    <mergeCell ref="O12:P12"/>
    <mergeCell ref="A8:A11"/>
    <mergeCell ref="B8:B11"/>
    <mergeCell ref="C8:C11"/>
    <mergeCell ref="D8:D11"/>
    <mergeCell ref="A12:A15"/>
    <mergeCell ref="B12:B15"/>
    <mergeCell ref="C12:C15"/>
    <mergeCell ref="D12:D15"/>
    <mergeCell ref="R29:S29"/>
    <mergeCell ref="R27:S27"/>
    <mergeCell ref="U8:U11"/>
    <mergeCell ref="R12:R15"/>
    <mergeCell ref="S12:S15"/>
    <mergeCell ref="T12:T15"/>
    <mergeCell ref="U12:U15"/>
    <mergeCell ref="R23:R24"/>
    <mergeCell ref="S18:T18"/>
    <mergeCell ref="S19:T20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>
    <tabColor indexed="46"/>
  </sheetPr>
  <dimension ref="A1:T30"/>
  <sheetViews>
    <sheetView workbookViewId="0">
      <selection activeCell="M33" sqref="M33"/>
    </sheetView>
  </sheetViews>
  <sheetFormatPr defaultRowHeight="12.5"/>
  <cols>
    <col min="1" max="1" width="4" customWidth="1"/>
    <col min="2" max="2" width="4.54296875" customWidth="1"/>
    <col min="3" max="3" width="20.81640625" customWidth="1"/>
    <col min="5" max="5" width="7.54296875" customWidth="1"/>
    <col min="6" max="6" width="12.453125" customWidth="1"/>
    <col min="7" max="7" width="26.26953125" customWidth="1"/>
    <col min="8" max="8" width="4.7265625" customWidth="1"/>
    <col min="9" max="9" width="4.81640625" customWidth="1"/>
    <col min="10" max="10" width="6.54296875" customWidth="1"/>
    <col min="11" max="12" width="4.1796875" customWidth="1"/>
    <col min="13" max="13" width="22" customWidth="1"/>
    <col min="15" max="15" width="7.1796875" customWidth="1"/>
    <col min="16" max="16" width="11.54296875" customWidth="1"/>
    <col min="17" max="17" width="25.81640625" customWidth="1"/>
    <col min="18" max="19" width="4.81640625" customWidth="1"/>
    <col min="20" max="20" width="7.453125" customWidth="1"/>
  </cols>
  <sheetData>
    <row r="1" spans="1:20" ht="15.75" customHeight="1">
      <c r="B1" s="387" t="s">
        <v>29</v>
      </c>
      <c r="C1" s="387"/>
      <c r="D1" s="387"/>
      <c r="E1" s="387"/>
      <c r="F1" s="387"/>
      <c r="G1" s="387"/>
      <c r="H1" s="387"/>
      <c r="I1" s="387"/>
      <c r="J1" s="387"/>
      <c r="L1" s="387" t="s">
        <v>29</v>
      </c>
      <c r="M1" s="387"/>
      <c r="N1" s="387"/>
      <c r="O1" s="387"/>
      <c r="P1" s="387"/>
      <c r="Q1" s="387"/>
      <c r="R1" s="387"/>
      <c r="S1" s="387"/>
      <c r="T1" s="387"/>
    </row>
    <row r="2" spans="1:20" ht="15.75" customHeight="1">
      <c r="B2" s="184">
        <v>0</v>
      </c>
      <c r="C2" s="185" t="s">
        <v>77</v>
      </c>
      <c r="D2" s="185"/>
      <c r="E2" s="352" t="str">
        <f>пр.взв!D4</f>
        <v>В.к. 50  кг.</v>
      </c>
      <c r="F2" s="352"/>
      <c r="G2" s="185"/>
      <c r="H2" s="185"/>
      <c r="I2" s="185"/>
      <c r="J2" s="185"/>
      <c r="L2" s="184">
        <f>B2</f>
        <v>0</v>
      </c>
      <c r="M2" s="185" t="s">
        <v>77</v>
      </c>
      <c r="N2" s="185"/>
      <c r="O2" s="352" t="str">
        <f>E2</f>
        <v>В.к. 50  кг.</v>
      </c>
      <c r="P2" s="352"/>
      <c r="Q2" s="185"/>
      <c r="R2" s="185"/>
      <c r="S2" s="185"/>
      <c r="T2" s="185"/>
    </row>
    <row r="3" spans="1:20" ht="16" thickBot="1">
      <c r="B3" s="52" t="s">
        <v>25</v>
      </c>
      <c r="C3" s="54" t="s">
        <v>30</v>
      </c>
      <c r="D3" s="53" t="s">
        <v>28</v>
      </c>
      <c r="E3" s="53"/>
      <c r="F3" s="54"/>
      <c r="G3" s="52"/>
      <c r="H3" s="54"/>
      <c r="I3" s="54"/>
      <c r="J3" s="54"/>
      <c r="L3" s="52" t="s">
        <v>1</v>
      </c>
      <c r="M3" s="54" t="s">
        <v>30</v>
      </c>
      <c r="N3" s="53" t="s">
        <v>28</v>
      </c>
      <c r="O3" s="53"/>
      <c r="P3" s="54"/>
      <c r="Q3" s="52"/>
      <c r="R3" s="54"/>
      <c r="S3" s="54"/>
      <c r="T3" s="54"/>
    </row>
    <row r="4" spans="1:20" ht="12.75" customHeight="1">
      <c r="A4" s="361" t="s">
        <v>35</v>
      </c>
      <c r="B4" s="363" t="s">
        <v>4</v>
      </c>
      <c r="C4" s="346" t="s">
        <v>5</v>
      </c>
      <c r="D4" s="338" t="s">
        <v>13</v>
      </c>
      <c r="E4" s="340" t="s">
        <v>14</v>
      </c>
      <c r="F4" s="341"/>
      <c r="G4" s="346" t="s">
        <v>15</v>
      </c>
      <c r="H4" s="348" t="s">
        <v>31</v>
      </c>
      <c r="I4" s="350" t="s">
        <v>16</v>
      </c>
      <c r="J4" s="359" t="s">
        <v>17</v>
      </c>
      <c r="K4" s="361" t="s">
        <v>35</v>
      </c>
      <c r="L4" s="363" t="s">
        <v>4</v>
      </c>
      <c r="M4" s="346" t="s">
        <v>5</v>
      </c>
      <c r="N4" s="338" t="s">
        <v>13</v>
      </c>
      <c r="O4" s="340" t="s">
        <v>14</v>
      </c>
      <c r="P4" s="341"/>
      <c r="Q4" s="346" t="s">
        <v>15</v>
      </c>
      <c r="R4" s="348" t="s">
        <v>31</v>
      </c>
      <c r="S4" s="350" t="s">
        <v>16</v>
      </c>
      <c r="T4" s="359" t="s">
        <v>17</v>
      </c>
    </row>
    <row r="5" spans="1:20" ht="13.5" customHeight="1" thickBot="1">
      <c r="A5" s="362"/>
      <c r="B5" s="364" t="s">
        <v>26</v>
      </c>
      <c r="C5" s="347"/>
      <c r="D5" s="339"/>
      <c r="E5" s="342"/>
      <c r="F5" s="343"/>
      <c r="G5" s="347"/>
      <c r="H5" s="349"/>
      <c r="I5" s="351"/>
      <c r="J5" s="360" t="s">
        <v>27</v>
      </c>
      <c r="K5" s="362"/>
      <c r="L5" s="364" t="s">
        <v>26</v>
      </c>
      <c r="M5" s="347"/>
      <c r="N5" s="339"/>
      <c r="O5" s="342"/>
      <c r="P5" s="343"/>
      <c r="Q5" s="347"/>
      <c r="R5" s="349"/>
      <c r="S5" s="351"/>
      <c r="T5" s="360" t="s">
        <v>27</v>
      </c>
    </row>
    <row r="6" spans="1:20">
      <c r="A6" s="365">
        <v>1</v>
      </c>
      <c r="B6" s="382">
        <v>1</v>
      </c>
      <c r="C6" s="385" t="str">
        <f>IFERROR(VLOOKUP(B6,пр.взв!$B$7:$H$14,2,0),"")</f>
        <v>МУХАМЕТЬЯНОВА Алия Ришатовна</v>
      </c>
      <c r="D6" s="381" t="str">
        <f>IFERROR(VLOOKUP(B6,пр.взв!$B$7:$H$14,3,0),"")</f>
        <v>02.01.2005, МС</v>
      </c>
      <c r="E6" s="334" t="str">
        <f>IFERROR(VLOOKUP(B6,пр.взв!$B$7:$H$14,4,0),"")</f>
        <v>РОССИЯ</v>
      </c>
      <c r="F6" s="381" t="str">
        <f>IFERROR(VLOOKUP(B6,пр.взв!$B$7:$H$14,5,0),"")</f>
        <v>Россия, Уфа, ГАУ ДО СШ им.Н.Гастелло Р.Б.</v>
      </c>
      <c r="G6" s="372"/>
      <c r="H6" s="374"/>
      <c r="I6" s="353"/>
      <c r="J6" s="338"/>
      <c r="K6" s="365">
        <v>3</v>
      </c>
      <c r="L6" s="382">
        <v>2</v>
      </c>
      <c r="M6" s="385" t="str">
        <f>IFERROR(VLOOKUP(L6,пр.взв!$B$7:$H$14,2,0),"")</f>
        <v>АНИЩЕНКО Софья Андреевна</v>
      </c>
      <c r="N6" s="381" t="str">
        <f>IFERROR(VLOOKUP(L6,пр.взв!$B$7:$H$14,3,0),"")</f>
        <v>05.11.2006, КМС</v>
      </c>
      <c r="O6" s="334" t="str">
        <f>IFERROR(VLOOKUP(L6,пр.взв!$B$7:$H$14,4,0),"")</f>
        <v>РОССИЯ</v>
      </c>
      <c r="P6" s="381" t="str">
        <f>IFERROR(VLOOKUP(L6,пр.взв!$B$7:$H$14,5,0),"")</f>
        <v>Санкт-Петербург, ГБУ ДО СШОР "КШВСМ"</v>
      </c>
      <c r="Q6" s="372"/>
      <c r="R6" s="374"/>
      <c r="S6" s="353"/>
      <c r="T6" s="338"/>
    </row>
    <row r="7" spans="1:20">
      <c r="A7" s="366"/>
      <c r="B7" s="383"/>
      <c r="C7" s="386"/>
      <c r="D7" s="373"/>
      <c r="E7" s="335"/>
      <c r="F7" s="373"/>
      <c r="G7" s="373"/>
      <c r="H7" s="373"/>
      <c r="I7" s="354"/>
      <c r="J7" s="265"/>
      <c r="K7" s="366"/>
      <c r="L7" s="383"/>
      <c r="M7" s="386"/>
      <c r="N7" s="373"/>
      <c r="O7" s="335"/>
      <c r="P7" s="373"/>
      <c r="Q7" s="373"/>
      <c r="R7" s="373"/>
      <c r="S7" s="354"/>
      <c r="T7" s="265"/>
    </row>
    <row r="8" spans="1:20">
      <c r="A8" s="366"/>
      <c r="B8" s="383">
        <v>5</v>
      </c>
      <c r="C8" s="344">
        <f>IFERROR(VLOOKUP(B8,пр.взв!$B$7:$H$14,2,0),"")</f>
        <v>0</v>
      </c>
      <c r="D8" s="336">
        <f>IFERROR(VLOOKUP(B8,пр.взв!$B$7:$H$14,3,0),"")</f>
        <v>0</v>
      </c>
      <c r="E8" s="336">
        <f>IFERROR(VLOOKUP(B8,пр.взв!$B$7:$H$14,4,0),"")</f>
        <v>0</v>
      </c>
      <c r="F8" s="336">
        <f>IFERROR(VLOOKUP(B8,пр.взв!$B$7:$H$14,5,0),"")</f>
        <v>0</v>
      </c>
      <c r="G8" s="357"/>
      <c r="H8" s="357"/>
      <c r="I8" s="266"/>
      <c r="J8" s="266"/>
      <c r="K8" s="366"/>
      <c r="L8" s="383">
        <v>6</v>
      </c>
      <c r="M8" s="344">
        <f>IFERROR(VLOOKUP(L8,пр.взв!$B$7:$H$14,2,0),"")</f>
        <v>0</v>
      </c>
      <c r="N8" s="336">
        <f>IFERROR(VLOOKUP(L8,пр.взв!$B$7:$H$14,3,0),"")</f>
        <v>0</v>
      </c>
      <c r="O8" s="336">
        <f>IFERROR(VLOOKUP(L8,пр.взв!$B$7:$H$14,4,0),"")</f>
        <v>0</v>
      </c>
      <c r="P8" s="336">
        <f>IFERROR(VLOOKUP(L8,пр.взв!$B$7:$H$14,5,0),"")</f>
        <v>0</v>
      </c>
      <c r="Q8" s="357"/>
      <c r="R8" s="357"/>
      <c r="S8" s="266"/>
      <c r="T8" s="266"/>
    </row>
    <row r="9" spans="1:20" ht="13" customHeight="1" thickBot="1">
      <c r="A9" s="367"/>
      <c r="B9" s="384"/>
      <c r="C9" s="345"/>
      <c r="D9" s="337"/>
      <c r="E9" s="337"/>
      <c r="F9" s="337"/>
      <c r="G9" s="358"/>
      <c r="H9" s="358"/>
      <c r="I9" s="351"/>
      <c r="J9" s="351"/>
      <c r="K9" s="367"/>
      <c r="L9" s="384"/>
      <c r="M9" s="345"/>
      <c r="N9" s="337"/>
      <c r="O9" s="337"/>
      <c r="P9" s="337"/>
      <c r="Q9" s="358"/>
      <c r="R9" s="358"/>
      <c r="S9" s="351"/>
      <c r="T9" s="351"/>
    </row>
    <row r="10" spans="1:20">
      <c r="A10" s="365">
        <v>2</v>
      </c>
      <c r="B10" s="382">
        <v>3</v>
      </c>
      <c r="C10" s="370" t="str">
        <f>IFERROR(VLOOKUP(B10,пр.взв!$B$7:$H$14,2,0),"")</f>
        <v>ПОЛЫГАЛОВА Ольга Сергеевна</v>
      </c>
      <c r="D10" s="334" t="str">
        <f>IFERROR(VLOOKUP(B10,пр.взв!$B$7:$H$14,3,0),"")</f>
        <v>28.08.2002, МС</v>
      </c>
      <c r="E10" s="334" t="str">
        <f>IFERROR(VLOOKUP(B10,пр.взв!$B$7:$H$14,4,0),"")</f>
        <v>РОССИЯ</v>
      </c>
      <c r="F10" s="334" t="str">
        <f>IFERROR(VLOOKUP(B10,пр.взв!$B$7:$H$14,5,0),"")</f>
        <v>Россия, Березники, МО</v>
      </c>
      <c r="G10" s="372"/>
      <c r="H10" s="374"/>
      <c r="I10" s="353"/>
      <c r="J10" s="381"/>
      <c r="K10" s="365">
        <v>4</v>
      </c>
      <c r="L10" s="382">
        <v>4</v>
      </c>
      <c r="M10" s="370" t="str">
        <f>IFERROR(VLOOKUP(L10,пр.взв!$B$7:$H$14,2,0),"")</f>
        <v>АМИРЯН Арпине</v>
      </c>
      <c r="N10" s="334" t="str">
        <f>IFERROR(VLOOKUP(L10,пр.взв!$B$7:$H$14,3,0),"")</f>
        <v>11.04.2001, КМС</v>
      </c>
      <c r="O10" s="334" t="str">
        <f>IFERROR(VLOOKUP(L10,пр.взв!$B$7:$H$14,4,0),"")</f>
        <v>АРМЕНИЯ</v>
      </c>
      <c r="P10" s="334" t="str">
        <f>IFERROR(VLOOKUP(L10,пр.взв!$B$7:$H$14,5,0),"")</f>
        <v>Армения</v>
      </c>
      <c r="Q10" s="372"/>
      <c r="R10" s="374"/>
      <c r="S10" s="353"/>
      <c r="T10" s="381"/>
    </row>
    <row r="11" spans="1:20" ht="12.65" customHeight="1">
      <c r="A11" s="366"/>
      <c r="B11" s="383"/>
      <c r="C11" s="371"/>
      <c r="D11" s="335"/>
      <c r="E11" s="335"/>
      <c r="F11" s="335"/>
      <c r="G11" s="373"/>
      <c r="H11" s="373"/>
      <c r="I11" s="354"/>
      <c r="J11" s="265"/>
      <c r="K11" s="366"/>
      <c r="L11" s="383"/>
      <c r="M11" s="371"/>
      <c r="N11" s="335"/>
      <c r="O11" s="335"/>
      <c r="P11" s="335"/>
      <c r="Q11" s="373"/>
      <c r="R11" s="373"/>
      <c r="S11" s="354"/>
      <c r="T11" s="265"/>
    </row>
    <row r="12" spans="1:20">
      <c r="A12" s="366"/>
      <c r="B12" s="383">
        <v>7</v>
      </c>
      <c r="C12" s="344">
        <f>IFERROR(VLOOKUP(B12,пр.взв!$B$7:$H$14,2,0),"")</f>
        <v>0</v>
      </c>
      <c r="D12" s="336">
        <f>IFERROR(VLOOKUP(B12,пр.взв!$B$7:$H$14,3,0),"")</f>
        <v>0</v>
      </c>
      <c r="E12" s="336">
        <f>IFERROR(VLOOKUP(B12,пр.взв!$B$7:$H$14,4,0),"")</f>
        <v>0</v>
      </c>
      <c r="F12" s="336">
        <f>IFERROR(VLOOKUP(B12,пр.взв!$B$7:$H$14,5,0),"")</f>
        <v>0</v>
      </c>
      <c r="G12" s="357"/>
      <c r="H12" s="357"/>
      <c r="I12" s="266"/>
      <c r="J12" s="266"/>
      <c r="K12" s="366"/>
      <c r="L12" s="383">
        <v>8</v>
      </c>
      <c r="M12" s="344">
        <f>IFERROR(VLOOKUP(L12,пр.взв!$B$7:$H$14,2,0),"")</f>
        <v>0</v>
      </c>
      <c r="N12" s="336">
        <f>IFERROR(VLOOKUP(L12,пр.взв!$B$7:$H$14,3,0),"")</f>
        <v>0</v>
      </c>
      <c r="O12" s="336">
        <f>IFERROR(VLOOKUP(L12,пр.взв!$B$7:$H$14,4,0),"")</f>
        <v>0</v>
      </c>
      <c r="P12" s="336">
        <f>IFERROR(VLOOKUP(L12,пр.взв!$B$7:$H$14,5,0),"")</f>
        <v>0</v>
      </c>
      <c r="Q12" s="357"/>
      <c r="R12" s="357"/>
      <c r="S12" s="266"/>
      <c r="T12" s="266"/>
    </row>
    <row r="13" spans="1:20" ht="13" customHeight="1" thickBot="1">
      <c r="A13" s="367"/>
      <c r="B13" s="384"/>
      <c r="C13" s="345"/>
      <c r="D13" s="337"/>
      <c r="E13" s="337"/>
      <c r="F13" s="337"/>
      <c r="G13" s="358"/>
      <c r="H13" s="358"/>
      <c r="I13" s="351"/>
      <c r="J13" s="351"/>
      <c r="K13" s="367"/>
      <c r="L13" s="384"/>
      <c r="M13" s="345"/>
      <c r="N13" s="337"/>
      <c r="O13" s="337"/>
      <c r="P13" s="337"/>
      <c r="Q13" s="358"/>
      <c r="R13" s="358"/>
      <c r="S13" s="351"/>
      <c r="T13" s="351"/>
    </row>
    <row r="14" spans="1:20" ht="15.5">
      <c r="B14" s="184">
        <f>B2</f>
        <v>0</v>
      </c>
      <c r="C14" s="185" t="s">
        <v>77</v>
      </c>
      <c r="D14" s="185"/>
      <c r="E14" s="352" t="str">
        <f>E2</f>
        <v>В.к. 50  кг.</v>
      </c>
      <c r="F14" s="352"/>
      <c r="G14" s="185"/>
      <c r="H14" s="185"/>
      <c r="I14" s="185"/>
      <c r="J14" s="185"/>
      <c r="L14" s="184">
        <f>L2</f>
        <v>0</v>
      </c>
      <c r="M14" s="185" t="s">
        <v>77</v>
      </c>
      <c r="N14" s="185"/>
      <c r="O14" s="352" t="str">
        <f>O2</f>
        <v>В.к. 50  кг.</v>
      </c>
      <c r="P14" s="352"/>
      <c r="Q14" s="185"/>
      <c r="R14" s="185"/>
      <c r="S14" s="185"/>
      <c r="T14" s="185"/>
    </row>
    <row r="15" spans="1:20" ht="16" thickBot="1">
      <c r="B15" s="52" t="s">
        <v>25</v>
      </c>
      <c r="C15" s="67" t="s">
        <v>32</v>
      </c>
      <c r="D15" s="56"/>
      <c r="E15" s="56"/>
      <c r="F15" s="56"/>
      <c r="G15" s="57"/>
      <c r="H15" s="56"/>
      <c r="I15" s="56"/>
      <c r="J15" s="56"/>
      <c r="K15" s="55"/>
      <c r="L15" s="52" t="s">
        <v>1</v>
      </c>
      <c r="M15" s="67" t="s">
        <v>32</v>
      </c>
      <c r="N15" s="56"/>
      <c r="O15" s="56"/>
      <c r="P15" s="56"/>
      <c r="Q15" s="57"/>
      <c r="R15" s="56"/>
      <c r="S15" s="56"/>
      <c r="T15" s="56"/>
    </row>
    <row r="16" spans="1:20" ht="12.75" customHeight="1">
      <c r="A16" s="361" t="s">
        <v>35</v>
      </c>
      <c r="B16" s="363" t="s">
        <v>4</v>
      </c>
      <c r="C16" s="346" t="s">
        <v>5</v>
      </c>
      <c r="D16" s="338" t="s">
        <v>13</v>
      </c>
      <c r="E16" s="340" t="s">
        <v>14</v>
      </c>
      <c r="F16" s="341"/>
      <c r="G16" s="346" t="s">
        <v>15</v>
      </c>
      <c r="H16" s="348" t="s">
        <v>31</v>
      </c>
      <c r="I16" s="350" t="s">
        <v>16</v>
      </c>
      <c r="J16" s="359" t="s">
        <v>17</v>
      </c>
      <c r="K16" s="361" t="s">
        <v>35</v>
      </c>
      <c r="L16" s="363" t="s">
        <v>4</v>
      </c>
      <c r="M16" s="346" t="s">
        <v>5</v>
      </c>
      <c r="N16" s="338" t="s">
        <v>13</v>
      </c>
      <c r="O16" s="340" t="s">
        <v>14</v>
      </c>
      <c r="P16" s="341"/>
      <c r="Q16" s="346" t="s">
        <v>15</v>
      </c>
      <c r="R16" s="348" t="s">
        <v>31</v>
      </c>
      <c r="S16" s="350" t="s">
        <v>16</v>
      </c>
      <c r="T16" s="359" t="s">
        <v>17</v>
      </c>
    </row>
    <row r="17" spans="1:20" ht="13.5" customHeight="1" thickBot="1">
      <c r="A17" s="362"/>
      <c r="B17" s="364" t="s">
        <v>26</v>
      </c>
      <c r="C17" s="347"/>
      <c r="D17" s="339"/>
      <c r="E17" s="342"/>
      <c r="F17" s="343"/>
      <c r="G17" s="347"/>
      <c r="H17" s="349"/>
      <c r="I17" s="351"/>
      <c r="J17" s="360" t="s">
        <v>27</v>
      </c>
      <c r="K17" s="362"/>
      <c r="L17" s="364" t="s">
        <v>26</v>
      </c>
      <c r="M17" s="347"/>
      <c r="N17" s="339"/>
      <c r="O17" s="342"/>
      <c r="P17" s="343"/>
      <c r="Q17" s="347"/>
      <c r="R17" s="349"/>
      <c r="S17" s="351"/>
      <c r="T17" s="360" t="s">
        <v>27</v>
      </c>
    </row>
    <row r="18" spans="1:20">
      <c r="A18" s="376">
        <v>1</v>
      </c>
      <c r="B18" s="379" t="s">
        <v>49</v>
      </c>
      <c r="C18" s="370" t="str">
        <f>IFERROR(VLOOKUP(B18,пр.взв!$B$7:$H$14,2,0),"")</f>
        <v/>
      </c>
      <c r="D18" s="334" t="str">
        <f>IFERROR(VLOOKUP(B18,пр.взв!$B$7:$H$14,3,0),"")</f>
        <v/>
      </c>
      <c r="E18" s="334" t="str">
        <f>IFERROR(VLOOKUP(B18,пр.взв!$B$7:$H$14,4,0),"")</f>
        <v/>
      </c>
      <c r="F18" s="334" t="str">
        <f>IFERROR(VLOOKUP(B18,пр.взв!$B$7:$H$14,5,0),"")</f>
        <v/>
      </c>
      <c r="G18" s="372"/>
      <c r="H18" s="374"/>
      <c r="I18" s="353"/>
      <c r="J18" s="338"/>
      <c r="K18" s="376">
        <v>2</v>
      </c>
      <c r="L18" s="379" t="s">
        <v>50</v>
      </c>
      <c r="M18" s="370" t="str">
        <f>IFERROR(VLOOKUP(L18,пр.взв!$B$7:$H$14,2,0),"")</f>
        <v/>
      </c>
      <c r="N18" s="334" t="str">
        <f>IFERROR(VLOOKUP(L18,пр.взв!$B$7:$H$14,3,0),"")</f>
        <v/>
      </c>
      <c r="O18" s="334" t="str">
        <f>IFERROR(VLOOKUP(L18,пр.взв!$B$7:$H$14,4,0),"")</f>
        <v/>
      </c>
      <c r="P18" s="334" t="str">
        <f>IFERROR(VLOOKUP(L18,пр.взв!$B$7:$H$14,5,0),"")</f>
        <v/>
      </c>
      <c r="Q18" s="372"/>
      <c r="R18" s="374"/>
      <c r="S18" s="353"/>
      <c r="T18" s="338"/>
    </row>
    <row r="19" spans="1:20" ht="12.65" customHeight="1">
      <c r="A19" s="377"/>
      <c r="B19" s="369"/>
      <c r="C19" s="371"/>
      <c r="D19" s="335"/>
      <c r="E19" s="335"/>
      <c r="F19" s="335"/>
      <c r="G19" s="373"/>
      <c r="H19" s="373"/>
      <c r="I19" s="354"/>
      <c r="J19" s="265"/>
      <c r="K19" s="377"/>
      <c r="L19" s="369"/>
      <c r="M19" s="371"/>
      <c r="N19" s="335"/>
      <c r="O19" s="335"/>
      <c r="P19" s="335"/>
      <c r="Q19" s="373"/>
      <c r="R19" s="373"/>
      <c r="S19" s="354"/>
      <c r="T19" s="265"/>
    </row>
    <row r="20" spans="1:20">
      <c r="A20" s="377"/>
      <c r="B20" s="380" t="s">
        <v>51</v>
      </c>
      <c r="C20" s="344" t="str">
        <f>IFERROR(VLOOKUP(B20,пр.взв!$B$7:$H$14,2,0),"")</f>
        <v/>
      </c>
      <c r="D20" s="336" t="str">
        <f>IFERROR(VLOOKUP(B20,пр.взв!$B$7:$H$14,3,0),"")</f>
        <v/>
      </c>
      <c r="E20" s="336" t="str">
        <f>IFERROR(VLOOKUP(B20,пр.взв!$B$7:$H$14,4,0),"")</f>
        <v/>
      </c>
      <c r="F20" s="336" t="str">
        <f>IFERROR(VLOOKUP(B20,пр.взв!$B$7:$H$14,5,0),"")</f>
        <v/>
      </c>
      <c r="G20" s="357"/>
      <c r="H20" s="357"/>
      <c r="I20" s="266"/>
      <c r="J20" s="266"/>
      <c r="K20" s="377"/>
      <c r="L20" s="380" t="s">
        <v>52</v>
      </c>
      <c r="M20" s="344" t="str">
        <f>IFERROR(VLOOKUP(L20,пр.взв!$B$7:$H$14,2,0),"")</f>
        <v/>
      </c>
      <c r="N20" s="336" t="str">
        <f>IFERROR(VLOOKUP(L20,пр.взв!$B$7:$H$14,3,0),"")</f>
        <v/>
      </c>
      <c r="O20" s="336" t="str">
        <f>IFERROR(VLOOKUP(L20,пр.взв!$B$7:$H$14,4,0),"")</f>
        <v/>
      </c>
      <c r="P20" s="336" t="str">
        <f>IFERROR(VLOOKUP(L20,пр.взв!$B$7:$H$14,5,0),"")</f>
        <v/>
      </c>
      <c r="Q20" s="357"/>
      <c r="R20" s="357"/>
      <c r="S20" s="266"/>
      <c r="T20" s="266"/>
    </row>
    <row r="21" spans="1:20" ht="13" customHeight="1" thickBot="1">
      <c r="A21" s="378"/>
      <c r="B21" s="356"/>
      <c r="C21" s="345"/>
      <c r="D21" s="337"/>
      <c r="E21" s="337"/>
      <c r="F21" s="337"/>
      <c r="G21" s="358"/>
      <c r="H21" s="358"/>
      <c r="I21" s="351"/>
      <c r="J21" s="351"/>
      <c r="K21" s="378"/>
      <c r="L21" s="356"/>
      <c r="M21" s="345"/>
      <c r="N21" s="337"/>
      <c r="O21" s="337"/>
      <c r="P21" s="337"/>
      <c r="Q21" s="358"/>
      <c r="R21" s="358"/>
      <c r="S21" s="351"/>
      <c r="T21" s="351"/>
    </row>
    <row r="22" spans="1:20" ht="15.5">
      <c r="B22" s="184">
        <f>B14</f>
        <v>0</v>
      </c>
      <c r="C22" s="185" t="s">
        <v>77</v>
      </c>
      <c r="D22" s="185"/>
      <c r="E22" s="352" t="str">
        <f>E14</f>
        <v>В.к. 50  кг.</v>
      </c>
      <c r="F22" s="352"/>
      <c r="G22" s="185"/>
      <c r="H22" s="185"/>
      <c r="I22" s="185"/>
      <c r="J22" s="185"/>
      <c r="L22" s="184">
        <f>L14</f>
        <v>0</v>
      </c>
      <c r="M22" s="185" t="s">
        <v>77</v>
      </c>
      <c r="N22" s="185"/>
      <c r="O22" s="352" t="str">
        <f>O14</f>
        <v>В.к. 50  кг.</v>
      </c>
      <c r="P22" s="352"/>
      <c r="Q22" s="185"/>
      <c r="R22" s="185"/>
      <c r="S22" s="185"/>
      <c r="T22" s="185"/>
    </row>
    <row r="23" spans="1:20" ht="15.5">
      <c r="A23" s="375" t="s">
        <v>33</v>
      </c>
      <c r="B23" s="375"/>
      <c r="C23" s="375"/>
      <c r="D23" s="375"/>
      <c r="E23" s="375"/>
      <c r="F23" s="375"/>
      <c r="G23" s="375"/>
      <c r="H23" s="375"/>
      <c r="I23" s="375"/>
      <c r="J23" s="375"/>
      <c r="K23" s="375" t="s">
        <v>34</v>
      </c>
      <c r="L23" s="375"/>
      <c r="M23" s="375"/>
      <c r="N23" s="375"/>
      <c r="O23" s="375"/>
      <c r="P23" s="375"/>
      <c r="Q23" s="375"/>
      <c r="R23" s="375"/>
      <c r="S23" s="375"/>
      <c r="T23" s="375"/>
    </row>
    <row r="24" spans="1:20" ht="16" thickBot="1">
      <c r="B24" s="52" t="s">
        <v>25</v>
      </c>
      <c r="C24" s="58"/>
      <c r="D24" s="58"/>
      <c r="E24" s="58"/>
      <c r="F24" s="58"/>
      <c r="G24" s="58"/>
      <c r="H24" s="58"/>
      <c r="I24" s="58"/>
      <c r="J24" s="58"/>
      <c r="K24" s="59"/>
      <c r="L24" s="60" t="s">
        <v>1</v>
      </c>
      <c r="M24" s="58"/>
      <c r="N24" s="58"/>
      <c r="O24" s="58"/>
      <c r="P24" s="58"/>
      <c r="Q24" s="58"/>
      <c r="R24" s="55"/>
      <c r="S24" s="55"/>
      <c r="T24" s="55"/>
    </row>
    <row r="25" spans="1:20" ht="12.75" customHeight="1">
      <c r="A25" s="361" t="s">
        <v>35</v>
      </c>
      <c r="B25" s="363" t="s">
        <v>4</v>
      </c>
      <c r="C25" s="346" t="s">
        <v>5</v>
      </c>
      <c r="D25" s="338" t="s">
        <v>13</v>
      </c>
      <c r="E25" s="340" t="s">
        <v>14</v>
      </c>
      <c r="F25" s="341"/>
      <c r="G25" s="346" t="s">
        <v>15</v>
      </c>
      <c r="H25" s="348" t="s">
        <v>31</v>
      </c>
      <c r="I25" s="350" t="s">
        <v>16</v>
      </c>
      <c r="J25" s="359" t="s">
        <v>17</v>
      </c>
      <c r="K25" s="361" t="s">
        <v>35</v>
      </c>
      <c r="L25" s="363" t="s">
        <v>4</v>
      </c>
      <c r="M25" s="346" t="s">
        <v>5</v>
      </c>
      <c r="N25" s="338" t="s">
        <v>13</v>
      </c>
      <c r="O25" s="340" t="s">
        <v>14</v>
      </c>
      <c r="P25" s="341"/>
      <c r="Q25" s="346" t="s">
        <v>15</v>
      </c>
      <c r="R25" s="348" t="s">
        <v>31</v>
      </c>
      <c r="S25" s="350" t="s">
        <v>16</v>
      </c>
      <c r="T25" s="359" t="s">
        <v>17</v>
      </c>
    </row>
    <row r="26" spans="1:20" ht="13.5" customHeight="1" thickBot="1">
      <c r="A26" s="362"/>
      <c r="B26" s="364" t="s">
        <v>26</v>
      </c>
      <c r="C26" s="347"/>
      <c r="D26" s="339"/>
      <c r="E26" s="342"/>
      <c r="F26" s="343"/>
      <c r="G26" s="347"/>
      <c r="H26" s="349"/>
      <c r="I26" s="351"/>
      <c r="J26" s="360" t="s">
        <v>27</v>
      </c>
      <c r="K26" s="362"/>
      <c r="L26" s="364" t="s">
        <v>26</v>
      </c>
      <c r="M26" s="347"/>
      <c r="N26" s="339"/>
      <c r="O26" s="342"/>
      <c r="P26" s="343"/>
      <c r="Q26" s="347"/>
      <c r="R26" s="349"/>
      <c r="S26" s="351"/>
      <c r="T26" s="360" t="s">
        <v>27</v>
      </c>
    </row>
    <row r="27" spans="1:20">
      <c r="A27" s="365">
        <v>1</v>
      </c>
      <c r="B27" s="368" t="e">
        <f>пр.хода!#REF!</f>
        <v>#REF!</v>
      </c>
      <c r="C27" s="370" t="str">
        <f>IFERROR(VLOOKUP(B27,пр.взв!$B$7:$H$14,2,0),"")</f>
        <v/>
      </c>
      <c r="D27" s="334" t="str">
        <f>IFERROR(VLOOKUP(B27,пр.взв!$B$7:$H$14,3,0),"")</f>
        <v/>
      </c>
      <c r="E27" s="334" t="str">
        <f>IFERROR(VLOOKUP(B27,пр.взв!$B$7:$H$14,4,0),"")</f>
        <v/>
      </c>
      <c r="F27" s="334" t="str">
        <f>IFERROR(VLOOKUP(B27,пр.взв!$B$7:$H$14,5,0),"")</f>
        <v/>
      </c>
      <c r="G27" s="372"/>
      <c r="H27" s="374"/>
      <c r="I27" s="353"/>
      <c r="J27" s="338"/>
      <c r="K27" s="365">
        <v>2</v>
      </c>
      <c r="L27" s="368" t="e">
        <f>пр.хода!#REF!</f>
        <v>#REF!</v>
      </c>
      <c r="M27" s="370" t="str">
        <f>IFERROR(VLOOKUP(L27,пр.взв!$B$7:$H$14,2,0),"")</f>
        <v/>
      </c>
      <c r="N27" s="334" t="str">
        <f>IFERROR(VLOOKUP(L27,пр.взв!$B$7:$H$14,3,0),"")</f>
        <v/>
      </c>
      <c r="O27" s="334" t="str">
        <f>IFERROR(VLOOKUP(L27,пр.взв!$B$7:$H$14,4,0),"")</f>
        <v/>
      </c>
      <c r="P27" s="334" t="str">
        <f>IFERROR(VLOOKUP(L27,пр.взв!$B$7:$H$14,5,0),"")</f>
        <v/>
      </c>
      <c r="Q27" s="372"/>
      <c r="R27" s="374"/>
      <c r="S27" s="353"/>
      <c r="T27" s="338"/>
    </row>
    <row r="28" spans="1:20" ht="12.65" customHeight="1">
      <c r="A28" s="366"/>
      <c r="B28" s="369"/>
      <c r="C28" s="371"/>
      <c r="D28" s="335"/>
      <c r="E28" s="335"/>
      <c r="F28" s="335"/>
      <c r="G28" s="373"/>
      <c r="H28" s="373"/>
      <c r="I28" s="354"/>
      <c r="J28" s="265"/>
      <c r="K28" s="366"/>
      <c r="L28" s="369"/>
      <c r="M28" s="371"/>
      <c r="N28" s="335"/>
      <c r="O28" s="335"/>
      <c r="P28" s="335"/>
      <c r="Q28" s="373"/>
      <c r="R28" s="373"/>
      <c r="S28" s="354"/>
      <c r="T28" s="265"/>
    </row>
    <row r="29" spans="1:20">
      <c r="A29" s="366"/>
      <c r="B29" s="355" t="str">
        <f>пр.хода!A19</f>
        <v xml:space="preserve"> </v>
      </c>
      <c r="C29" s="344" t="str">
        <f>IFERROR(VLOOKUP(B29,пр.взв!$B$7:$H$14,2,0),"")</f>
        <v/>
      </c>
      <c r="D29" s="336" t="str">
        <f>IFERROR(VLOOKUP(B29,пр.взв!$B$7:$H$14,3,0),"")</f>
        <v/>
      </c>
      <c r="E29" s="336" t="str">
        <f>IFERROR(VLOOKUP(B29,пр.взв!$B$7:$H$14,4,0),"")</f>
        <v/>
      </c>
      <c r="F29" s="336" t="str">
        <f>IFERROR(VLOOKUP(B29,пр.взв!$B$7:$H$14,5,0),"")</f>
        <v/>
      </c>
      <c r="G29" s="357"/>
      <c r="H29" s="357"/>
      <c r="I29" s="266"/>
      <c r="J29" s="266"/>
      <c r="K29" s="366"/>
      <c r="L29" s="355" t="str">
        <f>пр.хода!U19</f>
        <v xml:space="preserve"> </v>
      </c>
      <c r="M29" s="344" t="str">
        <f>IFERROR(VLOOKUP(L29,пр.взв!$B$7:$H$14,2,0),"")</f>
        <v/>
      </c>
      <c r="N29" s="336" t="str">
        <f>IFERROR(VLOOKUP(L29,пр.взв!$B$7:$H$14,3,0),"")</f>
        <v/>
      </c>
      <c r="O29" s="336" t="str">
        <f>IFERROR(VLOOKUP(L29,пр.взв!$B$7:$H$14,4,0),"")</f>
        <v/>
      </c>
      <c r="P29" s="336" t="str">
        <f>IFERROR(VLOOKUP(L29,пр.взв!$B$7:$H$14,5,0),"")</f>
        <v/>
      </c>
      <c r="Q29" s="357"/>
      <c r="R29" s="357"/>
      <c r="S29" s="266"/>
      <c r="T29" s="266"/>
    </row>
    <row r="30" spans="1:20" ht="13" customHeight="1" thickBot="1">
      <c r="A30" s="367"/>
      <c r="B30" s="356"/>
      <c r="C30" s="345"/>
      <c r="D30" s="337"/>
      <c r="E30" s="337"/>
      <c r="F30" s="337"/>
      <c r="G30" s="358"/>
      <c r="H30" s="358"/>
      <c r="I30" s="351"/>
      <c r="J30" s="351"/>
      <c r="K30" s="367"/>
      <c r="L30" s="356"/>
      <c r="M30" s="345"/>
      <c r="N30" s="337"/>
      <c r="O30" s="337"/>
      <c r="P30" s="337"/>
      <c r="Q30" s="358"/>
      <c r="R30" s="358"/>
      <c r="S30" s="351"/>
      <c r="T30" s="351"/>
    </row>
  </sheetData>
  <mergeCells count="216"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>
    <tabColor indexed="10"/>
  </sheetPr>
  <dimension ref="A1:AO37"/>
  <sheetViews>
    <sheetView topLeftCell="A3" workbookViewId="0">
      <selection activeCell="C8" sqref="C8"/>
    </sheetView>
  </sheetViews>
  <sheetFormatPr defaultRowHeight="12.5"/>
  <cols>
    <col min="1" max="1" width="6.81640625" customWidth="1"/>
    <col min="2" max="2" width="6.26953125" customWidth="1"/>
    <col min="3" max="3" width="28.36328125" customWidth="1"/>
    <col min="4" max="4" width="13.1796875" customWidth="1"/>
    <col min="5" max="5" width="11.81640625" style="239" customWidth="1"/>
    <col min="6" max="6" width="19" style="239" customWidth="1"/>
    <col min="7" max="7" width="8.984375E-2" hidden="1" customWidth="1"/>
    <col min="8" max="8" width="19.7265625" customWidth="1"/>
    <col min="9" max="9" width="3.81640625" customWidth="1"/>
    <col min="10" max="10" width="15.7265625" customWidth="1"/>
    <col min="11" max="11" width="4.81640625" customWidth="1"/>
    <col min="12" max="12" width="3.453125" hidden="1" customWidth="1"/>
    <col min="13" max="13" width="17" hidden="1" customWidth="1"/>
    <col min="14" max="17" width="9.1796875" hidden="1" customWidth="1"/>
    <col min="18" max="35" width="0" hidden="1" customWidth="1"/>
  </cols>
  <sheetData>
    <row r="1" spans="1:41" ht="65.5" customHeight="1" thickBot="1">
      <c r="A1" s="398" t="s">
        <v>22</v>
      </c>
      <c r="B1" s="398"/>
      <c r="C1" s="398"/>
      <c r="D1" s="398"/>
      <c r="E1" s="398"/>
      <c r="F1" s="398"/>
      <c r="G1" s="398"/>
      <c r="H1" s="398"/>
      <c r="I1" s="107"/>
      <c r="J1" s="47"/>
      <c r="K1" s="47"/>
      <c r="L1" s="47"/>
      <c r="M1" s="47"/>
      <c r="N1" s="47"/>
      <c r="O1" s="47"/>
      <c r="P1" s="47"/>
      <c r="Q1" s="47"/>
      <c r="R1" s="47"/>
      <c r="S1" s="47"/>
      <c r="T1" s="47">
        <f ca="1">SUMIF(T6:T11,V1,$K$14:$K$17)</f>
        <v>0</v>
      </c>
      <c r="U1" s="47"/>
      <c r="V1" s="47" t="str">
        <f>J12</f>
        <v/>
      </c>
    </row>
    <row r="2" spans="1:41" ht="54" customHeight="1" thickBot="1">
      <c r="A2" s="105"/>
      <c r="B2" s="407" t="s">
        <v>79</v>
      </c>
      <c r="C2" s="407"/>
      <c r="D2" s="408" t="str">
        <f>пр.взв!B2</f>
        <v xml:space="preserve">Международное соревнование Гран-При по самбо  (ЕКП 2079780016026609) </v>
      </c>
      <c r="E2" s="409"/>
      <c r="F2" s="409"/>
      <c r="G2" s="409"/>
      <c r="H2" s="410"/>
      <c r="I2" s="105"/>
      <c r="T2" s="258">
        <f>SUMIF(J14:J16,V1,$K$14:$K$17)</f>
        <v>2</v>
      </c>
      <c r="U2" s="258"/>
      <c r="V2" s="258"/>
      <c r="W2" s="258"/>
      <c r="X2" s="258"/>
    </row>
    <row r="3" spans="1:41" ht="31.5" customHeight="1" thickBot="1">
      <c r="A3" s="105"/>
      <c r="B3" s="411" t="str">
        <f>пр.взв!A3</f>
        <v>29 - 31 августа 2024 г.                             г.Санкт-Петербург</v>
      </c>
      <c r="C3" s="411"/>
      <c r="D3" s="411"/>
      <c r="E3" s="411"/>
      <c r="F3" s="411"/>
      <c r="G3" s="412" t="str">
        <f>пр.взв!D4</f>
        <v>В.к. 50  кг.</v>
      </c>
      <c r="H3" s="413"/>
      <c r="I3" s="105"/>
    </row>
    <row r="4" spans="1:41" ht="12.75" customHeight="1" thickTop="1" thickBot="1">
      <c r="A4" s="394" t="s">
        <v>10</v>
      </c>
      <c r="B4" s="396" t="s">
        <v>4</v>
      </c>
      <c r="C4" s="414" t="s">
        <v>5</v>
      </c>
      <c r="D4" s="416" t="s">
        <v>6</v>
      </c>
      <c r="E4" s="418" t="s">
        <v>92</v>
      </c>
      <c r="F4" s="416"/>
      <c r="G4" s="420" t="s">
        <v>9</v>
      </c>
      <c r="H4" s="399" t="s">
        <v>8</v>
      </c>
      <c r="I4" s="105"/>
      <c r="J4" s="393" t="str">
        <f>IFERROR(LEFT(F6,FIND(",",F6)-1),F6)</f>
        <v>Россия</v>
      </c>
      <c r="K4" s="388">
        <v>1</v>
      </c>
      <c r="L4" s="389" t="s">
        <v>58</v>
      </c>
      <c r="M4" s="391" t="s">
        <v>57</v>
      </c>
      <c r="N4" s="404"/>
      <c r="O4" s="405"/>
      <c r="P4" s="405"/>
      <c r="Q4" s="406"/>
      <c r="S4" s="422" t="s">
        <v>58</v>
      </c>
      <c r="T4" s="391" t="s">
        <v>57</v>
      </c>
      <c r="U4" s="401"/>
      <c r="V4" s="402"/>
      <c r="W4" s="402"/>
      <c r="X4" s="403"/>
      <c r="AC4" s="422" t="s">
        <v>58</v>
      </c>
      <c r="AD4" s="391" t="s">
        <v>57</v>
      </c>
      <c r="AE4" s="401"/>
      <c r="AF4" s="402"/>
      <c r="AG4" s="402"/>
      <c r="AH4" s="403"/>
      <c r="AJ4" s="422" t="s">
        <v>58</v>
      </c>
      <c r="AK4" s="391" t="s">
        <v>57</v>
      </c>
      <c r="AL4" s="401"/>
      <c r="AM4" s="402"/>
      <c r="AN4" s="402"/>
      <c r="AO4" s="403"/>
    </row>
    <row r="5" spans="1:41" ht="16" thickBot="1">
      <c r="A5" s="395"/>
      <c r="B5" s="397"/>
      <c r="C5" s="415"/>
      <c r="D5" s="417"/>
      <c r="E5" s="419"/>
      <c r="F5" s="417"/>
      <c r="G5" s="421"/>
      <c r="H5" s="400"/>
      <c r="I5" s="105"/>
      <c r="J5" s="393"/>
      <c r="K5" s="388"/>
      <c r="L5" s="390"/>
      <c r="M5" s="392"/>
      <c r="N5" s="79">
        <v>1</v>
      </c>
      <c r="O5" s="80">
        <v>2</v>
      </c>
      <c r="P5" s="80">
        <v>3</v>
      </c>
      <c r="Q5" s="81">
        <v>5</v>
      </c>
      <c r="S5" s="423"/>
      <c r="T5" s="392"/>
      <c r="U5" s="79">
        <v>1</v>
      </c>
      <c r="V5" s="80">
        <v>2</v>
      </c>
      <c r="W5" s="80">
        <v>3</v>
      </c>
      <c r="X5" s="81">
        <v>5</v>
      </c>
      <c r="Z5" s="111">
        <v>1</v>
      </c>
      <c r="AB5" s="111">
        <v>2</v>
      </c>
      <c r="AC5" s="423"/>
      <c r="AD5" s="392"/>
      <c r="AE5" s="112">
        <v>1</v>
      </c>
      <c r="AF5" s="113">
        <v>2</v>
      </c>
      <c r="AG5" s="113">
        <v>3</v>
      </c>
      <c r="AH5" s="114">
        <v>5</v>
      </c>
      <c r="AJ5" s="423"/>
      <c r="AK5" s="392"/>
      <c r="AL5" s="112">
        <v>1</v>
      </c>
      <c r="AM5" s="113">
        <v>2</v>
      </c>
      <c r="AN5" s="113">
        <v>3</v>
      </c>
      <c r="AO5" s="114">
        <v>5</v>
      </c>
    </row>
    <row r="6" spans="1:41" ht="24" customHeight="1">
      <c r="A6" s="226">
        <v>1</v>
      </c>
      <c r="B6" s="179">
        <v>1</v>
      </c>
      <c r="C6" s="170" t="str">
        <f>IFERROR(VLOOKUP(B6,пр.взв!$B$7:$H$14,2,0),"")</f>
        <v>МУХАМЕТЬЯНОВА Алия Ришатовна</v>
      </c>
      <c r="D6" s="171" t="str">
        <f>IFERROR(VLOOKUP(B6,пр.взв!$B$7:$H$14,3,0),"")</f>
        <v>02.01.2005, МС</v>
      </c>
      <c r="E6" s="241" t="str">
        <f>IFERROR(VLOOKUP(B6,пр.взв!$B$7:$H$14,4,0),"")</f>
        <v>РОССИЯ</v>
      </c>
      <c r="F6" s="253" t="str">
        <f>IFERROR(VLOOKUP(B6,пр.взв!$B$7:$H$14,5,0),"")</f>
        <v>Россия, Уфа, ГАУ ДО СШ им.Н.Гастелло Р.Б.</v>
      </c>
      <c r="G6" s="173">
        <f>IFERROR(VLOOKUP(B6,пр.взв!$B$7:$H$14,6,0),"")</f>
        <v>0</v>
      </c>
      <c r="H6" s="227" t="str">
        <f>IFERROR(VLOOKUP(B6,пр.взв!$B$7:$H$14,7,0),"")</f>
        <v>Орлов С.П.</v>
      </c>
      <c r="I6" s="105"/>
      <c r="J6" s="393" t="s">
        <v>59</v>
      </c>
      <c r="K6" s="388">
        <v>1</v>
      </c>
      <c r="L6" s="82">
        <v>1</v>
      </c>
      <c r="M6" s="78" t="s">
        <v>60</v>
      </c>
      <c r="N6" s="83">
        <f>SUMIF($J$4:$J$7,J4,$K$4:$K$7)</f>
        <v>1</v>
      </c>
      <c r="O6" s="83">
        <f ca="1">SUMIF($I$8:$J$9,"алт",$K$6:$K$9)</f>
        <v>0</v>
      </c>
      <c r="P6" s="84">
        <f>SUMIF($J$10:$J$13,"Алт",$K$10:$K$13)</f>
        <v>0</v>
      </c>
      <c r="Q6" s="84">
        <f>SUMIF($J$14:$J$17,"Алт",$K$14:$K$17)</f>
        <v>0</v>
      </c>
      <c r="S6" s="82">
        <v>1</v>
      </c>
      <c r="T6" s="78" t="str">
        <f>J4</f>
        <v>Россия</v>
      </c>
      <c r="U6" s="83">
        <f t="shared" ref="U6:U11" si="0">SUMIF($J$4:$J$7,T6,$K$4:$K$7)</f>
        <v>1</v>
      </c>
      <c r="V6" s="83">
        <f t="shared" ref="V6:V11" ca="1" si="1">SUMIF($I$8:$J$9,T6,$K$6:$K$9)</f>
        <v>0</v>
      </c>
      <c r="W6" s="84">
        <f t="shared" ref="W6:W11" si="2">SUMIF($J$10:$J$13,T6,$K$10:$K$13)</f>
        <v>1</v>
      </c>
      <c r="X6" s="84">
        <f>SUMIF($J$14:$J$17,T6,$K$14:$K$17)</f>
        <v>0</v>
      </c>
      <c r="Z6" t="str">
        <f>T6</f>
        <v>Россия</v>
      </c>
      <c r="AB6" t="str">
        <f>Z6</f>
        <v>Россия</v>
      </c>
      <c r="AC6" s="115">
        <v>1</v>
      </c>
      <c r="AD6" s="116" t="str">
        <f>AB6</f>
        <v>Россия</v>
      </c>
      <c r="AE6" s="117">
        <f t="shared" ref="AE6:AE11" si="3">SUMIF($J$4:$J$7,AD6,$K$4:$K$7)</f>
        <v>1</v>
      </c>
      <c r="AF6" s="117">
        <f t="shared" ref="AF6:AF11" ca="1" si="4">SUMIF($I$8:$J$9,AD6,$K$6:$K$9)</f>
        <v>0</v>
      </c>
      <c r="AG6" s="117">
        <f t="shared" ref="AG6:AG11" si="5">SUMIF($J$10:$J$13,AD6,$K$10:$K$13)</f>
        <v>1</v>
      </c>
      <c r="AH6" s="118">
        <f t="shared" ref="AH6:AH11" si="6">SUMIF($J$14:$J$17,AD6,$K$14:$K$17)</f>
        <v>0</v>
      </c>
      <c r="AJ6" s="115">
        <v>1</v>
      </c>
      <c r="AK6" s="116" t="str">
        <f t="shared" ref="AK6:AO11" si="7">IF(AD6=0," ",AD6)</f>
        <v>Россия</v>
      </c>
      <c r="AL6" s="117">
        <f t="shared" si="7"/>
        <v>1</v>
      </c>
      <c r="AM6" s="117" t="str">
        <f t="shared" ca="1" si="7"/>
        <v xml:space="preserve"> </v>
      </c>
      <c r="AN6" s="117">
        <f t="shared" si="7"/>
        <v>1</v>
      </c>
      <c r="AO6" s="118" t="str">
        <f t="shared" si="7"/>
        <v xml:space="preserve"> </v>
      </c>
    </row>
    <row r="7" spans="1:41" ht="24" customHeight="1">
      <c r="A7" s="228">
        <v>2</v>
      </c>
      <c r="B7" s="169">
        <v>2</v>
      </c>
      <c r="C7" s="174" t="str">
        <f>IFERROR(VLOOKUP(B7,пр.взв!$B$7:$H$14,2,0),"")</f>
        <v>АНИЩЕНКО Софья Андреевна</v>
      </c>
      <c r="D7" s="175" t="str">
        <f>IFERROR(VLOOKUP(B7,пр.взв!$B$7:$H$14,3,0),"")</f>
        <v>05.11.2006, КМС</v>
      </c>
      <c r="E7" s="242" t="str">
        <f>IFERROR(VLOOKUP(B7,пр.взв!$B$7:$H$14,4,0),"")</f>
        <v>РОССИЯ</v>
      </c>
      <c r="F7" s="242" t="str">
        <f>IFERROR(VLOOKUP(B7,пр.взв!$B$7:$H$14,5,0),"")</f>
        <v>Санкт-Петербург, ГБУ ДО СШОР "КШВСМ"</v>
      </c>
      <c r="G7" s="172">
        <f>IFERROR(VLOOKUP(B7,пр.взв!$B$7:$H$14,6,0),"")</f>
        <v>0</v>
      </c>
      <c r="H7" s="229" t="str">
        <f>IFERROR(VLOOKUP(B7,пр.взв!$B$7:$H$14,7,0),"")</f>
        <v>Бельтюков А.А., Микайлов М.М.</v>
      </c>
      <c r="I7" s="105"/>
      <c r="J7" s="393"/>
      <c r="K7" s="388"/>
      <c r="L7" s="77">
        <v>2</v>
      </c>
      <c r="M7" s="78" t="s">
        <v>61</v>
      </c>
      <c r="N7" s="83">
        <f>SUMIF($J$4:$J$7,"заб",$K$4:$K$7)</f>
        <v>0</v>
      </c>
      <c r="O7" s="83">
        <f ca="1">SUMIF($I$8:$J$9,"заб",$K$6:$K$9)</f>
        <v>0</v>
      </c>
      <c r="P7" s="84">
        <f>SUMIF($J$10:$J$13,"заб",$K$10:$K$13)</f>
        <v>0</v>
      </c>
      <c r="Q7" s="84">
        <f>SUMIF($J$14:$J$17,"заб",$K$14:$K$17)</f>
        <v>0</v>
      </c>
      <c r="S7" s="77">
        <v>2</v>
      </c>
      <c r="T7" s="78" t="str">
        <f>IF(J8=J4," ",J8)</f>
        <v>Санкт-Петербург</v>
      </c>
      <c r="U7" s="83">
        <f t="shared" si="0"/>
        <v>0</v>
      </c>
      <c r="V7" s="83">
        <f t="shared" ca="1" si="1"/>
        <v>1</v>
      </c>
      <c r="W7" s="84">
        <f t="shared" si="2"/>
        <v>0</v>
      </c>
      <c r="X7" s="84">
        <f>SUMIF($J$14:$J$17,T7,$K$14:$K$17)</f>
        <v>0</v>
      </c>
      <c r="Z7" t="str">
        <f>IF(OR(T7=" "),T8,T7)</f>
        <v>Санкт-Петербург</v>
      </c>
      <c r="AA7">
        <f>IF(U7=U6," ",U7)</f>
        <v>0</v>
      </c>
      <c r="AB7" t="str">
        <f>IF(OR(Z7=" "),Z8,Z7)</f>
        <v>Санкт-Петербург</v>
      </c>
      <c r="AC7" s="119">
        <v>2</v>
      </c>
      <c r="AD7" s="120" t="str">
        <f>IF(OR(AB7=" "),AB8,AB7)</f>
        <v>Санкт-Петербург</v>
      </c>
      <c r="AE7" s="121">
        <f t="shared" si="3"/>
        <v>0</v>
      </c>
      <c r="AF7" s="121">
        <f t="shared" ca="1" si="4"/>
        <v>1</v>
      </c>
      <c r="AG7" s="121">
        <f t="shared" si="5"/>
        <v>0</v>
      </c>
      <c r="AH7" s="122">
        <f t="shared" si="6"/>
        <v>0</v>
      </c>
      <c r="AJ7" s="119">
        <v>2</v>
      </c>
      <c r="AK7" s="120" t="str">
        <f t="shared" si="7"/>
        <v>Санкт-Петербург</v>
      </c>
      <c r="AL7" s="121" t="str">
        <f t="shared" si="7"/>
        <v xml:space="preserve"> </v>
      </c>
      <c r="AM7" s="121">
        <f t="shared" ca="1" si="7"/>
        <v>1</v>
      </c>
      <c r="AN7" s="121" t="str">
        <f t="shared" si="7"/>
        <v xml:space="preserve"> </v>
      </c>
      <c r="AO7" s="122" t="str">
        <f t="shared" si="7"/>
        <v xml:space="preserve"> </v>
      </c>
    </row>
    <row r="8" spans="1:41" ht="24" customHeight="1">
      <c r="A8" s="228">
        <v>3</v>
      </c>
      <c r="B8" s="169">
        <v>3</v>
      </c>
      <c r="C8" s="174" t="str">
        <f>IFERROR(VLOOKUP(B8,пр.взв!$B$7:$H$14,2,0),"")</f>
        <v>ПОЛЫГАЛОВА Ольга Сергеевна</v>
      </c>
      <c r="D8" s="175" t="str">
        <f>IFERROR(VLOOKUP(B8,пр.взв!$B$7:$H$14,3,0),"")</f>
        <v>28.08.2002, МС</v>
      </c>
      <c r="E8" s="242" t="str">
        <f>IFERROR(VLOOKUP(B8,пр.взв!$B$7:$H$14,4,0),"")</f>
        <v>РОССИЯ</v>
      </c>
      <c r="F8" s="242" t="str">
        <f>IFERROR(VLOOKUP(B8,пр.взв!$B$7:$H$14,5,0),"")</f>
        <v>Россия, Березники, МО</v>
      </c>
      <c r="G8" s="172">
        <f>IFERROR(VLOOKUP(B8,пр.взв!$B$7:$H$14,6,0),"")</f>
        <v>0</v>
      </c>
      <c r="H8" s="229" t="str">
        <f>IFERROR(VLOOKUP(B8,пр.взв!$B$7:$H$14,7,0),"")</f>
        <v>Клинова О.А., Клинов Э.Н.</v>
      </c>
      <c r="I8" s="105"/>
      <c r="J8" s="388" t="str">
        <f>IFERROR(LEFT(F7,FIND(",",F7)-1),F7)</f>
        <v>Санкт-Петербург</v>
      </c>
      <c r="K8" s="388">
        <v>1</v>
      </c>
      <c r="L8" s="76">
        <v>3</v>
      </c>
      <c r="M8" s="78" t="s">
        <v>62</v>
      </c>
      <c r="N8" s="83">
        <f>SUMIF($J$4:$J$7,"ирк",$K$4:$K$7)</f>
        <v>0</v>
      </c>
      <c r="O8" s="83">
        <f ca="1">SUMIF($I$8:$J$9,"ирк",$K$6:$K$9)</f>
        <v>0</v>
      </c>
      <c r="P8" s="84">
        <f>SUMIF($J$10:$J$13,"ирк",$K$10:$K$13)</f>
        <v>0</v>
      </c>
      <c r="Q8" s="84">
        <f>SUMIF($J$14:$J$17,"ирк",$K$14:$K$17)</f>
        <v>0</v>
      </c>
      <c r="S8" s="76">
        <v>3</v>
      </c>
      <c r="T8" s="78" t="str">
        <f>IF(OR(J10=J4,J10=J8)," ",J10)</f>
        <v xml:space="preserve"> </v>
      </c>
      <c r="U8" s="83">
        <f t="shared" si="0"/>
        <v>0</v>
      </c>
      <c r="V8" s="83">
        <f t="shared" ca="1" si="1"/>
        <v>0</v>
      </c>
      <c r="W8" s="84">
        <f t="shared" si="2"/>
        <v>0</v>
      </c>
      <c r="X8" s="84">
        <f>SUMIF($J$14:$J$17,T8,$K$14:$K$17)</f>
        <v>0</v>
      </c>
      <c r="Z8" t="str">
        <f>IF(OR(T8=" ",T7=" "),T9,T8)</f>
        <v/>
      </c>
      <c r="AB8" t="str">
        <f>IF(OR(Z8=" ",Z7=" "),Z9,Z8)</f>
        <v/>
      </c>
      <c r="AC8" s="123">
        <v>3</v>
      </c>
      <c r="AD8" s="120" t="str">
        <f>IF(OR(AB8=" ",AB7=" "),AB9,AB8)</f>
        <v/>
      </c>
      <c r="AE8" s="121">
        <f t="shared" si="3"/>
        <v>0</v>
      </c>
      <c r="AF8" s="121">
        <f t="shared" ca="1" si="4"/>
        <v>3</v>
      </c>
      <c r="AG8" s="121">
        <f t="shared" si="5"/>
        <v>1</v>
      </c>
      <c r="AH8" s="122">
        <f t="shared" si="6"/>
        <v>2</v>
      </c>
      <c r="AJ8" s="123">
        <v>3</v>
      </c>
      <c r="AK8" s="120" t="str">
        <f t="shared" si="7"/>
        <v/>
      </c>
      <c r="AL8" s="121" t="str">
        <f t="shared" si="7"/>
        <v xml:space="preserve"> </v>
      </c>
      <c r="AM8" s="121">
        <f t="shared" ca="1" si="7"/>
        <v>3</v>
      </c>
      <c r="AN8" s="121">
        <f t="shared" si="7"/>
        <v>1</v>
      </c>
      <c r="AO8" s="122">
        <f t="shared" si="7"/>
        <v>2</v>
      </c>
    </row>
    <row r="9" spans="1:41" ht="24" customHeight="1" thickBot="1">
      <c r="A9" s="230">
        <v>3</v>
      </c>
      <c r="B9" s="231">
        <f>пр.хода!R21</f>
        <v>0</v>
      </c>
      <c r="C9" s="232" t="str">
        <f>IFERROR(VLOOKUP(B9,пр.взв!$B$7:$H$14,2,0),"")</f>
        <v/>
      </c>
      <c r="D9" s="233" t="str">
        <f>IFERROR(VLOOKUP(B9,пр.взв!$B$7:$H$14,3,0),"")</f>
        <v/>
      </c>
      <c r="E9" s="243" t="str">
        <f>IFERROR(VLOOKUP(B9,пр.взв!$B$7:$H$14,4,0),"")</f>
        <v/>
      </c>
      <c r="F9" s="243" t="str">
        <f>IFERROR(VLOOKUP(B9,пр.взв!$B$7:$H$14,5,0),"")</f>
        <v/>
      </c>
      <c r="G9" s="234" t="str">
        <f>IFERROR(VLOOKUP(B9,пр.взв!$B$7:$H$14,6,0),"")</f>
        <v/>
      </c>
      <c r="H9" s="235" t="str">
        <f>IFERROR(VLOOKUP(B9,пр.взв!$B$7:$H$14,7,0),"")</f>
        <v/>
      </c>
      <c r="I9" s="105"/>
      <c r="J9" s="388"/>
      <c r="K9" s="388"/>
      <c r="L9" s="77">
        <v>4</v>
      </c>
      <c r="M9" s="78" t="s">
        <v>63</v>
      </c>
      <c r="N9" s="83">
        <f>SUMIF($J$4:$J$7,"кем",$K$4:$K$7)</f>
        <v>0</v>
      </c>
      <c r="O9" s="83">
        <f ca="1">SUMIF($I$8:$J$9,"кем",$K$6:$K$9)</f>
        <v>0</v>
      </c>
      <c r="P9" s="84">
        <f>SUMIF($J$10:$J$13,"кем",$K$10:$K$13)</f>
        <v>0</v>
      </c>
      <c r="Q9" s="84">
        <f>SUMIF($J$14:$J$17,"кем",$K$14:$K$17)</f>
        <v>0</v>
      </c>
      <c r="S9" s="77">
        <v>4</v>
      </c>
      <c r="T9" s="78" t="str">
        <f>IF(OR(J12=J4,J12=J8,J12=J10)," ",J12)</f>
        <v/>
      </c>
      <c r="U9" s="83">
        <f t="shared" si="0"/>
        <v>0</v>
      </c>
      <c r="V9" s="83">
        <f t="shared" ca="1" si="1"/>
        <v>3</v>
      </c>
      <c r="W9" s="84">
        <f t="shared" si="2"/>
        <v>1</v>
      </c>
      <c r="X9" s="84">
        <f>SUMIF($J$14:$J$17,T9,$K$14:$K$17)</f>
        <v>2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19">
        <v>4</v>
      </c>
      <c r="AD9" s="120" t="str">
        <f>IF(OR(AB7=" ",AB8=" ",AB9=" "),AB10,AB9)</f>
        <v xml:space="preserve"> </v>
      </c>
      <c r="AE9" s="121">
        <f t="shared" si="3"/>
        <v>0</v>
      </c>
      <c r="AF9" s="121">
        <f t="shared" ca="1" si="4"/>
        <v>0</v>
      </c>
      <c r="AG9" s="121">
        <f t="shared" si="5"/>
        <v>0</v>
      </c>
      <c r="AH9" s="122">
        <f t="shared" si="6"/>
        <v>0</v>
      </c>
      <c r="AJ9" s="119">
        <v>4</v>
      </c>
      <c r="AK9" s="120" t="str">
        <f t="shared" si="7"/>
        <v xml:space="preserve"> </v>
      </c>
      <c r="AL9" s="121" t="str">
        <f t="shared" si="7"/>
        <v xml:space="preserve"> </v>
      </c>
      <c r="AM9" s="121" t="str">
        <f t="shared" ca="1" si="7"/>
        <v xml:space="preserve"> </v>
      </c>
      <c r="AN9" s="121" t="str">
        <f t="shared" si="7"/>
        <v xml:space="preserve"> </v>
      </c>
      <c r="AO9" s="122" t="str">
        <f t="shared" si="7"/>
        <v xml:space="preserve"> </v>
      </c>
    </row>
    <row r="10" spans="1:41" ht="24" hidden="1" customHeight="1">
      <c r="A10" s="220" t="s">
        <v>48</v>
      </c>
      <c r="B10" s="221" t="e">
        <f>пр.хода!#REF!</f>
        <v>#REF!</v>
      </c>
      <c r="C10" s="222" t="str">
        <f>IFERROR(VLOOKUP(B10,пр.взв!$B$7:$H$14,2,0),"")</f>
        <v/>
      </c>
      <c r="D10" s="223" t="str">
        <f>IFERROR(VLOOKUP(B10,пр.взв!$B$7:$H$14,3,0),"")</f>
        <v/>
      </c>
      <c r="E10" s="244" t="str">
        <f>IFERROR(VLOOKUP(B10,пр.взв!$B$7:$H$14,4,0),"")</f>
        <v/>
      </c>
      <c r="F10" s="244" t="str">
        <f>IFERROR(VLOOKUP(B10,пр.взв!$B$7:$H$14,5,0),"")</f>
        <v/>
      </c>
      <c r="G10" s="224" t="str">
        <f>IFERROR(VLOOKUP(B10,пр.взв!$B$7:$H$14,6,0),"")</f>
        <v/>
      </c>
      <c r="H10" s="225" t="str">
        <f>IFERROR(VLOOKUP(B10,пр.взв!$B$7:$H$14,7,0),"")</f>
        <v/>
      </c>
      <c r="I10" s="105"/>
      <c r="J10" s="388" t="str">
        <f>IFERROR(LEFT(F8,FIND(",",F8)-1),F8)</f>
        <v>Россия</v>
      </c>
      <c r="K10" s="388">
        <v>1</v>
      </c>
      <c r="L10" s="76">
        <v>5</v>
      </c>
      <c r="M10" s="78" t="s">
        <v>64</v>
      </c>
      <c r="N10" s="83">
        <f>SUMIF($J$4:$J$7,"кра",$K$4:$K$7)</f>
        <v>0</v>
      </c>
      <c r="O10" s="83">
        <f ca="1">SUMIF($I$8:$J$9,"кра",$K$6:$K$9)</f>
        <v>0</v>
      </c>
      <c r="P10" s="84">
        <f>SUMIF($J$10:$J$13,"кра",$K$10:$K$13)</f>
        <v>0</v>
      </c>
      <c r="Q10" s="84">
        <f>SUMIF($J$14:$J$17,"кра",$K$14:$K$17)</f>
        <v>0</v>
      </c>
      <c r="S10" s="76">
        <v>5</v>
      </c>
      <c r="T10" s="78" t="str">
        <f>IF(OR(J14=J4,J14=J8,J14=J10,J14=J12)," ",J14)</f>
        <v xml:space="preserve"> </v>
      </c>
      <c r="U10" s="83">
        <f t="shared" si="0"/>
        <v>0</v>
      </c>
      <c r="V10" s="83">
        <f t="shared" ca="1" si="1"/>
        <v>0</v>
      </c>
      <c r="W10" s="84">
        <f t="shared" si="2"/>
        <v>0</v>
      </c>
      <c r="X10" s="84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23">
        <v>5</v>
      </c>
      <c r="AD10" s="120" t="str">
        <f>IF(OR(AB7=" ",AB8=" ",AB9=" ")," ",AB10)</f>
        <v xml:space="preserve"> </v>
      </c>
      <c r="AE10" s="121">
        <f t="shared" si="3"/>
        <v>0</v>
      </c>
      <c r="AF10" s="121">
        <f t="shared" ca="1" si="4"/>
        <v>0</v>
      </c>
      <c r="AG10" s="121">
        <f t="shared" si="5"/>
        <v>0</v>
      </c>
      <c r="AH10" s="122">
        <f t="shared" si="6"/>
        <v>0</v>
      </c>
      <c r="AJ10" s="123">
        <v>5</v>
      </c>
      <c r="AK10" s="120" t="str">
        <f t="shared" si="7"/>
        <v xml:space="preserve"> </v>
      </c>
      <c r="AL10" s="121" t="str">
        <f t="shared" si="7"/>
        <v xml:space="preserve"> </v>
      </c>
      <c r="AM10" s="121" t="str">
        <f t="shared" ca="1" si="7"/>
        <v xml:space="preserve"> </v>
      </c>
      <c r="AN10" s="121" t="str">
        <f t="shared" si="7"/>
        <v xml:space="preserve"> </v>
      </c>
      <c r="AO10" s="122" t="str">
        <f t="shared" si="7"/>
        <v xml:space="preserve"> </v>
      </c>
    </row>
    <row r="11" spans="1:41" ht="24" hidden="1" customHeight="1" thickBot="1">
      <c r="A11" s="167" t="s">
        <v>48</v>
      </c>
      <c r="B11" s="177" t="str">
        <f>пр.хода!Z18</f>
        <v xml:space="preserve"> </v>
      </c>
      <c r="C11" s="174" t="str">
        <f>IFERROR(VLOOKUP(B11,пр.взв!$B$7:$H$14,2,0),"")</f>
        <v/>
      </c>
      <c r="D11" s="175" t="str">
        <f>IFERROR(VLOOKUP(B11,пр.взв!$B$7:$H$14,3,0),"")</f>
        <v/>
      </c>
      <c r="E11" s="242" t="str">
        <f>IFERROR(VLOOKUP(B11,пр.взв!$B$7:$H$14,4,0),"")</f>
        <v/>
      </c>
      <c r="F11" s="242" t="str">
        <f>IFERROR(VLOOKUP(B11,пр.взв!$B$7:$H$14,5,0),"")</f>
        <v/>
      </c>
      <c r="G11" s="172" t="str">
        <f>IFERROR(VLOOKUP(B11,пр.взв!$B$7:$H$14,6,0),"")</f>
        <v/>
      </c>
      <c r="H11" s="176" t="str">
        <f>IFERROR(VLOOKUP(B11,пр.взв!$B$7:$H$14,7,0),"")</f>
        <v/>
      </c>
      <c r="I11" s="105"/>
      <c r="J11" s="388"/>
      <c r="K11" s="388"/>
      <c r="L11" s="77">
        <v>6</v>
      </c>
      <c r="M11" s="78" t="s">
        <v>65</v>
      </c>
      <c r="N11" s="83">
        <f>SUMIF($J$4:$J$7,"нов",$K$4:$K$7)</f>
        <v>0</v>
      </c>
      <c r="O11" s="83">
        <f ca="1">SUMIF($I$8:$J$9,"нов",$K$6:$K$9)</f>
        <v>0</v>
      </c>
      <c r="P11" s="84">
        <f>SUMIF($J$10:$J$13,"нов",$K$10:$K$13)</f>
        <v>0</v>
      </c>
      <c r="Q11" s="84">
        <f>SUMIF($J$14:$J$17,"нов",$K$14:$K$17)</f>
        <v>0</v>
      </c>
      <c r="S11" s="77">
        <v>6</v>
      </c>
      <c r="T11" s="78" t="str">
        <f>IF(OR(J16=J4,J16=J8,J16=J10,J16=J12,J16=J14)," ",J16)</f>
        <v xml:space="preserve"> </v>
      </c>
      <c r="U11" s="83">
        <f t="shared" si="0"/>
        <v>0</v>
      </c>
      <c r="V11" s="83">
        <f t="shared" ca="1" si="1"/>
        <v>0</v>
      </c>
      <c r="W11" s="84">
        <f t="shared" si="2"/>
        <v>0</v>
      </c>
      <c r="X11" s="84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24">
        <v>6</v>
      </c>
      <c r="AD11" s="125" t="str">
        <f>IF(OR(AB7=" ",AB8=" ",AB9=" ",AB10=" ")," ",AB11)</f>
        <v xml:space="preserve"> </v>
      </c>
      <c r="AE11" s="126">
        <f t="shared" si="3"/>
        <v>0</v>
      </c>
      <c r="AF11" s="126">
        <f t="shared" ca="1" si="4"/>
        <v>0</v>
      </c>
      <c r="AG11" s="126">
        <f t="shared" si="5"/>
        <v>0</v>
      </c>
      <c r="AH11" s="127">
        <f t="shared" si="6"/>
        <v>0</v>
      </c>
      <c r="AJ11" s="124">
        <v>6</v>
      </c>
      <c r="AK11" s="125" t="str">
        <f t="shared" si="7"/>
        <v xml:space="preserve"> </v>
      </c>
      <c r="AL11" s="126" t="str">
        <f t="shared" si="7"/>
        <v xml:space="preserve"> </v>
      </c>
      <c r="AM11" s="126" t="str">
        <f t="shared" ca="1" si="7"/>
        <v xml:space="preserve"> </v>
      </c>
      <c r="AN11" s="126" t="str">
        <f t="shared" si="7"/>
        <v xml:space="preserve"> </v>
      </c>
      <c r="AO11" s="127" t="str">
        <f t="shared" si="7"/>
        <v xml:space="preserve"> </v>
      </c>
    </row>
    <row r="12" spans="1:41" ht="24" hidden="1" customHeight="1" thickBot="1">
      <c r="A12" s="167" t="s">
        <v>37</v>
      </c>
      <c r="B12" s="177" t="str">
        <f>пр.хода!Z19</f>
        <v xml:space="preserve"> </v>
      </c>
      <c r="C12" s="174" t="str">
        <f>IFERROR(VLOOKUP(B12,пр.взв!$B$7:$H$14,2,0),"")</f>
        <v/>
      </c>
      <c r="D12" s="175" t="str">
        <f>IFERROR(VLOOKUP(B12,пр.взв!$B$7:$H$14,3,0),"")</f>
        <v/>
      </c>
      <c r="E12" s="242" t="str">
        <f>IFERROR(VLOOKUP(B12,пр.взв!$B$7:$H$14,4,0),"")</f>
        <v/>
      </c>
      <c r="F12" s="242" t="str">
        <f>IFERROR(VLOOKUP(B12,пр.взв!$B$7:$H$14,5,0),"")</f>
        <v/>
      </c>
      <c r="G12" s="172" t="str">
        <f>IFERROR(VLOOKUP(B12,пр.взв!$B$7:$H$14,6,0),"")</f>
        <v/>
      </c>
      <c r="H12" s="176" t="str">
        <f>IFERROR(VLOOKUP(B12,пр.взв!$B$7:$H$14,7,0),"")</f>
        <v/>
      </c>
      <c r="I12" s="105"/>
      <c r="J12" s="388" t="str">
        <f>IFERROR(LEFT(F9,FIND(",",F9)-1),F9)</f>
        <v/>
      </c>
      <c r="K12" s="388">
        <v>1</v>
      </c>
      <c r="L12" s="76">
        <v>7</v>
      </c>
      <c r="M12" s="78" t="s">
        <v>66</v>
      </c>
      <c r="N12" s="83">
        <f>SUMIF($J$4:$J$7,"омс",$K$4:$K$7)</f>
        <v>0</v>
      </c>
      <c r="O12" s="83">
        <f ca="1">SUMIF($I$8:$J$9,"омс",$K$6:$K$9)</f>
        <v>0</v>
      </c>
      <c r="P12" s="84">
        <f>SUMIF($J$10:$J$13,"омс",$K$10:$K$13)</f>
        <v>0</v>
      </c>
      <c r="Q12" s="84">
        <f>SUMIF($J$14:$J$17,"омс",$K$14:$K$17)</f>
        <v>0</v>
      </c>
      <c r="S12" s="88"/>
      <c r="T12" s="78" t="str">
        <f>IF(OR(J15=J7,J15=J11,J15=J13)," ",J15)</f>
        <v xml:space="preserve"> </v>
      </c>
      <c r="U12" s="90"/>
      <c r="V12" s="90"/>
      <c r="W12" s="91"/>
      <c r="X12" s="91"/>
      <c r="AC12" s="85"/>
      <c r="AD12" s="86"/>
      <c r="AE12" s="128">
        <f>SUM(AE6:AE11)</f>
        <v>1</v>
      </c>
      <c r="AF12" s="128">
        <f ca="1">SUM(AF6:AF11)</f>
        <v>4</v>
      </c>
      <c r="AG12" s="128">
        <f>SUM(AG6:AG11)</f>
        <v>2</v>
      </c>
      <c r="AH12" s="128">
        <f>SUM(AH6:AH11)</f>
        <v>2</v>
      </c>
      <c r="AJ12" s="85"/>
      <c r="AK12" s="86"/>
      <c r="AL12" s="128">
        <f>SUM(AL6:AL11)</f>
        <v>1</v>
      </c>
      <c r="AM12" s="128">
        <f ca="1">SUM(AM6:AM11)</f>
        <v>4</v>
      </c>
      <c r="AN12" s="128">
        <f>SUM(AN6:AN11)</f>
        <v>2</v>
      </c>
      <c r="AO12" s="128">
        <f>SUM(AO6:AO11)</f>
        <v>2</v>
      </c>
    </row>
    <row r="13" spans="1:41" ht="24" hidden="1" customHeight="1" thickBot="1">
      <c r="A13" s="168" t="s">
        <v>37</v>
      </c>
      <c r="B13" s="178" t="str">
        <f>пр.хода!Z20</f>
        <v xml:space="preserve"> </v>
      </c>
      <c r="C13" s="180" t="str">
        <f>IFERROR(VLOOKUP(B13,пр.взв!$B$7:$H$14,2,0),"")</f>
        <v/>
      </c>
      <c r="D13" s="181" t="str">
        <f>IFERROR(VLOOKUP(B13,пр.взв!$B$7:$H$14,3,0),"")</f>
        <v/>
      </c>
      <c r="E13" s="245" t="str">
        <f>IFERROR(VLOOKUP(B13,пр.взв!$B$7:$H$14,4,0),"")</f>
        <v/>
      </c>
      <c r="F13" s="245" t="str">
        <f>IFERROR(VLOOKUP(B13,пр.взв!$B$7:$H$14,5,0),"")</f>
        <v/>
      </c>
      <c r="G13" s="182" t="str">
        <f>IFERROR(VLOOKUP(B13,пр.взв!$B$7:$H$14,6,0),"")</f>
        <v/>
      </c>
      <c r="H13" s="183" t="str">
        <f>IFERROR(VLOOKUP(B13,пр.взв!$B$7:$H$14,7,0),"")</f>
        <v/>
      </c>
      <c r="I13" s="105"/>
      <c r="J13" s="388"/>
      <c r="K13" s="388"/>
      <c r="L13" s="77">
        <v>8</v>
      </c>
      <c r="M13" s="78" t="s">
        <v>67</v>
      </c>
      <c r="N13" s="83">
        <f>SUMIF($J$4:$J$7,"р.а",$K$4:$K$7)</f>
        <v>0</v>
      </c>
      <c r="O13" s="83">
        <f ca="1">SUMIF($I$8:$J$9,"р.а",$K$6:$K$9)</f>
        <v>0</v>
      </c>
      <c r="P13" s="84">
        <f>SUMIF($J$10:$J$13,"р.а",$K$10:$K$13)</f>
        <v>0</v>
      </c>
      <c r="Q13" s="84">
        <f>SUMIF($J$14:$J$17,"р.а",$K$14:$K$17)</f>
        <v>0</v>
      </c>
      <c r="S13" s="92"/>
      <c r="T13" s="89" t="str">
        <f>IF(OR(J16=J8,J16=J12,J16=J14)," ",J16)</f>
        <v xml:space="preserve"> </v>
      </c>
      <c r="U13" s="90"/>
      <c r="V13" s="90"/>
      <c r="W13" s="91"/>
      <c r="X13" s="91"/>
    </row>
    <row r="14" spans="1:41" ht="12.75" hidden="1" customHeight="1">
      <c r="A14" s="105"/>
      <c r="B14" s="105"/>
      <c r="C14" s="105"/>
      <c r="D14" s="105"/>
      <c r="E14" s="246"/>
      <c r="F14" s="246"/>
      <c r="G14" s="105"/>
      <c r="H14" s="105"/>
      <c r="I14" s="105"/>
      <c r="J14" s="388" t="str">
        <f>IFERROR(LEFT(F10,FIND(",",F10)-1),F10)</f>
        <v/>
      </c>
      <c r="K14" s="388">
        <v>1</v>
      </c>
      <c r="L14" s="76">
        <v>9</v>
      </c>
      <c r="M14" s="78" t="s">
        <v>68</v>
      </c>
      <c r="N14" s="83">
        <f>SUMIF($J$4:$J$7,"р.б",$K$4:$K$7)</f>
        <v>0</v>
      </c>
      <c r="O14" s="83">
        <f ca="1">SUMIF($I$8:$J$9,"р.б",$K$6:$K$9)</f>
        <v>0</v>
      </c>
      <c r="P14" s="84">
        <f>SUMIF($J$10:$J$13,"р.б",$K$10:$K$13)</f>
        <v>0</v>
      </c>
      <c r="Q14" s="84">
        <f>SUMIF($J$14:$J$17,"р.б",$K$14:$K$17)</f>
        <v>0</v>
      </c>
      <c r="S14" s="88"/>
      <c r="T14" s="89"/>
      <c r="U14" s="90"/>
      <c r="V14" s="90"/>
      <c r="W14" s="91"/>
      <c r="X14" s="91"/>
    </row>
    <row r="15" spans="1:41" ht="15.5" hidden="1">
      <c r="A15" s="105"/>
      <c r="B15" s="105"/>
      <c r="C15" s="105"/>
      <c r="D15" s="105"/>
      <c r="E15" s="246"/>
      <c r="F15" s="246"/>
      <c r="G15" s="105"/>
      <c r="H15" s="105"/>
      <c r="I15" s="105"/>
      <c r="J15" s="388"/>
      <c r="K15" s="388"/>
      <c r="L15" s="77">
        <v>10</v>
      </c>
      <c r="M15" s="78" t="s">
        <v>69</v>
      </c>
      <c r="N15" s="83">
        <f>SUMIF($J$4:$J$7,"р.х",$K$4:$K$7)</f>
        <v>0</v>
      </c>
      <c r="O15" s="83">
        <f ca="1">SUMIF($I$8:$J$9,"р.х",$K$6:$K$9)</f>
        <v>0</v>
      </c>
      <c r="P15" s="84">
        <f>SUMIF($J$10:$J$13,"р.х",$K$10:$K$13)</f>
        <v>0</v>
      </c>
      <c r="Q15" s="84">
        <f>SUMIF($J$14:$J$17,"р.х",$K$14:$K$17)</f>
        <v>0</v>
      </c>
      <c r="S15" s="92"/>
      <c r="T15" s="89"/>
      <c r="U15" s="90"/>
      <c r="V15" s="90"/>
      <c r="W15" s="91"/>
      <c r="X15" s="91"/>
    </row>
    <row r="16" spans="1:41" ht="12.75" hidden="1" customHeight="1">
      <c r="A16" s="105"/>
      <c r="B16" s="105"/>
      <c r="C16" s="105"/>
      <c r="D16" s="105"/>
      <c r="E16" s="246"/>
      <c r="F16" s="246"/>
      <c r="G16" s="105"/>
      <c r="H16" s="105"/>
      <c r="I16" s="105"/>
      <c r="J16" s="388" t="str">
        <f>IFERROR(LEFT(F11,FIND(",",F11)-1),F11)</f>
        <v/>
      </c>
      <c r="K16" s="388">
        <v>1</v>
      </c>
      <c r="L16" s="76">
        <v>11</v>
      </c>
      <c r="M16" s="129" t="s">
        <v>70</v>
      </c>
      <c r="N16" s="83">
        <f>SUMIF($J$4:$J$7,"том",$K$4:$K$7)</f>
        <v>0</v>
      </c>
      <c r="O16" s="83">
        <f ca="1">SUMIF($I$8:$J$9,"том",$K$6:$K$9)</f>
        <v>0</v>
      </c>
      <c r="P16" s="84">
        <f>SUMIF($J$10:$J$13,"том",$K$10:$K$13)</f>
        <v>0</v>
      </c>
      <c r="Q16" s="84">
        <f>SUMIF($J$14:$J$17,"том",$K$14:$K$17)</f>
        <v>0</v>
      </c>
      <c r="S16" s="88"/>
      <c r="T16" s="93"/>
      <c r="U16" s="90"/>
      <c r="V16" s="90"/>
      <c r="W16" s="91"/>
      <c r="X16" s="91"/>
    </row>
    <row r="17" spans="1:24" ht="16" hidden="1" thickBot="1">
      <c r="A17" s="105"/>
      <c r="B17" s="105"/>
      <c r="C17" s="105"/>
      <c r="D17" s="105"/>
      <c r="E17" s="246"/>
      <c r="F17" s="246"/>
      <c r="G17" s="105"/>
      <c r="H17" s="105"/>
      <c r="I17" s="105"/>
      <c r="J17" s="388"/>
      <c r="K17" s="388"/>
      <c r="L17" s="77">
        <v>12</v>
      </c>
      <c r="M17" s="129" t="s">
        <v>71</v>
      </c>
      <c r="N17" s="83">
        <f>SUMIF($J$4:$J$7,"Мос",$K$4:$K$7)</f>
        <v>0</v>
      </c>
      <c r="O17" s="83">
        <f ca="1">SUMIF($I$8:$J$9,"Мос",$K$6:$K$9)</f>
        <v>0</v>
      </c>
      <c r="P17" s="84">
        <f>SUMIF($J$10:$J$13,"Мос",$K$10:$K$13)</f>
        <v>0</v>
      </c>
      <c r="Q17" s="84">
        <f>SUMIF($J$14:$J$17,"Мос",$K$14:$K$17)</f>
        <v>0</v>
      </c>
      <c r="S17" s="92"/>
      <c r="T17" s="93"/>
      <c r="U17" s="90"/>
      <c r="V17" s="90"/>
      <c r="W17" s="91"/>
      <c r="X17" s="91"/>
    </row>
    <row r="18" spans="1:24" ht="12.75" customHeight="1" thickTop="1" thickBot="1">
      <c r="A18" s="105"/>
      <c r="B18" s="105"/>
      <c r="C18" s="105"/>
      <c r="D18" s="105"/>
      <c r="E18" s="246"/>
      <c r="F18" s="246"/>
      <c r="G18" s="105"/>
      <c r="H18" s="105"/>
      <c r="I18" s="105"/>
      <c r="L18" s="85"/>
      <c r="M18" s="86"/>
      <c r="N18" s="87">
        <f>SUM(N6:N17)</f>
        <v>1</v>
      </c>
      <c r="O18" s="87">
        <f ca="1">SUM(O6:O17)</f>
        <v>0</v>
      </c>
      <c r="P18" s="87">
        <f>SUM(P6:P17)</f>
        <v>0</v>
      </c>
      <c r="Q18" s="87">
        <f>SUM(Q6:Q17)</f>
        <v>0</v>
      </c>
    </row>
    <row r="19" spans="1:24" ht="12.65" customHeight="1">
      <c r="A19" s="108"/>
      <c r="B19" s="108"/>
      <c r="C19" s="108"/>
      <c r="D19" s="108"/>
      <c r="E19" s="247"/>
      <c r="F19" s="247"/>
      <c r="G19" s="108"/>
      <c r="H19" s="108"/>
      <c r="I19" s="105"/>
    </row>
    <row r="20" spans="1:24" ht="12.75" customHeight="1">
      <c r="A20" s="236"/>
      <c r="B20" s="236"/>
      <c r="C20" s="236"/>
      <c r="D20" s="236"/>
      <c r="E20" s="248"/>
      <c r="F20" s="248"/>
      <c r="G20" s="236"/>
      <c r="H20" s="236"/>
      <c r="I20" s="105"/>
    </row>
    <row r="21" spans="1:24" ht="13" customHeight="1">
      <c r="A21" s="138" t="str">
        <f>[1]реквизиты!$A$6</f>
        <v>Гл. судья, судья ВК</v>
      </c>
      <c r="B21" s="236"/>
      <c r="C21" s="237"/>
      <c r="D21" s="238"/>
      <c r="E21" s="249"/>
      <c r="F21" s="250"/>
      <c r="G21" s="110" t="str">
        <f>[1]реквизиты!$G$6</f>
        <v>А.А.Лебедев</v>
      </c>
      <c r="H21" s="236" t="str">
        <f>пр.хода!N27</f>
        <v>И.Т.Кадыров</v>
      </c>
      <c r="I21" s="105"/>
    </row>
    <row r="22" spans="1:24" ht="15.5">
      <c r="A22" s="236"/>
      <c r="B22" s="236"/>
      <c r="C22" s="237"/>
      <c r="D22" s="237"/>
      <c r="E22" s="250"/>
      <c r="F22" s="250"/>
      <c r="G22" s="138" t="str">
        <f>[1]реквизиты!$G$7</f>
        <v>/Москва /</v>
      </c>
      <c r="H22" s="236" t="str">
        <f>пр.хода!R27</f>
        <v>/Башкортостан /</v>
      </c>
      <c r="I22" s="105"/>
    </row>
    <row r="23" spans="1:24" ht="15.5">
      <c r="A23" s="236"/>
      <c r="B23" s="236"/>
      <c r="C23" s="237"/>
      <c r="D23" s="237"/>
      <c r="E23" s="250"/>
      <c r="F23" s="250"/>
      <c r="G23" s="236"/>
      <c r="H23" s="236"/>
      <c r="I23" s="105"/>
    </row>
    <row r="24" spans="1:24" ht="15.5">
      <c r="A24" s="138" t="str">
        <f>пр.хода!B29</f>
        <v>Гл. секретарь, судья ВК</v>
      </c>
      <c r="B24" s="236"/>
      <c r="C24" s="237"/>
      <c r="D24" s="238"/>
      <c r="E24" s="249"/>
      <c r="F24" s="250"/>
      <c r="G24" s="110" t="str">
        <f>[1]реквизиты!$G$8</f>
        <v>А.С.Тимошин</v>
      </c>
      <c r="H24" s="236" t="str">
        <f>пр.хода!N29</f>
        <v>Э.В.Задорожный</v>
      </c>
      <c r="I24" s="105"/>
    </row>
    <row r="25" spans="1:24" ht="15.5">
      <c r="A25" s="236"/>
      <c r="B25" s="236"/>
      <c r="C25" s="236"/>
      <c r="D25" s="237"/>
      <c r="E25" s="250"/>
      <c r="F25" s="250"/>
      <c r="G25" s="138" t="str">
        <f>[1]реквизиты!$G$9</f>
        <v>/Ярославская/</v>
      </c>
      <c r="H25" s="236" t="str">
        <f>пр.хода!R29</f>
        <v>/Сахалинская/</v>
      </c>
      <c r="I25" s="105"/>
    </row>
    <row r="26" spans="1:24">
      <c r="A26" s="108"/>
      <c r="B26" s="108"/>
      <c r="C26" s="108"/>
      <c r="D26" s="109"/>
      <c r="E26" s="251"/>
      <c r="F26" s="251"/>
      <c r="G26" s="108"/>
      <c r="H26" s="108"/>
      <c r="I26" s="105"/>
    </row>
    <row r="27" spans="1:24">
      <c r="A27" s="105"/>
      <c r="B27" s="105"/>
      <c r="C27" s="105"/>
      <c r="D27" s="106"/>
      <c r="E27" s="252"/>
      <c r="F27" s="252"/>
      <c r="G27" s="105"/>
      <c r="H27" s="105"/>
      <c r="I27" s="105"/>
    </row>
    <row r="28" spans="1:24">
      <c r="A28" s="105"/>
      <c r="B28" s="105"/>
      <c r="C28" s="105"/>
      <c r="D28" s="106"/>
      <c r="E28" s="252"/>
      <c r="F28" s="252"/>
      <c r="G28" s="105"/>
      <c r="H28" s="105"/>
      <c r="I28" s="105"/>
    </row>
    <row r="29" spans="1:24">
      <c r="A29" s="105"/>
      <c r="B29" s="105"/>
      <c r="C29" s="105"/>
      <c r="D29" s="106"/>
      <c r="E29" s="252"/>
      <c r="F29" s="252"/>
      <c r="G29" s="105"/>
      <c r="H29" s="105"/>
      <c r="I29" s="108"/>
      <c r="J29" s="3"/>
      <c r="K29" s="3"/>
    </row>
    <row r="30" spans="1:24">
      <c r="I30" s="108"/>
      <c r="J30" s="3"/>
      <c r="K30" s="3"/>
    </row>
    <row r="31" spans="1:24">
      <c r="I31" s="108"/>
      <c r="J31" s="3"/>
      <c r="K31" s="3"/>
    </row>
    <row r="32" spans="1:24">
      <c r="I32" s="108"/>
      <c r="J32" s="11"/>
      <c r="K32" s="11"/>
    </row>
    <row r="33" spans="9:9">
      <c r="I33" s="105"/>
    </row>
    <row r="34" spans="9:9">
      <c r="I34" s="105"/>
    </row>
    <row r="35" spans="9:9">
      <c r="I35" s="105"/>
    </row>
    <row r="36" spans="9:9">
      <c r="I36" s="105"/>
    </row>
    <row r="37" spans="9:9">
      <c r="I37" s="105"/>
    </row>
  </sheetData>
  <sheetProtection formatCells="0" formatColumns="0" formatRows="0" insertColumns="0" insertRows="0" insertHyperlinks="0" deleteColumns="0" deleteRows="0" sort="0" autoFilter="0" pivotTables="0"/>
  <mergeCells count="39">
    <mergeCell ref="AJ4:AJ5"/>
    <mergeCell ref="AK4:AK5"/>
    <mergeCell ref="AL4:AO4"/>
    <mergeCell ref="T2:X2"/>
    <mergeCell ref="S4:S5"/>
    <mergeCell ref="T4:T5"/>
    <mergeCell ref="U4:X4"/>
    <mergeCell ref="AC4:AC5"/>
    <mergeCell ref="AD4:AD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C7:H7 D6:H6 B10:H13 C8:H8 C9:H9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>
    <tabColor indexed="17"/>
  </sheetPr>
  <dimension ref="A1:M47"/>
  <sheetViews>
    <sheetView workbookViewId="0">
      <selection activeCell="P27" sqref="P27"/>
    </sheetView>
  </sheetViews>
  <sheetFormatPr defaultRowHeight="12.5"/>
  <cols>
    <col min="1" max="1" width="4.7265625" customWidth="1"/>
    <col min="2" max="2" width="5.453125" customWidth="1"/>
    <col min="3" max="3" width="24.453125" customWidth="1"/>
    <col min="4" max="4" width="8.54296875" customWidth="1"/>
    <col min="5" max="5" width="5.54296875" customWidth="1"/>
    <col min="6" max="6" width="12" customWidth="1"/>
    <col min="7" max="7" width="27.26953125" customWidth="1"/>
    <col min="8" max="8" width="7" customWidth="1"/>
    <col min="9" max="9" width="6.453125" customWidth="1"/>
  </cols>
  <sheetData>
    <row r="1" spans="1:10" ht="33.75" customHeight="1" thickBot="1">
      <c r="A1" s="424" t="str">
        <f>пр.хода!C3</f>
        <v xml:space="preserve">Международное соревнование Гран-При по самбо  (ЕКП 2079780016026609) </v>
      </c>
      <c r="B1" s="425"/>
      <c r="C1" s="425"/>
      <c r="D1" s="425"/>
      <c r="E1" s="425"/>
      <c r="F1" s="425"/>
      <c r="G1" s="425"/>
      <c r="H1" s="425"/>
      <c r="I1" s="425"/>
    </row>
    <row r="2" spans="1:10" ht="27.75" customHeight="1">
      <c r="D2" s="43"/>
      <c r="E2" s="43"/>
      <c r="F2" s="50" t="str">
        <f>HYPERLINK(пр.взв!D4)</f>
        <v>В.к. 50  кг.</v>
      </c>
    </row>
    <row r="3" spans="1:10" ht="13">
      <c r="C3" s="10" t="s">
        <v>89</v>
      </c>
    </row>
    <row r="4" spans="1:10" ht="13">
      <c r="C4" s="41" t="s">
        <v>11</v>
      </c>
    </row>
    <row r="5" spans="1:10">
      <c r="A5" s="265" t="s">
        <v>12</v>
      </c>
      <c r="B5" s="265" t="s">
        <v>4</v>
      </c>
      <c r="C5" s="445" t="s">
        <v>5</v>
      </c>
      <c r="D5" s="265" t="s">
        <v>13</v>
      </c>
      <c r="E5" s="458" t="s">
        <v>14</v>
      </c>
      <c r="F5" s="459"/>
      <c r="G5" s="265" t="s">
        <v>15</v>
      </c>
      <c r="H5" s="265" t="s">
        <v>16</v>
      </c>
      <c r="I5" s="265" t="s">
        <v>17</v>
      </c>
    </row>
    <row r="6" spans="1:10">
      <c r="A6" s="266"/>
      <c r="B6" s="266"/>
      <c r="C6" s="266"/>
      <c r="D6" s="266"/>
      <c r="E6" s="460"/>
      <c r="F6" s="461"/>
      <c r="G6" s="266"/>
      <c r="H6" s="266"/>
      <c r="I6" s="266"/>
    </row>
    <row r="7" spans="1:10">
      <c r="A7" s="437"/>
      <c r="B7" s="455">
        <v>1</v>
      </c>
      <c r="C7" s="430" t="str">
        <f>IFERROR(VLOOKUP(B7,пр.взв!$B$7:$H$14,2,0),"")</f>
        <v>МУХАМЕТЬЯНОВА Алия Ришатовна</v>
      </c>
      <c r="D7" s="426" t="str">
        <f>IFERROR(VLOOKUP(B7,пр.взв!$B$7:$H$14,3,0),"")</f>
        <v>02.01.2005, МС</v>
      </c>
      <c r="E7" s="456" t="str">
        <f>IFERROR(VLOOKUP(B7,пр.взв!$B$7:$H$14,4,0),"")</f>
        <v>РОССИЯ</v>
      </c>
      <c r="F7" s="426" t="str">
        <f>IFERROR(VLOOKUP(B7,пр.взв!$B$7:$H$14,5,0),"")</f>
        <v>Россия, Уфа, ГАУ ДО СШ им.Н.Гастелло Р.Б.</v>
      </c>
      <c r="G7" s="464"/>
      <c r="H7" s="354"/>
      <c r="I7" s="265"/>
    </row>
    <row r="8" spans="1:10">
      <c r="A8" s="437"/>
      <c r="B8" s="265"/>
      <c r="C8" s="431"/>
      <c r="D8" s="427"/>
      <c r="E8" s="457"/>
      <c r="F8" s="465"/>
      <c r="G8" s="464"/>
      <c r="H8" s="354"/>
      <c r="I8" s="265"/>
    </row>
    <row r="9" spans="1:10" ht="12.65" customHeight="1">
      <c r="A9" s="428"/>
      <c r="B9" s="455">
        <v>3</v>
      </c>
      <c r="C9" s="430" t="str">
        <f>IFERROR(VLOOKUP(B9,пр.взв!$B$7:$H$14,2,0),"")</f>
        <v>ПОЛЫГАЛОВА Ольга Сергеевна</v>
      </c>
      <c r="D9" s="426" t="str">
        <f>IFERROR(VLOOKUP(B9,пр.взв!$B$7:$H$14,3,0),"")</f>
        <v>28.08.2002, МС</v>
      </c>
      <c r="E9" s="426" t="str">
        <f>IFERROR(VLOOKUP(B9,пр.взв!$B$7:$H$14,4,0),"")</f>
        <v>РОССИЯ</v>
      </c>
      <c r="F9" s="426" t="str">
        <f>IFERROR(VLOOKUP(B9,пр.взв!$B$7:$H$14,5,0),"")</f>
        <v>Россия, Березники, МО</v>
      </c>
      <c r="G9" s="464"/>
      <c r="H9" s="265"/>
      <c r="I9" s="265"/>
    </row>
    <row r="10" spans="1:10" ht="12.65" customHeight="1">
      <c r="A10" s="428"/>
      <c r="B10" s="265"/>
      <c r="C10" s="431"/>
      <c r="D10" s="427"/>
      <c r="E10" s="427"/>
      <c r="F10" s="427"/>
      <c r="G10" s="464"/>
      <c r="H10" s="265"/>
      <c r="I10" s="265"/>
    </row>
    <row r="11" spans="1:10" ht="29.25" customHeight="1">
      <c r="A11" s="8" t="s">
        <v>19</v>
      </c>
      <c r="B11" s="8"/>
    </row>
    <row r="12" spans="1:10" ht="20.149999999999999" customHeight="1">
      <c r="B12" s="8" t="s">
        <v>0</v>
      </c>
      <c r="C12" s="42"/>
      <c r="D12" s="42"/>
      <c r="E12" s="42"/>
      <c r="F12" s="42"/>
      <c r="G12" s="42"/>
      <c r="H12" s="42"/>
      <c r="I12" s="42"/>
    </row>
    <row r="13" spans="1:10" ht="20.149999999999999" customHeight="1">
      <c r="B13" s="8" t="s">
        <v>1</v>
      </c>
      <c r="C13" s="42"/>
      <c r="D13" s="42"/>
      <c r="E13" s="42"/>
      <c r="F13" s="42"/>
      <c r="G13" s="42"/>
      <c r="H13" s="42"/>
      <c r="I13" s="42"/>
      <c r="J13" s="5" t="s">
        <v>93</v>
      </c>
    </row>
    <row r="14" spans="1:10" ht="20.149999999999999" customHeight="1"/>
    <row r="15" spans="1:10" ht="20.149999999999999" customHeight="1">
      <c r="C15" s="10" t="s">
        <v>90</v>
      </c>
    </row>
    <row r="16" spans="1:10" ht="18" customHeight="1">
      <c r="C16" s="41" t="s">
        <v>20</v>
      </c>
      <c r="F16" s="50"/>
    </row>
    <row r="17" spans="1:13">
      <c r="A17" s="265" t="s">
        <v>12</v>
      </c>
      <c r="B17" s="265" t="s">
        <v>4</v>
      </c>
      <c r="C17" s="445" t="s">
        <v>5</v>
      </c>
      <c r="D17" s="265" t="s">
        <v>13</v>
      </c>
      <c r="E17" s="458" t="s">
        <v>14</v>
      </c>
      <c r="F17" s="459"/>
      <c r="G17" s="265" t="s">
        <v>15</v>
      </c>
      <c r="H17" s="265" t="s">
        <v>16</v>
      </c>
      <c r="I17" s="265" t="s">
        <v>17</v>
      </c>
    </row>
    <row r="18" spans="1:13">
      <c r="A18" s="266"/>
      <c r="B18" s="266"/>
      <c r="C18" s="266"/>
      <c r="D18" s="266"/>
      <c r="E18" s="460"/>
      <c r="F18" s="461"/>
      <c r="G18" s="266"/>
      <c r="H18" s="266"/>
      <c r="I18" s="266"/>
    </row>
    <row r="19" spans="1:13" ht="12.75" customHeight="1">
      <c r="A19" s="451"/>
      <c r="B19" s="453">
        <v>2</v>
      </c>
      <c r="C19" s="430" t="str">
        <f>IFERROR(VLOOKUP(B19,пр.взв!$B$7:$H$14,2,0),"")</f>
        <v>АНИЩЕНКО Софья Андреевна</v>
      </c>
      <c r="D19" s="426" t="str">
        <f>IFERROR(VLOOKUP(B19,пр.взв!$B$7:$H$14,3,0),"")</f>
        <v>05.11.2006, КМС</v>
      </c>
      <c r="E19" s="426" t="str">
        <f>IFERROR(VLOOKUP(B19,пр.взв!$B$7:$H$14,4,0),"")</f>
        <v>РОССИЯ</v>
      </c>
      <c r="F19" s="426" t="str">
        <f>IFERROR(VLOOKUP(B19,пр.взв!$B$7:$H$14,5,0),"")</f>
        <v>Санкт-Петербург, ГБУ ДО СШОР "КШВСМ"</v>
      </c>
      <c r="G19" s="357"/>
      <c r="H19" s="449"/>
      <c r="I19" s="266"/>
    </row>
    <row r="20" spans="1:13" ht="12.65" customHeight="1">
      <c r="A20" s="452"/>
      <c r="B20" s="454"/>
      <c r="C20" s="431"/>
      <c r="D20" s="427"/>
      <c r="E20" s="427"/>
      <c r="F20" s="427"/>
      <c r="G20" s="448"/>
      <c r="H20" s="450"/>
      <c r="I20" s="445"/>
    </row>
    <row r="21" spans="1:13" ht="12.75" customHeight="1">
      <c r="A21" s="446"/>
      <c r="B21" s="336">
        <v>4</v>
      </c>
      <c r="C21" s="430" t="str">
        <f>IFERROR(VLOOKUP(B21,пр.взв!$B$7:$H$14,2,0),"")</f>
        <v>АМИРЯН Арпине</v>
      </c>
      <c r="D21" s="426" t="str">
        <f>IFERROR(VLOOKUP(B21,пр.взв!$B$7:$H$14,3,0),"")</f>
        <v>11.04.2001, КМС</v>
      </c>
      <c r="E21" s="426" t="str">
        <f>IFERROR(VLOOKUP(B21,пр.взв!$B$7:$H$14,4,0),"")</f>
        <v>АРМЕНИЯ</v>
      </c>
      <c r="F21" s="426" t="str">
        <f>IFERROR(VLOOKUP(B21,пр.взв!$B$7:$H$14,5,0),"")</f>
        <v>Армения</v>
      </c>
      <c r="G21" s="373"/>
      <c r="H21" s="265"/>
      <c r="I21" s="265"/>
    </row>
    <row r="22" spans="1:13" ht="12.65" customHeight="1">
      <c r="A22" s="447"/>
      <c r="B22" s="335"/>
      <c r="C22" s="431"/>
      <c r="D22" s="427"/>
      <c r="E22" s="427"/>
      <c r="F22" s="427"/>
      <c r="G22" s="373"/>
      <c r="H22" s="265"/>
      <c r="I22" s="265"/>
    </row>
    <row r="23" spans="1:13" ht="29.25" customHeight="1">
      <c r="A23" s="8" t="s">
        <v>19</v>
      </c>
      <c r="B23" s="8"/>
    </row>
    <row r="24" spans="1:13" ht="20.149999999999999" customHeight="1">
      <c r="B24" s="8" t="s">
        <v>0</v>
      </c>
      <c r="C24" s="42"/>
      <c r="D24" s="42"/>
      <c r="E24" s="42"/>
      <c r="F24" s="42"/>
      <c r="G24" s="42"/>
      <c r="H24" s="42"/>
      <c r="I24" s="42"/>
      <c r="J24" s="3"/>
    </row>
    <row r="25" spans="1:13" ht="20.149999999999999" customHeight="1">
      <c r="B25" s="8" t="s">
        <v>1</v>
      </c>
      <c r="C25" s="42"/>
      <c r="D25" s="42"/>
      <c r="E25" s="42"/>
      <c r="F25" s="42"/>
      <c r="G25" s="42"/>
      <c r="H25" s="42"/>
      <c r="I25" s="42"/>
      <c r="J25" s="3" t="s">
        <v>93</v>
      </c>
    </row>
    <row r="26" spans="1:13" ht="20.149999999999999" customHeight="1">
      <c r="J26" s="3"/>
    </row>
    <row r="27" spans="1:13" ht="20.149999999999999" customHeight="1">
      <c r="M27" s="5" t="s">
        <v>93</v>
      </c>
    </row>
    <row r="28" spans="1:13" ht="7.5" customHeight="1"/>
    <row r="29" spans="1:13" ht="23.25" customHeight="1">
      <c r="C29" s="44" t="s">
        <v>18</v>
      </c>
      <c r="F29" s="50" t="str">
        <f>HYPERLINK(пр.взв!D4)</f>
        <v>В.к. 50  кг.</v>
      </c>
    </row>
    <row r="30" spans="1:13">
      <c r="A30" s="265" t="s">
        <v>12</v>
      </c>
      <c r="B30" s="265" t="s">
        <v>4</v>
      </c>
      <c r="C30" s="445" t="s">
        <v>5</v>
      </c>
      <c r="D30" s="265" t="s">
        <v>13</v>
      </c>
      <c r="E30" s="458" t="s">
        <v>14</v>
      </c>
      <c r="F30" s="459"/>
      <c r="G30" s="265" t="s">
        <v>15</v>
      </c>
      <c r="H30" s="265" t="s">
        <v>16</v>
      </c>
      <c r="I30" s="265" t="s">
        <v>17</v>
      </c>
    </row>
    <row r="31" spans="1:13">
      <c r="A31" s="266"/>
      <c r="B31" s="266"/>
      <c r="C31" s="266"/>
      <c r="D31" s="266"/>
      <c r="E31" s="462"/>
      <c r="F31" s="463"/>
      <c r="G31" s="266"/>
      <c r="H31" s="266"/>
      <c r="I31" s="266"/>
    </row>
    <row r="32" spans="1:13" ht="12.75" customHeight="1">
      <c r="A32" s="437"/>
      <c r="B32" s="438">
        <v>3</v>
      </c>
      <c r="C32" s="440" t="str">
        <f>IFERROR(VLOOKUP(B32,пр.взв!$B$7:$H$14,2,0),"")</f>
        <v>ПОЛЫГАЛОВА Ольга Сергеевна</v>
      </c>
      <c r="D32" s="432" t="str">
        <f>IFERROR(VLOOKUP(B32,пр.взв!$B$7:$H$14,3,0),"")</f>
        <v>28.08.2002, МС</v>
      </c>
      <c r="E32" s="443" t="str">
        <f>IFERROR(VLOOKUP(B32,пр.взв!$B$7:$H$14,4,0),"")</f>
        <v>РОССИЯ</v>
      </c>
      <c r="F32" s="432" t="str">
        <f>IFERROR(VLOOKUP(B32,пр.взв!$B$7:$H$14,5,0),"")</f>
        <v>Россия, Березники, МО</v>
      </c>
      <c r="G32" s="434"/>
      <c r="H32" s="435"/>
      <c r="I32" s="436"/>
    </row>
    <row r="33" spans="1:9" ht="12.65" customHeight="1">
      <c r="A33" s="437"/>
      <c r="B33" s="439"/>
      <c r="C33" s="441"/>
      <c r="D33" s="442"/>
      <c r="E33" s="444"/>
      <c r="F33" s="433"/>
      <c r="G33" s="434"/>
      <c r="H33" s="435"/>
      <c r="I33" s="436"/>
    </row>
    <row r="34" spans="1:9" ht="12.75" customHeight="1">
      <c r="A34" s="428"/>
      <c r="B34" s="429">
        <f>пр.хода!O11</f>
        <v>0</v>
      </c>
      <c r="C34" s="430" t="str">
        <f>IFERROR(VLOOKUP(B34,пр.взв!$B$7:$H$14,2,0),"")</f>
        <v/>
      </c>
      <c r="D34" s="426" t="str">
        <f>IFERROR(VLOOKUP(B34,пр.взв!$B$7:$H$14,3,0),"")</f>
        <v/>
      </c>
      <c r="E34" s="426" t="str">
        <f>IFERROR(VLOOKUP(B34,пр.взв!$B$7:$H$14,4,0),"")</f>
        <v/>
      </c>
      <c r="F34" s="426" t="str">
        <f>IFERROR(VLOOKUP(B34,пр.взв!$B$7:$H$14,5,0),"")</f>
        <v/>
      </c>
      <c r="G34" s="373"/>
      <c r="H34" s="265"/>
      <c r="I34" s="265"/>
    </row>
    <row r="35" spans="1:9" ht="12.65" customHeight="1">
      <c r="A35" s="428"/>
      <c r="B35" s="265"/>
      <c r="C35" s="431"/>
      <c r="D35" s="427"/>
      <c r="E35" s="427"/>
      <c r="F35" s="427"/>
      <c r="G35" s="373"/>
      <c r="H35" s="265"/>
      <c r="I35" s="265"/>
    </row>
    <row r="36" spans="1:9" ht="29.25" customHeight="1">
      <c r="A36" s="8" t="s">
        <v>19</v>
      </c>
      <c r="B36" s="8"/>
    </row>
    <row r="37" spans="1:9" ht="20.149999999999999" customHeight="1">
      <c r="B37" s="8" t="s">
        <v>0</v>
      </c>
      <c r="C37" s="42"/>
      <c r="D37" s="42"/>
      <c r="E37" s="42"/>
      <c r="F37" s="42"/>
      <c r="G37" s="42"/>
      <c r="H37" s="42"/>
      <c r="I37" s="42"/>
    </row>
    <row r="38" spans="1:9" ht="20.149999999999999" customHeight="1">
      <c r="B38" s="8" t="s">
        <v>1</v>
      </c>
      <c r="C38" s="42"/>
      <c r="D38" s="42"/>
      <c r="E38" s="42"/>
      <c r="F38" s="42"/>
      <c r="G38" s="42"/>
      <c r="H38" s="42"/>
      <c r="I38" s="42"/>
    </row>
    <row r="39" spans="1:9" ht="20.149999999999999" customHeight="1"/>
    <row r="40" spans="1:9" ht="20.149999999999999" customHeight="1"/>
    <row r="41" spans="1:9" ht="20.149999999999999" customHeight="1"/>
    <row r="42" spans="1:9" ht="20.149999999999999" customHeight="1">
      <c r="A42" s="12"/>
      <c r="B42" s="9"/>
      <c r="C42" s="9"/>
      <c r="D42" s="9"/>
      <c r="E42" s="9"/>
      <c r="F42" s="3"/>
      <c r="G42" s="45"/>
      <c r="H42" s="14"/>
    </row>
    <row r="43" spans="1:9" ht="20.149999999999999" customHeight="1">
      <c r="A43" s="9"/>
      <c r="B43" s="9"/>
      <c r="C43" s="9"/>
      <c r="D43" s="9"/>
      <c r="E43" s="9"/>
      <c r="F43" s="3"/>
      <c r="G43" s="64"/>
      <c r="H43" s="3"/>
    </row>
    <row r="44" spans="1:9" ht="20.149999999999999" customHeight="1">
      <c r="A44" s="13"/>
      <c r="C44" s="9"/>
      <c r="D44" s="9"/>
      <c r="E44" s="9"/>
      <c r="F44" s="13"/>
      <c r="G44" s="45"/>
      <c r="H44" s="16"/>
    </row>
    <row r="45" spans="1:9" ht="20.149999999999999" customHeight="1">
      <c r="C45" s="3"/>
      <c r="D45" s="3"/>
      <c r="E45" s="3"/>
      <c r="F45" s="3"/>
      <c r="G45" s="3"/>
    </row>
    <row r="46" spans="1:9" ht="20.149999999999999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  <mergeCell ref="A5:A6"/>
    <mergeCell ref="B5:B6"/>
    <mergeCell ref="C5:C6"/>
    <mergeCell ref="D5:D6"/>
    <mergeCell ref="G5:G6"/>
    <mergeCell ref="A7:A8"/>
    <mergeCell ref="B7:B8"/>
    <mergeCell ref="C7:C8"/>
    <mergeCell ref="D7:D8"/>
    <mergeCell ref="E7:E8"/>
    <mergeCell ref="I9:I10"/>
    <mergeCell ref="A9:A10"/>
    <mergeCell ref="B9:B10"/>
    <mergeCell ref="C9:C10"/>
    <mergeCell ref="D9:D10"/>
    <mergeCell ref="E9:E10"/>
    <mergeCell ref="F9:F10"/>
    <mergeCell ref="G17:G18"/>
    <mergeCell ref="H17:H18"/>
    <mergeCell ref="I17:I18"/>
    <mergeCell ref="A17:A18"/>
    <mergeCell ref="B17:B18"/>
    <mergeCell ref="C17:C18"/>
    <mergeCell ref="D17:D18"/>
    <mergeCell ref="G19:G20"/>
    <mergeCell ref="H19:H20"/>
    <mergeCell ref="I19:I20"/>
    <mergeCell ref="A19:A20"/>
    <mergeCell ref="B19:B20"/>
    <mergeCell ref="C19:C20"/>
    <mergeCell ref="D19:D20"/>
    <mergeCell ref="H21:H22"/>
    <mergeCell ref="I21:I22"/>
    <mergeCell ref="A21:A22"/>
    <mergeCell ref="B21:B22"/>
    <mergeCell ref="C21:C22"/>
    <mergeCell ref="D21:D22"/>
    <mergeCell ref="A30:A31"/>
    <mergeCell ref="B30:B31"/>
    <mergeCell ref="C30:C31"/>
    <mergeCell ref="D30:D31"/>
    <mergeCell ref="G21:G22"/>
    <mergeCell ref="D32:D33"/>
    <mergeCell ref="E32:E33"/>
    <mergeCell ref="G30:G31"/>
    <mergeCell ref="H30:H31"/>
    <mergeCell ref="I30:I31"/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>
    <tabColor indexed="15"/>
  </sheetPr>
  <dimension ref="A1:J44"/>
  <sheetViews>
    <sheetView workbookViewId="0">
      <selection activeCell="K11" sqref="K11"/>
    </sheetView>
  </sheetViews>
  <sheetFormatPr defaultRowHeight="12.5"/>
  <cols>
    <col min="1" max="1" width="8.26953125" customWidth="1"/>
    <col min="8" max="8" width="24.1796875" customWidth="1"/>
  </cols>
  <sheetData>
    <row r="1" spans="1:10" ht="38.25" customHeight="1" thickBot="1">
      <c r="A1" s="466" t="str">
        <f>пр.взв!B2</f>
        <v xml:space="preserve">Международное соревнование Гран-При по самбо  (ЕКП 2079780016026609) </v>
      </c>
      <c r="B1" s="467"/>
      <c r="C1" s="467"/>
      <c r="D1" s="467"/>
      <c r="E1" s="467"/>
      <c r="F1" s="467"/>
      <c r="G1" s="467"/>
      <c r="H1" s="468"/>
    </row>
    <row r="2" spans="1:10">
      <c r="A2" s="469" t="str">
        <f>пр.взв!A3</f>
        <v>29 - 31 августа 2024 г.                             г.Санкт-Петербург</v>
      </c>
      <c r="B2" s="469"/>
      <c r="C2" s="469"/>
      <c r="D2" s="469"/>
      <c r="E2" s="469"/>
      <c r="F2" s="469"/>
      <c r="G2" s="469"/>
      <c r="H2" s="469"/>
    </row>
    <row r="3" spans="1:10" ht="18" thickBot="1">
      <c r="A3" s="470" t="s">
        <v>42</v>
      </c>
      <c r="B3" s="470"/>
      <c r="C3" s="470"/>
      <c r="D3" s="470"/>
      <c r="E3" s="470"/>
      <c r="F3" s="470"/>
      <c r="G3" s="470"/>
      <c r="H3" s="470"/>
    </row>
    <row r="4" spans="1:10" ht="18.5" thickBot="1">
      <c r="B4" s="68"/>
      <c r="C4" s="69"/>
      <c r="D4" s="471" t="str">
        <f>пр.взв!D4</f>
        <v>В.к. 50  кг.</v>
      </c>
      <c r="E4" s="472"/>
      <c r="F4" s="473"/>
      <c r="G4" s="69"/>
      <c r="H4" s="69"/>
    </row>
    <row r="5" spans="1:10" ht="18" thickBot="1">
      <c r="A5" s="69"/>
      <c r="B5" s="69"/>
      <c r="C5" s="69"/>
      <c r="D5" s="69"/>
      <c r="E5" s="69"/>
      <c r="F5" s="69"/>
      <c r="G5" s="69"/>
      <c r="H5" s="69"/>
    </row>
    <row r="6" spans="1:10" ht="17.5">
      <c r="A6" s="474" t="s">
        <v>43</v>
      </c>
      <c r="B6" s="477" t="str">
        <f>IFERROR(VLOOKUP(J6,пр.взв!$B$7:$H$14,2,0),"")</f>
        <v>МУХАМЕТЬЯНОВА Алия Ришатовна</v>
      </c>
      <c r="C6" s="477"/>
      <c r="D6" s="477"/>
      <c r="E6" s="477"/>
      <c r="F6" s="477"/>
      <c r="G6" s="477"/>
      <c r="H6" s="479" t="str">
        <f>IFERROR(VLOOKUP(J6,пр.взв!$B$7:$H$14,3,0),"")</f>
        <v>02.01.2005, МС</v>
      </c>
      <c r="I6" s="69"/>
      <c r="J6" s="70">
        <f>Ит.пр!B6</f>
        <v>1</v>
      </c>
    </row>
    <row r="7" spans="1:10" ht="17.5">
      <c r="A7" s="475"/>
      <c r="B7" s="478"/>
      <c r="C7" s="478"/>
      <c r="D7" s="478"/>
      <c r="E7" s="478"/>
      <c r="F7" s="478"/>
      <c r="G7" s="478"/>
      <c r="H7" s="480"/>
      <c r="I7" s="69"/>
      <c r="J7" s="70"/>
    </row>
    <row r="8" spans="1:10" ht="17.5">
      <c r="A8" s="475"/>
      <c r="B8" s="481" t="str">
        <f>IFERROR(VLOOKUP(J6,пр.взв!$B$7:$H$14,4,0),"")</f>
        <v>РОССИЯ</v>
      </c>
      <c r="C8" s="481"/>
      <c r="D8" s="481"/>
      <c r="E8" s="481" t="str">
        <f>IFERROR(VLOOKUP(J6,пр.взв!$B$7:$H$14,5,0),"")</f>
        <v>Россия, Уфа, ГАУ ДО СШ им.Н.Гастелло Р.Б.</v>
      </c>
      <c r="F8" s="481"/>
      <c r="G8" s="481"/>
      <c r="H8" s="483"/>
      <c r="I8" s="69"/>
      <c r="J8" s="70"/>
    </row>
    <row r="9" spans="1:10" ht="18" thickBot="1">
      <c r="A9" s="476"/>
      <c r="B9" s="482"/>
      <c r="C9" s="482"/>
      <c r="D9" s="482"/>
      <c r="E9" s="482"/>
      <c r="F9" s="482"/>
      <c r="G9" s="482"/>
      <c r="H9" s="484"/>
      <c r="I9" s="69"/>
      <c r="J9" s="70"/>
    </row>
    <row r="10" spans="1:10" ht="18" thickBot="1">
      <c r="A10" s="69"/>
      <c r="B10" s="69"/>
      <c r="C10" s="69"/>
      <c r="D10" s="69"/>
      <c r="E10" s="69"/>
      <c r="F10" s="69"/>
      <c r="G10" s="69"/>
      <c r="H10" s="69"/>
      <c r="I10" s="69"/>
      <c r="J10" s="70"/>
    </row>
    <row r="11" spans="1:10" ht="18" customHeight="1">
      <c r="A11" s="489" t="s">
        <v>44</v>
      </c>
      <c r="B11" s="477" t="str">
        <f>IFERROR(VLOOKUP(J11,пр.взв!$B$7:$H$14,2,0),"")</f>
        <v>АНИЩЕНКО Софья Андреевна</v>
      </c>
      <c r="C11" s="477"/>
      <c r="D11" s="477"/>
      <c r="E11" s="477"/>
      <c r="F11" s="477"/>
      <c r="G11" s="477"/>
      <c r="H11" s="479" t="str">
        <f>IFERROR(VLOOKUP(J11,пр.взв!$B$7:$H$14,3,0),"")</f>
        <v>05.11.2006, КМС</v>
      </c>
      <c r="I11" s="69"/>
      <c r="J11" s="70">
        <f>Ит.пр!B7</f>
        <v>2</v>
      </c>
    </row>
    <row r="12" spans="1:10" ht="18" customHeight="1">
      <c r="A12" s="490"/>
      <c r="B12" s="478"/>
      <c r="C12" s="478"/>
      <c r="D12" s="478"/>
      <c r="E12" s="478"/>
      <c r="F12" s="478"/>
      <c r="G12" s="478"/>
      <c r="H12" s="480"/>
      <c r="I12" s="69"/>
      <c r="J12" s="70"/>
    </row>
    <row r="13" spans="1:10" ht="17.5">
      <c r="A13" s="490"/>
      <c r="B13" s="481" t="str">
        <f>IFERROR(VLOOKUP(J11,пр.взв!$B$7:$H$14,4,0),"")</f>
        <v>РОССИЯ</v>
      </c>
      <c r="C13" s="481"/>
      <c r="D13" s="481"/>
      <c r="E13" s="481" t="str">
        <f>IFERROR(VLOOKUP(J11,пр.взв!$B$7:$H$14,5,0),"")</f>
        <v>Санкт-Петербург, ГБУ ДО СШОР "КШВСМ"</v>
      </c>
      <c r="F13" s="481"/>
      <c r="G13" s="481"/>
      <c r="H13" s="483"/>
      <c r="I13" s="69"/>
      <c r="J13" s="70"/>
    </row>
    <row r="14" spans="1:10" ht="18" thickBot="1">
      <c r="A14" s="491"/>
      <c r="B14" s="482"/>
      <c r="C14" s="482"/>
      <c r="D14" s="482"/>
      <c r="E14" s="482"/>
      <c r="F14" s="482"/>
      <c r="G14" s="482"/>
      <c r="H14" s="484"/>
      <c r="I14" s="69"/>
      <c r="J14" s="70"/>
    </row>
    <row r="15" spans="1:10" ht="18" thickBot="1">
      <c r="A15" s="69"/>
      <c r="B15" s="69"/>
      <c r="C15" s="69"/>
      <c r="D15" s="69"/>
      <c r="E15" s="69"/>
      <c r="F15" s="69"/>
      <c r="G15" s="69"/>
      <c r="H15" s="69"/>
      <c r="I15" s="69"/>
      <c r="J15" s="70"/>
    </row>
    <row r="16" spans="1:10" ht="18" customHeight="1">
      <c r="A16" s="492" t="s">
        <v>45</v>
      </c>
      <c r="B16" s="477" t="str">
        <f>IFERROR(VLOOKUP(J16,пр.взв!$B$7:$H$14,2,0),"")</f>
        <v>ПОЛЫГАЛОВА Ольга Сергеевна</v>
      </c>
      <c r="C16" s="477"/>
      <c r="D16" s="477"/>
      <c r="E16" s="477"/>
      <c r="F16" s="477"/>
      <c r="G16" s="477"/>
      <c r="H16" s="479" t="str">
        <f>IFERROR(VLOOKUP(J16,пр.взв!$B$7:$H$14,3,0),"")</f>
        <v>28.08.2002, МС</v>
      </c>
      <c r="I16" s="69"/>
      <c r="J16" s="70">
        <f>Ит.пр!B8</f>
        <v>3</v>
      </c>
    </row>
    <row r="17" spans="1:10" ht="18" customHeight="1">
      <c r="A17" s="493"/>
      <c r="B17" s="478"/>
      <c r="C17" s="478"/>
      <c r="D17" s="478"/>
      <c r="E17" s="478"/>
      <c r="F17" s="478"/>
      <c r="G17" s="478"/>
      <c r="H17" s="480"/>
      <c r="I17" s="69"/>
      <c r="J17" s="70"/>
    </row>
    <row r="18" spans="1:10" ht="17.5">
      <c r="A18" s="493"/>
      <c r="B18" s="481" t="str">
        <f>IFERROR(VLOOKUP(J16,пр.взв!$B$7:$H$14,4,0),"")</f>
        <v>РОССИЯ</v>
      </c>
      <c r="C18" s="481"/>
      <c r="D18" s="481"/>
      <c r="E18" s="481" t="str">
        <f>IFERROR(VLOOKUP(J16,пр.взв!$B$7:$H$14,5,0),"")</f>
        <v>Россия, Березники, МО</v>
      </c>
      <c r="F18" s="481"/>
      <c r="G18" s="481"/>
      <c r="H18" s="483"/>
      <c r="I18" s="69"/>
      <c r="J18" s="70"/>
    </row>
    <row r="19" spans="1:10" ht="18" thickBot="1">
      <c r="A19" s="494"/>
      <c r="B19" s="482"/>
      <c r="C19" s="482"/>
      <c r="D19" s="482"/>
      <c r="E19" s="482"/>
      <c r="F19" s="482"/>
      <c r="G19" s="482"/>
      <c r="H19" s="484"/>
      <c r="I19" s="69"/>
      <c r="J19" s="70"/>
    </row>
    <row r="20" spans="1:10" ht="18" thickBot="1">
      <c r="A20" s="69"/>
      <c r="B20" s="69"/>
      <c r="C20" s="69"/>
      <c r="D20" s="69"/>
      <c r="E20" s="69"/>
      <c r="F20" s="69"/>
      <c r="G20" s="69"/>
      <c r="H20" s="69"/>
      <c r="I20" s="69"/>
      <c r="J20" s="70"/>
    </row>
    <row r="21" spans="1:10" ht="18" customHeight="1">
      <c r="A21" s="492" t="s">
        <v>45</v>
      </c>
      <c r="B21" s="477" t="str">
        <f>IFERROR(VLOOKUP(J21,пр.взв!$B$7:$H$14,2,0),"")</f>
        <v/>
      </c>
      <c r="C21" s="477"/>
      <c r="D21" s="477"/>
      <c r="E21" s="477"/>
      <c r="F21" s="477"/>
      <c r="G21" s="477"/>
      <c r="H21" s="479" t="str">
        <f>IFERROR(VLOOKUP(J21,пр.взв!$B$7:$H$14,3,0),"")</f>
        <v/>
      </c>
      <c r="I21" s="69"/>
      <c r="J21" s="70">
        <f>Ит.пр!B9</f>
        <v>0</v>
      </c>
    </row>
    <row r="22" spans="1:10" ht="18" customHeight="1">
      <c r="A22" s="493"/>
      <c r="B22" s="478"/>
      <c r="C22" s="478"/>
      <c r="D22" s="478"/>
      <c r="E22" s="478"/>
      <c r="F22" s="478"/>
      <c r="G22" s="478"/>
      <c r="H22" s="480"/>
      <c r="I22" s="69"/>
      <c r="J22" s="70"/>
    </row>
    <row r="23" spans="1:10" ht="17.5">
      <c r="A23" s="493"/>
      <c r="B23" s="481" t="str">
        <f>IFERROR(VLOOKUP(J21,пр.взв!$B$7:$H$14,4,0),"")</f>
        <v/>
      </c>
      <c r="C23" s="481"/>
      <c r="D23" s="481"/>
      <c r="E23" s="481" t="str">
        <f>IFERROR(VLOOKUP(J21,пр.взв!$B$7:$H$14,5,0),"")</f>
        <v/>
      </c>
      <c r="F23" s="481"/>
      <c r="G23" s="481"/>
      <c r="H23" s="483"/>
      <c r="I23" s="69"/>
    </row>
    <row r="24" spans="1:10" ht="18" thickBot="1">
      <c r="A24" s="494"/>
      <c r="B24" s="482"/>
      <c r="C24" s="482"/>
      <c r="D24" s="482"/>
      <c r="E24" s="482"/>
      <c r="F24" s="482"/>
      <c r="G24" s="482"/>
      <c r="H24" s="484"/>
      <c r="I24" s="69"/>
    </row>
    <row r="25" spans="1:10" ht="17.5">
      <c r="A25" s="69"/>
      <c r="B25" s="69"/>
      <c r="C25" s="69"/>
      <c r="D25" s="69"/>
      <c r="E25" s="69"/>
      <c r="F25" s="69"/>
      <c r="G25" s="69"/>
      <c r="H25" s="69"/>
    </row>
    <row r="26" spans="1:10" ht="17.5">
      <c r="A26" s="69" t="s">
        <v>46</v>
      </c>
      <c r="B26" s="69"/>
      <c r="C26" s="69"/>
      <c r="D26" s="69"/>
      <c r="E26" s="69"/>
      <c r="F26" s="69"/>
      <c r="G26" s="69"/>
      <c r="H26" s="69"/>
    </row>
    <row r="27" spans="1:10" ht="13" thickBot="1"/>
    <row r="28" spans="1:10">
      <c r="A28" s="485" t="str">
        <f>IFERROR(VLOOKUP(J28,пр.взв!$B$7:$H$14,7,0),"")</f>
        <v>Орлов С.П.</v>
      </c>
      <c r="B28" s="486"/>
      <c r="C28" s="486"/>
      <c r="D28" s="486"/>
      <c r="E28" s="486"/>
      <c r="F28" s="486"/>
      <c r="G28" s="486"/>
      <c r="H28" s="487"/>
      <c r="J28">
        <f>J6</f>
        <v>1</v>
      </c>
    </row>
    <row r="29" spans="1:10" ht="13" thickBot="1">
      <c r="A29" s="488"/>
      <c r="B29" s="482"/>
      <c r="C29" s="482"/>
      <c r="D29" s="482"/>
      <c r="E29" s="482"/>
      <c r="F29" s="482"/>
      <c r="G29" s="482"/>
      <c r="H29" s="484"/>
    </row>
    <row r="31" spans="1:10" hidden="1"/>
    <row r="32" spans="1:10" hidden="1"/>
    <row r="33" spans="1:8" hidden="1"/>
    <row r="34" spans="1:8" ht="9.75" hidden="1" customHeight="1"/>
    <row r="36" spans="1:8" ht="17.5">
      <c r="A36" s="69" t="s">
        <v>47</v>
      </c>
      <c r="B36" s="69"/>
      <c r="C36" s="69"/>
      <c r="D36" s="69"/>
      <c r="E36" s="69"/>
      <c r="F36" s="69"/>
      <c r="G36" s="69"/>
      <c r="H36" s="69"/>
    </row>
    <row r="37" spans="1:8" ht="17.5">
      <c r="A37" s="69"/>
      <c r="B37" s="69"/>
      <c r="C37" s="69"/>
      <c r="D37" s="69"/>
      <c r="E37" s="69"/>
      <c r="F37" s="69"/>
      <c r="G37" s="69"/>
      <c r="H37" s="69"/>
    </row>
    <row r="38" spans="1:8" ht="17.5">
      <c r="A38" s="69"/>
      <c r="B38" s="69"/>
      <c r="C38" s="69"/>
      <c r="D38" s="69"/>
      <c r="E38" s="69"/>
      <c r="F38" s="69"/>
      <c r="G38" s="69"/>
      <c r="H38" s="69"/>
    </row>
    <row r="39" spans="1:8" ht="17.5">
      <c r="A39" s="71"/>
      <c r="B39" s="71"/>
      <c r="C39" s="71"/>
      <c r="D39" s="71"/>
      <c r="E39" s="71"/>
      <c r="F39" s="71"/>
      <c r="G39" s="71"/>
      <c r="H39" s="71"/>
    </row>
    <row r="40" spans="1:8" ht="17.5">
      <c r="A40" s="72"/>
      <c r="B40" s="72"/>
      <c r="C40" s="72"/>
      <c r="D40" s="72"/>
      <c r="E40" s="72"/>
      <c r="F40" s="72"/>
      <c r="G40" s="72"/>
      <c r="H40" s="72"/>
    </row>
    <row r="41" spans="1:8" ht="17.5">
      <c r="A41" s="71"/>
      <c r="B41" s="71"/>
      <c r="C41" s="71"/>
      <c r="D41" s="71"/>
      <c r="E41" s="71"/>
      <c r="F41" s="71"/>
      <c r="G41" s="71"/>
      <c r="H41" s="71"/>
    </row>
    <row r="42" spans="1:8" ht="17.5">
      <c r="A42" s="73"/>
      <c r="B42" s="73"/>
      <c r="C42" s="73"/>
      <c r="D42" s="73"/>
      <c r="E42" s="73"/>
      <c r="F42" s="73"/>
      <c r="G42" s="73"/>
      <c r="H42" s="73"/>
    </row>
    <row r="43" spans="1:8" ht="17.5">
      <c r="A43" s="71"/>
      <c r="B43" s="71"/>
      <c r="C43" s="71"/>
      <c r="D43" s="71"/>
      <c r="E43" s="71"/>
      <c r="F43" s="71"/>
      <c r="G43" s="71"/>
      <c r="H43" s="71"/>
    </row>
    <row r="44" spans="1:8" ht="17.5">
      <c r="A44" s="73"/>
      <c r="B44" s="73"/>
      <c r="C44" s="73"/>
      <c r="D44" s="73"/>
      <c r="E44" s="73"/>
      <c r="F44" s="73"/>
      <c r="G44" s="73"/>
      <c r="H44" s="73"/>
    </row>
  </sheetData>
  <mergeCells count="25"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  <mergeCell ref="A1:H1"/>
    <mergeCell ref="A2:H2"/>
    <mergeCell ref="A3:H3"/>
    <mergeCell ref="D4:F4"/>
    <mergeCell ref="A6:A9"/>
    <mergeCell ref="B6:G7"/>
    <mergeCell ref="H6:H7"/>
    <mergeCell ref="B8:D9"/>
    <mergeCell ref="E8:H9"/>
  </mergeCells>
  <pageMargins left="0.74803149606299213" right="0.74803149606299213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>
    <tabColor indexed="13"/>
  </sheetPr>
  <dimension ref="A1:AJ44"/>
  <sheetViews>
    <sheetView workbookViewId="0">
      <selection activeCell="B6" sqref="B6:B7"/>
    </sheetView>
  </sheetViews>
  <sheetFormatPr defaultRowHeight="12.5"/>
  <cols>
    <col min="1" max="1" width="5" customWidth="1"/>
    <col min="2" max="2" width="20.81640625" customWidth="1"/>
    <col min="3" max="3" width="12.26953125" customWidth="1"/>
    <col min="4" max="4" width="10.453125" customWidth="1"/>
    <col min="5" max="5" width="4.7265625" customWidth="1"/>
    <col min="6" max="6" width="20.81640625" customWidth="1"/>
    <col min="7" max="7" width="4.7265625" customWidth="1"/>
    <col min="8" max="8" width="19.54296875" customWidth="1"/>
    <col min="9" max="9" width="5.54296875" customWidth="1"/>
  </cols>
  <sheetData>
    <row r="1" spans="1:36" ht="23.25" customHeight="1">
      <c r="C1" s="503" t="s">
        <v>21</v>
      </c>
      <c r="D1" s="504"/>
      <c r="E1" s="504"/>
      <c r="F1" s="504"/>
      <c r="G1" s="504"/>
      <c r="H1" s="504"/>
      <c r="I1" s="504"/>
      <c r="J1" s="505"/>
    </row>
    <row r="2" spans="1:36" ht="26.25" customHeight="1" thickBot="1">
      <c r="A2" s="5"/>
      <c r="B2" s="5"/>
      <c r="C2" s="511" t="str">
        <f>пр.хода!C3</f>
        <v xml:space="preserve">Международное соревнование Гран-При по самбо  (ЕКП 2079780016026609) </v>
      </c>
      <c r="D2" s="512"/>
      <c r="E2" s="512"/>
      <c r="F2" s="512"/>
      <c r="G2" s="512"/>
      <c r="H2" s="512"/>
      <c r="I2" s="512"/>
      <c r="J2" s="513"/>
      <c r="K2" s="36"/>
      <c r="L2" s="36"/>
      <c r="M2" s="36"/>
      <c r="N2" s="36"/>
      <c r="O2" s="36"/>
      <c r="P2" s="36"/>
      <c r="Q2" s="36"/>
      <c r="R2" s="36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4"/>
      <c r="B3" s="509" t="str">
        <f>пр.хода!C4</f>
        <v>29 - 31 августа 2024 г.                             г.Санкт-Петербург</v>
      </c>
      <c r="C3" s="509"/>
      <c r="D3" s="509"/>
      <c r="E3" s="509"/>
      <c r="F3" s="509"/>
      <c r="G3" s="509"/>
      <c r="H3" s="509"/>
      <c r="I3" s="509"/>
      <c r="J3" s="509"/>
      <c r="K3" s="509"/>
      <c r="L3" s="509"/>
      <c r="M3" s="66"/>
      <c r="N3" s="66"/>
      <c r="O3" s="66"/>
      <c r="P3" s="66"/>
      <c r="Q3" s="66"/>
      <c r="R3" s="66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8"/>
      <c r="B4" s="48"/>
      <c r="C4" s="48"/>
      <c r="D4" s="48"/>
      <c r="E4" s="48"/>
      <c r="F4" s="50" t="str">
        <f>HYPERLINK(пр.взв!D4)</f>
        <v>В.к. 50  кг.</v>
      </c>
      <c r="G4" s="49"/>
      <c r="H4" s="49"/>
      <c r="I4" s="49"/>
      <c r="J4" s="49"/>
      <c r="K4" s="49"/>
      <c r="L4" s="48"/>
      <c r="M4" s="48"/>
    </row>
    <row r="5" spans="1:36" ht="16" thickBot="1">
      <c r="A5" s="298" t="s">
        <v>0</v>
      </c>
      <c r="B5" s="298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495">
        <v>1</v>
      </c>
      <c r="B6" s="497" t="str">
        <f>VLOOKUP('стартвый '!A6:A7,пр.взв!B6:C14,2,FALSE)</f>
        <v>МУХАМЕТЬЯНОВА Алия Ришатовна</v>
      </c>
      <c r="C6" s="499" t="str">
        <f>VLOOKUP(A6,пр.взв!B6:H14,3,FALSE)</f>
        <v>02.01.2005, МС</v>
      </c>
      <c r="D6" s="499" t="str">
        <f>VLOOKUP(A6,пр.взв!B6:H14,5,FALSE)</f>
        <v>Россия, Уфа, ГАУ ДО СШ им.Н.Гастелло Р.Б.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496"/>
      <c r="B7" s="498"/>
      <c r="C7" s="500"/>
      <c r="D7" s="500"/>
      <c r="E7" s="19"/>
      <c r="F7" s="17"/>
      <c r="G7" s="24"/>
      <c r="H7" s="21"/>
      <c r="I7" s="17"/>
      <c r="J7" s="40"/>
      <c r="K7" s="40"/>
      <c r="L7" s="40"/>
      <c r="M7" s="17"/>
    </row>
    <row r="8" spans="1:36" ht="13.5" customHeight="1" thickBot="1">
      <c r="A8" s="506">
        <v>5</v>
      </c>
      <c r="B8" s="507">
        <f>VLOOKUP('стартвый '!A8:A9,пр.взв!B8:C14,2,FALSE)</f>
        <v>0</v>
      </c>
      <c r="C8" s="501">
        <f>VLOOKUP(A8,пр.взв!B6:H14,3,FALSE)</f>
        <v>0</v>
      </c>
      <c r="D8" s="501">
        <f>VLOOKUP(A8,пр.взв!B6:H14,5,FALSE)</f>
        <v>0</v>
      </c>
      <c r="E8" s="18"/>
      <c r="F8" s="20"/>
      <c r="G8" s="23"/>
      <c r="H8" s="21"/>
      <c r="I8" s="17"/>
      <c r="J8" s="40"/>
      <c r="K8" s="40"/>
      <c r="L8" s="40"/>
      <c r="M8" s="17"/>
    </row>
    <row r="9" spans="1:36" ht="13.5" customHeight="1" thickBot="1">
      <c r="A9" s="496"/>
      <c r="B9" s="498"/>
      <c r="C9" s="500"/>
      <c r="D9" s="500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495">
        <v>3</v>
      </c>
      <c r="B10" s="497" t="e">
        <f>VLOOKUP('стартвый '!A10:A11,пр.взв!B10:C14,2,FALSE)</f>
        <v>#N/A</v>
      </c>
      <c r="C10" s="499" t="str">
        <f>VLOOKUP(A10,пр.взв!B6:H14,3,FALSE)</f>
        <v>28.08.2002, МС</v>
      </c>
      <c r="D10" s="499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496"/>
      <c r="B11" s="498"/>
      <c r="C11" s="500"/>
      <c r="D11" s="500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506">
        <v>7</v>
      </c>
      <c r="B12" s="507">
        <f>VLOOKUP('стартвый '!A12:A13,пр.взв!B12:C14,2,FALSE)</f>
        <v>0</v>
      </c>
      <c r="C12" s="501">
        <f>VLOOKUP(A12,пр.взв!B6:H14,3,FALSE)</f>
        <v>0</v>
      </c>
      <c r="D12" s="501">
        <f>VLOOKUP(A12,пр.взв!B10:H14,5,FALSE)</f>
        <v>0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508"/>
      <c r="B13" s="510"/>
      <c r="C13" s="502"/>
      <c r="D13" s="502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6"/>
      <c r="E15" s="17"/>
      <c r="F15" s="17"/>
      <c r="G15" s="17"/>
      <c r="H15" s="17"/>
      <c r="I15" s="37"/>
      <c r="J15" s="35"/>
      <c r="K15" s="22"/>
      <c r="L15" s="22"/>
      <c r="M15" s="17"/>
    </row>
    <row r="16" spans="1:36" ht="16" thickBot="1">
      <c r="A16" s="298" t="s">
        <v>1</v>
      </c>
      <c r="B16" s="298"/>
      <c r="E16" s="17"/>
      <c r="F16" s="17"/>
      <c r="G16" s="17"/>
      <c r="H16" s="17"/>
      <c r="I16" s="38"/>
      <c r="J16" s="3"/>
    </row>
    <row r="17" spans="1:12" ht="13" thickBot="1">
      <c r="A17" s="495">
        <v>2</v>
      </c>
      <c r="B17" s="497" t="str">
        <f>VLOOKUP(A17,пр.взв!B7:H14,2,FALSE)</f>
        <v>АНИЩЕНКО Софья Андреевна</v>
      </c>
      <c r="C17" s="499" t="str">
        <f>VLOOKUP(A17,пр.взв!B7:H14,3,FALSE)</f>
        <v>05.11.2006, КМС</v>
      </c>
      <c r="D17" s="499" t="str">
        <f>VLOOKUP(A17,пр.взв!B7:H14,5,FALSE)</f>
        <v>Санкт-Петербург, ГБУ ДО СШОР "КШВСМ"</v>
      </c>
      <c r="E17" s="17"/>
      <c r="F17" s="17"/>
      <c r="G17" s="17"/>
      <c r="H17" s="17"/>
      <c r="I17" s="31"/>
      <c r="J17" s="3"/>
    </row>
    <row r="18" spans="1:12" ht="13">
      <c r="A18" s="496"/>
      <c r="B18" s="498"/>
      <c r="C18" s="500"/>
      <c r="D18" s="500"/>
      <c r="E18" s="19"/>
      <c r="F18" s="17"/>
      <c r="G18" s="24"/>
      <c r="H18" s="21"/>
      <c r="I18" s="31"/>
      <c r="J18" s="3"/>
    </row>
    <row r="19" spans="1:12" ht="13" thickBot="1">
      <c r="A19" s="506">
        <v>6</v>
      </c>
      <c r="B19" s="507">
        <f>VLOOKUP('стартвый '!A19:A20,пр.взв!B7:H14,2,FALSE)</f>
        <v>0</v>
      </c>
      <c r="C19" s="501">
        <f>VLOOKUP(A19,пр.взв!B7:H14,3,FALSE)</f>
        <v>0</v>
      </c>
      <c r="D19" s="501">
        <f>VLOOKUP(A19,пр.взв!B7:H14,5,FALSE)</f>
        <v>0</v>
      </c>
      <c r="E19" s="18"/>
      <c r="F19" s="20"/>
      <c r="G19" s="23"/>
      <c r="H19" s="21"/>
      <c r="I19" s="31"/>
      <c r="J19" s="3"/>
    </row>
    <row r="20" spans="1:12" ht="13.5" thickBot="1">
      <c r="A20" s="496"/>
      <c r="B20" s="498"/>
      <c r="C20" s="500"/>
      <c r="D20" s="500"/>
      <c r="E20" s="17"/>
      <c r="F20" s="21"/>
      <c r="G20" s="19"/>
      <c r="H20" s="25"/>
      <c r="I20" s="31"/>
      <c r="J20" s="3"/>
    </row>
    <row r="21" spans="1:12" ht="13" thickBot="1">
      <c r="A21" s="495">
        <v>4</v>
      </c>
      <c r="B21" s="497" t="str">
        <f>VLOOKUP('стартвый '!A21:A22,пр.взв!B7:H14,2,FALSE)</f>
        <v>АМИРЯН Арпине</v>
      </c>
      <c r="C21" s="499" t="str">
        <f>VLOOKUP(A21,пр.взв!B7:H14,3,FALSE)</f>
        <v>11.04.2001, КМС</v>
      </c>
      <c r="D21" s="499" t="e">
        <f>VLOOKUP(A21,пр.взв!B11:H14,5,FALSE)</f>
        <v>#N/A</v>
      </c>
      <c r="E21" s="17"/>
      <c r="F21" s="21"/>
      <c r="G21" s="18"/>
      <c r="H21" s="3"/>
    </row>
    <row r="22" spans="1:12" ht="13">
      <c r="A22" s="496"/>
      <c r="B22" s="498"/>
      <c r="C22" s="500"/>
      <c r="D22" s="500"/>
      <c r="E22" s="19"/>
      <c r="F22" s="22"/>
      <c r="G22" s="23"/>
      <c r="H22" s="21"/>
    </row>
    <row r="23" spans="1:12" ht="13" thickBot="1">
      <c r="A23" s="506">
        <v>8</v>
      </c>
      <c r="B23" s="507">
        <f>VLOOKUP('стартвый '!A23:A24,пр.взв!B7:H14,2,FALSE)</f>
        <v>0</v>
      </c>
      <c r="C23" s="501">
        <f>VLOOKUP(A23,пр.взв!B7:H14,3,FALSE)</f>
        <v>0</v>
      </c>
      <c r="D23" s="501">
        <f>VLOOKUP(A23,пр.взв!B11:H14,5,FALSE)</f>
        <v>0</v>
      </c>
      <c r="E23" s="18"/>
      <c r="F23" s="17"/>
      <c r="G23" s="24"/>
      <c r="H23" s="21"/>
    </row>
    <row r="24" spans="1:12" ht="13" thickBot="1">
      <c r="A24" s="508"/>
      <c r="B24" s="510"/>
      <c r="C24" s="502"/>
      <c r="D24" s="502"/>
      <c r="E24" s="17"/>
      <c r="F24" s="17"/>
      <c r="G24" s="24"/>
      <c r="H24" s="21"/>
    </row>
    <row r="27" spans="1:12" ht="13">
      <c r="A27" s="8" t="s">
        <v>2</v>
      </c>
      <c r="G27" s="8" t="s">
        <v>3</v>
      </c>
    </row>
    <row r="29" spans="1:12">
      <c r="B29" s="28"/>
      <c r="H29" s="28"/>
    </row>
    <row r="30" spans="1:12">
      <c r="B30" s="29"/>
      <c r="H30" s="29"/>
    </row>
    <row r="31" spans="1:12">
      <c r="B31" s="29"/>
      <c r="C31" s="6"/>
      <c r="D31" s="28"/>
      <c r="G31" s="3"/>
      <c r="H31" s="29"/>
      <c r="I31" s="6"/>
      <c r="J31" s="6"/>
      <c r="K31" s="28"/>
    </row>
    <row r="32" spans="1:12">
      <c r="B32" s="30"/>
      <c r="C32" s="3"/>
      <c r="D32" s="29"/>
      <c r="E32" s="31"/>
      <c r="F32" s="3"/>
      <c r="G32" s="3"/>
      <c r="H32" s="30"/>
      <c r="I32" s="3"/>
      <c r="J32" s="3"/>
      <c r="K32" s="29"/>
      <c r="L32" s="3"/>
    </row>
    <row r="33" spans="2:13">
      <c r="C33" s="3"/>
      <c r="D33" s="29"/>
      <c r="E33" s="32"/>
      <c r="F33" s="2"/>
      <c r="G33" s="3"/>
      <c r="I33" s="3"/>
      <c r="J33" s="3"/>
      <c r="K33" s="29"/>
      <c r="L33" s="32"/>
      <c r="M33" s="2"/>
    </row>
    <row r="34" spans="2:13">
      <c r="C34" s="3"/>
      <c r="D34" s="29"/>
      <c r="G34" s="3"/>
      <c r="I34" s="3"/>
      <c r="J34" s="3"/>
      <c r="K34" s="29"/>
    </row>
    <row r="35" spans="2:13">
      <c r="C35" s="2"/>
      <c r="D35" s="30"/>
      <c r="G35" s="3"/>
      <c r="I35" s="2"/>
      <c r="J35" s="2"/>
      <c r="K35" s="30"/>
    </row>
    <row r="36" spans="2:13">
      <c r="K36" s="3"/>
    </row>
    <row r="38" spans="2:13" ht="13">
      <c r="B38" s="12" t="str">
        <f>пр.хода!B27</f>
        <v>Гл. судья, судья ВК</v>
      </c>
      <c r="C38" s="9"/>
      <c r="D38" s="9"/>
      <c r="E38" s="9"/>
      <c r="F38" s="3"/>
      <c r="G38" s="3"/>
      <c r="H38" s="3"/>
      <c r="I38" s="13" t="str">
        <f>пр.хода!N27</f>
        <v>И.Т.Кадыров</v>
      </c>
      <c r="J38" s="3"/>
      <c r="K38" s="14" t="str">
        <f>пр.хода!R27</f>
        <v>/Башкортостан /</v>
      </c>
    </row>
    <row r="39" spans="2:13" ht="13">
      <c r="B39" s="9"/>
      <c r="C39" s="9"/>
      <c r="D39" s="9"/>
      <c r="E39" s="9"/>
      <c r="F39" s="3"/>
      <c r="G39" s="3"/>
      <c r="H39" s="3"/>
      <c r="J39" s="3"/>
      <c r="K39" s="3"/>
    </row>
    <row r="40" spans="2:13" ht="13">
      <c r="B40" s="13" t="str">
        <f>пр.хода!B29</f>
        <v>Гл. секретарь, судья ВК</v>
      </c>
      <c r="D40" s="9"/>
      <c r="E40" s="15"/>
      <c r="F40" s="39"/>
      <c r="G40" s="2"/>
      <c r="H40" s="2"/>
      <c r="I40" s="13" t="str">
        <f>пр.хода!N29</f>
        <v>Э.В.Задорожный</v>
      </c>
      <c r="J40" s="3"/>
      <c r="K40" s="16" t="s">
        <v>74</v>
      </c>
    </row>
    <row r="41" spans="2:13">
      <c r="E41" s="3"/>
      <c r="F41" s="3"/>
      <c r="G41" s="11"/>
      <c r="H41" s="11"/>
      <c r="J41" s="11"/>
      <c r="K41" s="11"/>
      <c r="L41" s="33"/>
      <c r="M41" s="33"/>
    </row>
    <row r="42" spans="2:13">
      <c r="D42" s="4"/>
      <c r="E42" s="3"/>
      <c r="F42" s="3"/>
      <c r="G42" s="11"/>
      <c r="H42" s="11"/>
      <c r="I42" s="11"/>
      <c r="J42" s="11"/>
      <c r="K42" s="11"/>
      <c r="M42" s="33"/>
    </row>
    <row r="43" spans="2:13">
      <c r="E43" s="3"/>
      <c r="F43" s="3"/>
      <c r="G43" s="11"/>
      <c r="H43" s="11"/>
      <c r="I43" s="11"/>
      <c r="J43" s="11"/>
      <c r="K43" s="11"/>
      <c r="M43" s="33"/>
    </row>
    <row r="44" spans="2:13">
      <c r="E44" s="3"/>
      <c r="F44" s="3"/>
      <c r="G44" s="11"/>
      <c r="H44" s="11"/>
      <c r="I44" s="11"/>
      <c r="J44" s="11"/>
      <c r="K44" s="11"/>
      <c r="L44" s="33"/>
      <c r="M44" s="33"/>
    </row>
  </sheetData>
  <mergeCells count="37">
    <mergeCell ref="A23:A24"/>
    <mergeCell ref="B23:B24"/>
    <mergeCell ref="C23:C24"/>
    <mergeCell ref="D23:D24"/>
    <mergeCell ref="D21:D22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Эдуард Задорожный</cp:lastModifiedBy>
  <cp:lastPrinted>2024-08-29T14:28:40Z</cp:lastPrinted>
  <dcterms:created xsi:type="dcterms:W3CDTF">1996-10-08T23:32:33Z</dcterms:created>
  <dcterms:modified xsi:type="dcterms:W3CDTF">2024-08-30T07:25:06Z</dcterms:modified>
</cp:coreProperties>
</file>