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Фин" sheetId="3" state="hidden" r:id="rId3"/>
    <sheet name="Ит.пр" sheetId="4" state="hidden" r:id="rId4"/>
    <sheet name="Круги" sheetId="5" state="hidden" r:id="rId5"/>
    <sheet name="Наг.лист" sheetId="6" state="hidden" r:id="rId6"/>
  </sheets>
  <definedNames>
    <definedName name="KR">Пр.хода!$BY$5:$BY$164</definedName>
  </definedNames>
  <calcPr calcId="152511"/>
  <fileRecoveryPr repairLoad="1"/>
</workbook>
</file>

<file path=xl/calcChain.xml><?xml version="1.0" encoding="utf-8"?>
<calcChain xmlns="http://schemas.openxmlformats.org/spreadsheetml/2006/main">
  <c r="G76" i="5" l="1"/>
  <c r="F76" i="5"/>
  <c r="E76" i="5"/>
  <c r="D76" i="5"/>
  <c r="H75" i="5"/>
  <c r="G75" i="5"/>
  <c r="F75" i="5"/>
  <c r="E75" i="5"/>
  <c r="D75" i="5"/>
  <c r="G74" i="5"/>
  <c r="F74" i="5"/>
  <c r="E74" i="5"/>
  <c r="D74" i="5"/>
  <c r="H73" i="5"/>
  <c r="G73" i="5"/>
  <c r="F73" i="5"/>
  <c r="E73" i="5"/>
  <c r="D73" i="5"/>
  <c r="G72" i="5"/>
  <c r="F72" i="5"/>
  <c r="E72" i="5"/>
  <c r="D72" i="5"/>
  <c r="H71" i="5"/>
  <c r="G71" i="5"/>
  <c r="F71" i="5"/>
  <c r="E71" i="5"/>
  <c r="D71" i="5"/>
  <c r="G70" i="5"/>
  <c r="F70" i="5"/>
  <c r="E70" i="5"/>
  <c r="D70" i="5"/>
  <c r="H69" i="5"/>
  <c r="G69" i="5"/>
  <c r="F69" i="5"/>
  <c r="E69" i="5"/>
  <c r="D69" i="5"/>
  <c r="AL68" i="5"/>
  <c r="AK68" i="5"/>
  <c r="AJ68" i="5"/>
  <c r="AI68" i="5"/>
  <c r="G68" i="5"/>
  <c r="F68" i="5"/>
  <c r="E68" i="5"/>
  <c r="D68" i="5"/>
  <c r="AM67" i="5"/>
  <c r="AL67" i="5"/>
  <c r="AK67" i="5"/>
  <c r="AJ67" i="5"/>
  <c r="AI67" i="5"/>
  <c r="H67" i="5"/>
  <c r="G67" i="5"/>
  <c r="F67" i="5"/>
  <c r="E67" i="5"/>
  <c r="D67" i="5"/>
  <c r="AL66" i="5"/>
  <c r="AK66" i="5"/>
  <c r="AJ66" i="5"/>
  <c r="AI66" i="5"/>
  <c r="G66" i="5"/>
  <c r="F66" i="5"/>
  <c r="E66" i="5"/>
  <c r="D66" i="5"/>
  <c r="AM65" i="5"/>
  <c r="AL65" i="5"/>
  <c r="AK65" i="5"/>
  <c r="AJ65" i="5"/>
  <c r="AI65" i="5"/>
  <c r="H65" i="5"/>
  <c r="G65" i="5"/>
  <c r="F65" i="5"/>
  <c r="E65" i="5"/>
  <c r="D65" i="5"/>
  <c r="AL64" i="5"/>
  <c r="AK64" i="5"/>
  <c r="AJ64" i="5"/>
  <c r="AI64" i="5"/>
  <c r="G64" i="5"/>
  <c r="F64" i="5"/>
  <c r="E64" i="5"/>
  <c r="D64" i="5"/>
  <c r="AM63" i="5"/>
  <c r="AL63" i="5"/>
  <c r="AK63" i="5"/>
  <c r="AJ63" i="5"/>
  <c r="AI63" i="5"/>
  <c r="H63" i="5"/>
  <c r="G63" i="5"/>
  <c r="F63" i="5"/>
  <c r="E63" i="5"/>
  <c r="D63" i="5"/>
  <c r="AL62" i="5"/>
  <c r="AK62" i="5"/>
  <c r="AJ62" i="5"/>
  <c r="AI62" i="5"/>
  <c r="G62" i="5"/>
  <c r="F62" i="5"/>
  <c r="E62" i="5"/>
  <c r="D62" i="5"/>
  <c r="AM61" i="5"/>
  <c r="AL61" i="5"/>
  <c r="AK61" i="5"/>
  <c r="AJ61" i="5"/>
  <c r="AI61" i="5"/>
  <c r="H61" i="5"/>
  <c r="G61" i="5"/>
  <c r="F61" i="5"/>
  <c r="E61" i="5"/>
  <c r="D61" i="5"/>
  <c r="AL60" i="5"/>
  <c r="AK60" i="5"/>
  <c r="AJ60" i="5"/>
  <c r="AI60" i="5"/>
  <c r="G60" i="5"/>
  <c r="F60" i="5"/>
  <c r="E60" i="5"/>
  <c r="D60" i="5"/>
  <c r="AM59" i="5"/>
  <c r="AL59" i="5"/>
  <c r="AK59" i="5"/>
  <c r="AJ59" i="5"/>
  <c r="AI59" i="5"/>
  <c r="H59" i="5"/>
  <c r="G59" i="5"/>
  <c r="F59" i="5"/>
  <c r="E59" i="5"/>
  <c r="D59" i="5"/>
  <c r="AL58" i="5"/>
  <c r="AK58" i="5"/>
  <c r="AJ58" i="5"/>
  <c r="AI58" i="5"/>
  <c r="G58" i="5"/>
  <c r="F58" i="5"/>
  <c r="E58" i="5"/>
  <c r="D58" i="5"/>
  <c r="AM57" i="5"/>
  <c r="AL57" i="5"/>
  <c r="AK57" i="5"/>
  <c r="AJ57" i="5"/>
  <c r="AI57" i="5"/>
  <c r="H57" i="5"/>
  <c r="G57" i="5"/>
  <c r="F57" i="5"/>
  <c r="E57" i="5"/>
  <c r="D57" i="5"/>
  <c r="AL56" i="5"/>
  <c r="AK56" i="5"/>
  <c r="AJ56" i="5"/>
  <c r="AI56" i="5"/>
  <c r="G56" i="5"/>
  <c r="F56" i="5"/>
  <c r="E56" i="5"/>
  <c r="D56" i="5"/>
  <c r="AM55" i="5"/>
  <c r="AL55" i="5"/>
  <c r="AK55" i="5"/>
  <c r="AJ55" i="5"/>
  <c r="AI55" i="5"/>
  <c r="H55" i="5"/>
  <c r="G55" i="5"/>
  <c r="F55" i="5"/>
  <c r="E55" i="5"/>
  <c r="D55" i="5"/>
  <c r="AL54" i="5"/>
  <c r="AK54" i="5"/>
  <c r="AJ54" i="5"/>
  <c r="AI54" i="5"/>
  <c r="G54" i="5"/>
  <c r="F54" i="5"/>
  <c r="E54" i="5"/>
  <c r="D54" i="5"/>
  <c r="AM53" i="5"/>
  <c r="AL53" i="5"/>
  <c r="AK53" i="5"/>
  <c r="AJ53" i="5"/>
  <c r="AI53" i="5"/>
  <c r="H53" i="5"/>
  <c r="G53" i="5"/>
  <c r="F53" i="5"/>
  <c r="E53" i="5"/>
  <c r="D53" i="5"/>
  <c r="AL52" i="5"/>
  <c r="AK52" i="5"/>
  <c r="AJ52" i="5"/>
  <c r="AI52" i="5"/>
  <c r="G52" i="5"/>
  <c r="F52" i="5"/>
  <c r="E52" i="5"/>
  <c r="D52" i="5"/>
  <c r="AM51" i="5"/>
  <c r="AL51" i="5"/>
  <c r="AK51" i="5"/>
  <c r="AJ51" i="5"/>
  <c r="AI51" i="5"/>
  <c r="H51" i="5"/>
  <c r="G51" i="5"/>
  <c r="F51" i="5"/>
  <c r="E51" i="5"/>
  <c r="D51" i="5"/>
  <c r="AL50" i="5"/>
  <c r="AK50" i="5"/>
  <c r="AJ50" i="5"/>
  <c r="AI50" i="5"/>
  <c r="G50" i="5"/>
  <c r="F50" i="5"/>
  <c r="E50" i="5"/>
  <c r="D50" i="5"/>
  <c r="AM49" i="5"/>
  <c r="AL49" i="5"/>
  <c r="AK49" i="5"/>
  <c r="AJ49" i="5"/>
  <c r="AI49" i="5"/>
  <c r="H49" i="5"/>
  <c r="G49" i="5"/>
  <c r="F49" i="5"/>
  <c r="E49" i="5"/>
  <c r="D49" i="5"/>
  <c r="AL48" i="5"/>
  <c r="AK48" i="5"/>
  <c r="AJ48" i="5"/>
  <c r="AI48" i="5"/>
  <c r="G48" i="5"/>
  <c r="F48" i="5"/>
  <c r="E48" i="5"/>
  <c r="D48" i="5"/>
  <c r="AM47" i="5"/>
  <c r="AL47" i="5"/>
  <c r="AK47" i="5"/>
  <c r="AJ47" i="5"/>
  <c r="AI47" i="5"/>
  <c r="H47" i="5"/>
  <c r="G47" i="5"/>
  <c r="F47" i="5"/>
  <c r="E47" i="5"/>
  <c r="D47" i="5"/>
  <c r="AL46" i="5"/>
  <c r="AK46" i="5"/>
  <c r="AJ46" i="5"/>
  <c r="AI46" i="5"/>
  <c r="G46" i="5"/>
  <c r="F46" i="5"/>
  <c r="E46" i="5"/>
  <c r="D46" i="5"/>
  <c r="AM45" i="5"/>
  <c r="AL45" i="5"/>
  <c r="AK45" i="5"/>
  <c r="AJ45" i="5"/>
  <c r="AI45" i="5"/>
  <c r="H45" i="5"/>
  <c r="G45" i="5"/>
  <c r="F45" i="5"/>
  <c r="E45" i="5"/>
  <c r="D45" i="5"/>
  <c r="AL44" i="5"/>
  <c r="AK44" i="5"/>
  <c r="AJ44" i="5"/>
  <c r="AI44" i="5"/>
  <c r="G44" i="5"/>
  <c r="F44" i="5"/>
  <c r="E44" i="5"/>
  <c r="D44" i="5"/>
  <c r="AM43" i="5"/>
  <c r="AL43" i="5"/>
  <c r="AK43" i="5"/>
  <c r="AJ43" i="5"/>
  <c r="AI43" i="5"/>
  <c r="H43" i="5"/>
  <c r="G43" i="5"/>
  <c r="F43" i="5"/>
  <c r="E43" i="5"/>
  <c r="D43" i="5"/>
  <c r="AL42" i="5"/>
  <c r="AK42" i="5"/>
  <c r="AJ42" i="5"/>
  <c r="AI42" i="5"/>
  <c r="G42" i="5"/>
  <c r="F42" i="5"/>
  <c r="E42" i="5"/>
  <c r="D42" i="5"/>
  <c r="AM41" i="5"/>
  <c r="AL41" i="5"/>
  <c r="AK41" i="5"/>
  <c r="AJ41" i="5"/>
  <c r="AI41" i="5"/>
  <c r="H41" i="5"/>
  <c r="G41" i="5"/>
  <c r="F41" i="5"/>
  <c r="E41" i="5"/>
  <c r="D41" i="5"/>
  <c r="AL40" i="5"/>
  <c r="AK40" i="5"/>
  <c r="AJ40" i="5"/>
  <c r="AI40" i="5"/>
  <c r="G40" i="5"/>
  <c r="F40" i="5"/>
  <c r="E40" i="5"/>
  <c r="D40" i="5"/>
  <c r="AM39" i="5"/>
  <c r="AL39" i="5"/>
  <c r="AK39" i="5"/>
  <c r="AJ39" i="5"/>
  <c r="AI39" i="5"/>
  <c r="H39" i="5"/>
  <c r="G39" i="5"/>
  <c r="F39" i="5"/>
  <c r="E39" i="5"/>
  <c r="D39" i="5"/>
  <c r="AL38" i="5"/>
  <c r="AK38" i="5"/>
  <c r="AJ38" i="5"/>
  <c r="AI38" i="5"/>
  <c r="G38" i="5"/>
  <c r="F38" i="5"/>
  <c r="E38" i="5"/>
  <c r="D38" i="5"/>
  <c r="AM37" i="5"/>
  <c r="AL37" i="5"/>
  <c r="AK37" i="5"/>
  <c r="AJ37" i="5"/>
  <c r="AI37" i="5"/>
  <c r="H37" i="5"/>
  <c r="G37" i="5"/>
  <c r="F37" i="5"/>
  <c r="E37" i="5"/>
  <c r="D37" i="5"/>
  <c r="AL36" i="5"/>
  <c r="AK36" i="5"/>
  <c r="AJ36" i="5"/>
  <c r="AI36" i="5"/>
  <c r="G36" i="5"/>
  <c r="F36" i="5"/>
  <c r="E36" i="5"/>
  <c r="D36" i="5"/>
  <c r="AM35" i="5"/>
  <c r="AL35" i="5"/>
  <c r="AK35" i="5"/>
  <c r="AJ35" i="5"/>
  <c r="AI35" i="5"/>
  <c r="H35" i="5"/>
  <c r="G35" i="5"/>
  <c r="F35" i="5"/>
  <c r="E35" i="5"/>
  <c r="D35" i="5"/>
  <c r="AL34" i="5"/>
  <c r="AK34" i="5"/>
  <c r="AJ34" i="5"/>
  <c r="AI34" i="5"/>
  <c r="G34" i="5"/>
  <c r="F34" i="5"/>
  <c r="E34" i="5"/>
  <c r="D34" i="5"/>
  <c r="AM33" i="5"/>
  <c r="AL33" i="5"/>
  <c r="AK33" i="5"/>
  <c r="AJ33" i="5"/>
  <c r="AI33" i="5"/>
  <c r="H33" i="5"/>
  <c r="G33" i="5"/>
  <c r="F33" i="5"/>
  <c r="E33" i="5"/>
  <c r="D33" i="5"/>
  <c r="AL32" i="5"/>
  <c r="AK32" i="5"/>
  <c r="AJ32" i="5"/>
  <c r="AI32" i="5"/>
  <c r="G32" i="5"/>
  <c r="F32" i="5"/>
  <c r="E32" i="5"/>
  <c r="D32" i="5"/>
  <c r="AM31" i="5"/>
  <c r="AL31" i="5"/>
  <c r="AK31" i="5"/>
  <c r="AJ31" i="5"/>
  <c r="AI31" i="5"/>
  <c r="H31" i="5"/>
  <c r="G31" i="5"/>
  <c r="F31" i="5"/>
  <c r="E31" i="5"/>
  <c r="D31" i="5"/>
  <c r="AL30" i="5"/>
  <c r="AK30" i="5"/>
  <c r="AJ30" i="5"/>
  <c r="AI30" i="5"/>
  <c r="G30" i="5"/>
  <c r="F30" i="5"/>
  <c r="E30" i="5"/>
  <c r="D30" i="5"/>
  <c r="AM29" i="5"/>
  <c r="AL29" i="5"/>
  <c r="AK29" i="5"/>
  <c r="AJ29" i="5"/>
  <c r="AI29" i="5"/>
  <c r="H29" i="5"/>
  <c r="G29" i="5"/>
  <c r="F29" i="5"/>
  <c r="E29" i="5"/>
  <c r="D29" i="5"/>
  <c r="AL28" i="5"/>
  <c r="AK28" i="5"/>
  <c r="AJ28" i="5"/>
  <c r="AI28" i="5"/>
  <c r="G28" i="5"/>
  <c r="F28" i="5"/>
  <c r="E28" i="5"/>
  <c r="D28" i="5"/>
  <c r="AM27" i="5"/>
  <c r="AL27" i="5"/>
  <c r="AK27" i="5"/>
  <c r="AJ27" i="5"/>
  <c r="AI27" i="5"/>
  <c r="H27" i="5"/>
  <c r="G27" i="5"/>
  <c r="F27" i="5"/>
  <c r="E27" i="5"/>
  <c r="D27" i="5"/>
  <c r="AL26" i="5"/>
  <c r="AK26" i="5"/>
  <c r="AJ26" i="5"/>
  <c r="AI26" i="5"/>
  <c r="G26" i="5"/>
  <c r="F26" i="5"/>
  <c r="E26" i="5"/>
  <c r="D26" i="5"/>
  <c r="AM25" i="5"/>
  <c r="AL25" i="5"/>
  <c r="AK25" i="5"/>
  <c r="AJ25" i="5"/>
  <c r="AI25" i="5"/>
  <c r="H25" i="5"/>
  <c r="G25" i="5"/>
  <c r="F25" i="5"/>
  <c r="E25" i="5"/>
  <c r="D25" i="5"/>
  <c r="AL24" i="5"/>
  <c r="AK24" i="5"/>
  <c r="AJ24" i="5"/>
  <c r="AI24" i="5"/>
  <c r="G24" i="5"/>
  <c r="F24" i="5"/>
  <c r="E24" i="5"/>
  <c r="D24" i="5"/>
  <c r="AM23" i="5"/>
  <c r="AL23" i="5"/>
  <c r="AK23" i="5"/>
  <c r="AJ23" i="5"/>
  <c r="AI23" i="5"/>
  <c r="H23" i="5"/>
  <c r="G23" i="5"/>
  <c r="F23" i="5"/>
  <c r="E23" i="5"/>
  <c r="D23" i="5"/>
  <c r="AL22" i="5"/>
  <c r="AK22" i="5"/>
  <c r="AJ22" i="5"/>
  <c r="AI22" i="5"/>
  <c r="G22" i="5"/>
  <c r="F22" i="5"/>
  <c r="E22" i="5"/>
  <c r="D22" i="5"/>
  <c r="AM21" i="5"/>
  <c r="AL21" i="5"/>
  <c r="AK21" i="5"/>
  <c r="AJ21" i="5"/>
  <c r="AI21" i="5"/>
  <c r="H21" i="5"/>
  <c r="G21" i="5"/>
  <c r="F21" i="5"/>
  <c r="E21" i="5"/>
  <c r="D21" i="5"/>
  <c r="AM19" i="5"/>
  <c r="AL19" i="5"/>
  <c r="AK19" i="5"/>
  <c r="AJ19" i="5"/>
  <c r="AI19" i="5"/>
  <c r="H19" i="5"/>
  <c r="G19" i="5"/>
  <c r="F19" i="5"/>
  <c r="E19" i="5"/>
  <c r="D19" i="5"/>
  <c r="AL18" i="5"/>
  <c r="AK18" i="5"/>
  <c r="AJ18" i="5"/>
  <c r="AI18" i="5"/>
  <c r="G18" i="5"/>
  <c r="F18" i="5"/>
  <c r="E18" i="5"/>
  <c r="D18" i="5"/>
  <c r="AM17" i="5"/>
  <c r="AL17" i="5"/>
  <c r="AK17" i="5"/>
  <c r="AJ17" i="5"/>
  <c r="AI17" i="5"/>
  <c r="H17" i="5"/>
  <c r="G17" i="5"/>
  <c r="F17" i="5"/>
  <c r="E17" i="5"/>
  <c r="D17" i="5"/>
  <c r="AL16" i="5"/>
  <c r="AK16" i="5"/>
  <c r="AJ16" i="5"/>
  <c r="AI16" i="5"/>
  <c r="G16" i="5"/>
  <c r="F16" i="5"/>
  <c r="E16" i="5"/>
  <c r="D16" i="5"/>
  <c r="AM15" i="5"/>
  <c r="AL15" i="5"/>
  <c r="AK15" i="5"/>
  <c r="AJ15" i="5"/>
  <c r="AI15" i="5"/>
  <c r="H15" i="5"/>
  <c r="G15" i="5"/>
  <c r="F15" i="5"/>
  <c r="E15" i="5"/>
  <c r="D15" i="5"/>
  <c r="AL14" i="5"/>
  <c r="AK14" i="5"/>
  <c r="AJ14" i="5"/>
  <c r="AI14" i="5"/>
  <c r="G14" i="5"/>
  <c r="F14" i="5"/>
  <c r="E14" i="5"/>
  <c r="D14" i="5"/>
  <c r="AM13" i="5"/>
  <c r="AL13" i="5"/>
  <c r="AK13" i="5"/>
  <c r="AJ13" i="5"/>
  <c r="AI13" i="5"/>
  <c r="H13" i="5"/>
  <c r="G13" i="5"/>
  <c r="F13" i="5"/>
  <c r="E13" i="5"/>
  <c r="D13" i="5"/>
  <c r="AL12" i="5"/>
  <c r="AK12" i="5"/>
  <c r="AJ12" i="5"/>
  <c r="AI12" i="5"/>
  <c r="G12" i="5"/>
  <c r="F12" i="5"/>
  <c r="E12" i="5"/>
  <c r="D12" i="5"/>
  <c r="AM11" i="5"/>
  <c r="AL11" i="5"/>
  <c r="AK11" i="5"/>
  <c r="AJ11" i="5"/>
  <c r="AI11" i="5"/>
  <c r="H11" i="5"/>
  <c r="G11" i="5"/>
  <c r="F11" i="5"/>
  <c r="E11" i="5"/>
  <c r="D11" i="5"/>
  <c r="AL10" i="5"/>
  <c r="AK10" i="5"/>
  <c r="AJ10" i="5"/>
  <c r="AI10" i="5"/>
  <c r="G10" i="5"/>
  <c r="F10" i="5"/>
  <c r="E10" i="5"/>
  <c r="D10" i="5"/>
  <c r="AM9" i="5"/>
  <c r="AL9" i="5"/>
  <c r="AK9" i="5"/>
  <c r="AJ9" i="5"/>
  <c r="AI9" i="5"/>
  <c r="H9" i="5"/>
  <c r="G9" i="5"/>
  <c r="F9" i="5"/>
  <c r="E9" i="5"/>
  <c r="D9" i="5"/>
  <c r="AL8" i="5"/>
  <c r="AK8" i="5"/>
  <c r="AJ8" i="5"/>
  <c r="AI8" i="5"/>
  <c r="G8" i="5"/>
  <c r="F8" i="5"/>
  <c r="E8" i="5"/>
  <c r="D8" i="5"/>
  <c r="AM7" i="5"/>
  <c r="AL7" i="5"/>
  <c r="AK7" i="5"/>
  <c r="AJ7" i="5"/>
  <c r="AI7" i="5"/>
  <c r="H7" i="5"/>
  <c r="G7" i="5"/>
  <c r="F7" i="5"/>
  <c r="E7" i="5"/>
  <c r="D7" i="5"/>
  <c r="X2" i="5"/>
  <c r="N2" i="5"/>
  <c r="L1" i="5" s="1"/>
  <c r="A1" i="5"/>
  <c r="CB147" i="2"/>
  <c r="AR147" i="2"/>
  <c r="AI147" i="2"/>
  <c r="AH147" i="2"/>
  <c r="AC147" i="2"/>
  <c r="J147" i="2" s="1"/>
  <c r="L147" i="2"/>
  <c r="E147" i="2"/>
  <c r="D147" i="2"/>
  <c r="C147" i="2"/>
  <c r="CB146" i="2"/>
  <c r="CB145" i="2"/>
  <c r="AR145" i="2"/>
  <c r="AI145" i="2"/>
  <c r="AH145" i="2"/>
  <c r="AC145" i="2"/>
  <c r="J145" i="2" s="1"/>
  <c r="E145" i="2"/>
  <c r="D145" i="2"/>
  <c r="C145" i="2"/>
  <c r="CB144" i="2"/>
  <c r="CB143" i="2"/>
  <c r="AR143" i="2"/>
  <c r="AI143" i="2"/>
  <c r="AH143" i="2"/>
  <c r="AC143" i="2"/>
  <c r="L143" i="2"/>
  <c r="J143" i="2"/>
  <c r="E143" i="2"/>
  <c r="D143" i="2"/>
  <c r="C143" i="2"/>
  <c r="CB142" i="2"/>
  <c r="CB141" i="2"/>
  <c r="AR141" i="2"/>
  <c r="AI141" i="2"/>
  <c r="AH141" i="2"/>
  <c r="AC141" i="2"/>
  <c r="L141" i="2"/>
  <c r="AK141" i="2" s="1"/>
  <c r="J141" i="2"/>
  <c r="E141" i="2"/>
  <c r="D141" i="2"/>
  <c r="C141" i="2"/>
  <c r="CB140" i="2"/>
  <c r="CB139" i="2"/>
  <c r="AR139" i="2"/>
  <c r="AJ139" i="2"/>
  <c r="AI139" i="2"/>
  <c r="AH139" i="2"/>
  <c r="AC139" i="2"/>
  <c r="J139" i="2" s="1"/>
  <c r="N139" i="2"/>
  <c r="L139" i="2"/>
  <c r="AK139" i="2" s="1"/>
  <c r="E139" i="2"/>
  <c r="D139" i="2"/>
  <c r="C139" i="2"/>
  <c r="CB138" i="2"/>
  <c r="CB137" i="2"/>
  <c r="AR137" i="2"/>
  <c r="AJ137" i="2"/>
  <c r="AI137" i="2"/>
  <c r="AH137" i="2"/>
  <c r="AC137" i="2"/>
  <c r="L137" i="2"/>
  <c r="J137" i="2"/>
  <c r="E137" i="2"/>
  <c r="D137" i="2"/>
  <c r="C137" i="2"/>
  <c r="CB136" i="2"/>
  <c r="CB135" i="2"/>
  <c r="AR135" i="2"/>
  <c r="AI135" i="2"/>
  <c r="AH135" i="2"/>
  <c r="AC135" i="2"/>
  <c r="J135" i="2"/>
  <c r="E135" i="2"/>
  <c r="D135" i="2"/>
  <c r="C135" i="2"/>
  <c r="CB134" i="2"/>
  <c r="CB133" i="2"/>
  <c r="AR133" i="2"/>
  <c r="AI133" i="2"/>
  <c r="AH133" i="2"/>
  <c r="AC133" i="2"/>
  <c r="J133" i="2" s="1"/>
  <c r="E133" i="2"/>
  <c r="D133" i="2"/>
  <c r="C133" i="2"/>
  <c r="CB132" i="2"/>
  <c r="CB131" i="2"/>
  <c r="AR131" i="2"/>
  <c r="AI131" i="2"/>
  <c r="AH131" i="2"/>
  <c r="AC131" i="2"/>
  <c r="J131" i="2" s="1"/>
  <c r="E131" i="2"/>
  <c r="D131" i="2"/>
  <c r="C131" i="2"/>
  <c r="CB130" i="2"/>
  <c r="CB129" i="2"/>
  <c r="AR129" i="2"/>
  <c r="AI129" i="2"/>
  <c r="AH129" i="2"/>
  <c r="AC129" i="2"/>
  <c r="J129" i="2"/>
  <c r="E129" i="2"/>
  <c r="D129" i="2"/>
  <c r="C129" i="2"/>
  <c r="CB128" i="2"/>
  <c r="CB127" i="2"/>
  <c r="AR127" i="2"/>
  <c r="AI127" i="2"/>
  <c r="AH127" i="2"/>
  <c r="AC127" i="2"/>
  <c r="J127" i="2" s="1"/>
  <c r="E127" i="2"/>
  <c r="D127" i="2"/>
  <c r="C127" i="2"/>
  <c r="CB126" i="2"/>
  <c r="CB125" i="2"/>
  <c r="AR125" i="2"/>
  <c r="AI125" i="2"/>
  <c r="AH125" i="2"/>
  <c r="AC125" i="2"/>
  <c r="J125" i="2" s="1"/>
  <c r="L125" i="2" s="1"/>
  <c r="E125" i="2"/>
  <c r="D125" i="2"/>
  <c r="C125" i="2"/>
  <c r="CB124" i="2"/>
  <c r="CB123" i="2"/>
  <c r="AR123" i="2"/>
  <c r="AI123" i="2"/>
  <c r="AH123" i="2"/>
  <c r="AC123" i="2"/>
  <c r="J123" i="2"/>
  <c r="E123" i="2"/>
  <c r="D123" i="2"/>
  <c r="C123" i="2"/>
  <c r="CB122" i="2"/>
  <c r="CB121" i="2"/>
  <c r="AR121" i="2"/>
  <c r="AI121" i="2"/>
  <c r="AH121" i="2"/>
  <c r="AC121" i="2"/>
  <c r="J121" i="2"/>
  <c r="E121" i="2"/>
  <c r="D121" i="2"/>
  <c r="C121" i="2"/>
  <c r="CB120" i="2"/>
  <c r="CB119" i="2"/>
  <c r="AR119" i="2"/>
  <c r="AI119" i="2"/>
  <c r="AH119" i="2"/>
  <c r="AC119" i="2"/>
  <c r="J119" i="2"/>
  <c r="E119" i="2"/>
  <c r="D119" i="2"/>
  <c r="C119" i="2"/>
  <c r="CB118" i="2"/>
  <c r="CB117" i="2"/>
  <c r="AR117" i="2"/>
  <c r="AJ117" i="2"/>
  <c r="AI117" i="2"/>
  <c r="AH117" i="2"/>
  <c r="AC117" i="2"/>
  <c r="L117" i="2"/>
  <c r="J117" i="2"/>
  <c r="E117" i="2"/>
  <c r="D117" i="2"/>
  <c r="C117" i="2"/>
  <c r="CB116" i="2"/>
  <c r="CB115" i="2"/>
  <c r="AR115" i="2"/>
  <c r="AI115" i="2"/>
  <c r="AH115" i="2"/>
  <c r="AC115" i="2"/>
  <c r="J115" i="2" s="1"/>
  <c r="AJ115" i="2" s="1"/>
  <c r="L115" i="2"/>
  <c r="E115" i="2"/>
  <c r="D115" i="2"/>
  <c r="C115" i="2"/>
  <c r="CB114" i="2"/>
  <c r="CB113" i="2"/>
  <c r="AR113" i="2"/>
  <c r="AI113" i="2"/>
  <c r="AH113" i="2"/>
  <c r="AC113" i="2"/>
  <c r="J113" i="2" s="1"/>
  <c r="E113" i="2"/>
  <c r="D113" i="2"/>
  <c r="C113" i="2"/>
  <c r="CB112" i="2"/>
  <c r="CB111" i="2"/>
  <c r="AR111" i="2"/>
  <c r="AI111" i="2"/>
  <c r="AH111" i="2"/>
  <c r="AC111" i="2"/>
  <c r="J111" i="2"/>
  <c r="E111" i="2"/>
  <c r="D111" i="2"/>
  <c r="C111" i="2"/>
  <c r="CB110" i="2"/>
  <c r="CB109" i="2"/>
  <c r="AR109" i="2"/>
  <c r="AI109" i="2"/>
  <c r="AH109" i="2"/>
  <c r="AC109" i="2"/>
  <c r="J109" i="2"/>
  <c r="E109" i="2"/>
  <c r="D109" i="2"/>
  <c r="C109" i="2"/>
  <c r="CB108" i="2"/>
  <c r="CB107" i="2"/>
  <c r="AR107" i="2"/>
  <c r="AI107" i="2"/>
  <c r="AH107" i="2"/>
  <c r="AC107" i="2"/>
  <c r="J107" i="2" s="1"/>
  <c r="E107" i="2"/>
  <c r="D107" i="2"/>
  <c r="C107" i="2"/>
  <c r="CB106" i="2"/>
  <c r="CB105" i="2"/>
  <c r="AR105" i="2"/>
  <c r="AJ105" i="2"/>
  <c r="AI105" i="2"/>
  <c r="AH105" i="2"/>
  <c r="AC105" i="2"/>
  <c r="J105" i="2" s="1"/>
  <c r="L105" i="2"/>
  <c r="AK105" i="2" s="1"/>
  <c r="E105" i="2"/>
  <c r="D105" i="2"/>
  <c r="C105" i="2"/>
  <c r="CB104" i="2"/>
  <c r="CB103" i="2"/>
  <c r="AR103" i="2"/>
  <c r="AI103" i="2"/>
  <c r="AH103" i="2"/>
  <c r="AC103" i="2"/>
  <c r="J103" i="2"/>
  <c r="E103" i="2"/>
  <c r="D103" i="2"/>
  <c r="C103" i="2"/>
  <c r="CB102" i="2"/>
  <c r="CB101" i="2"/>
  <c r="AR101" i="2"/>
  <c r="AI101" i="2"/>
  <c r="AH101" i="2"/>
  <c r="AC101" i="2"/>
  <c r="L101" i="2"/>
  <c r="J101" i="2"/>
  <c r="E101" i="2"/>
  <c r="D101" i="2"/>
  <c r="C101" i="2"/>
  <c r="CB100" i="2"/>
  <c r="CB99" i="2"/>
  <c r="AR99" i="2"/>
  <c r="AI99" i="2"/>
  <c r="AH99" i="2"/>
  <c r="AC99" i="2"/>
  <c r="J99" i="2"/>
  <c r="E99" i="2"/>
  <c r="D99" i="2"/>
  <c r="C99" i="2"/>
  <c r="CB98" i="2"/>
  <c r="CB97" i="2"/>
  <c r="AR97" i="2"/>
  <c r="AJ97" i="2"/>
  <c r="AI97" i="2"/>
  <c r="AH97" i="2"/>
  <c r="AC97" i="2"/>
  <c r="L97" i="2"/>
  <c r="J97" i="2"/>
  <c r="E97" i="2"/>
  <c r="D97" i="2"/>
  <c r="C97" i="2"/>
  <c r="CB96" i="2"/>
  <c r="CB95" i="2"/>
  <c r="AR95" i="2"/>
  <c r="AI95" i="2"/>
  <c r="AH95" i="2"/>
  <c r="AC95" i="2"/>
  <c r="J95" i="2" s="1"/>
  <c r="E95" i="2"/>
  <c r="D95" i="2"/>
  <c r="C95" i="2"/>
  <c r="CB94" i="2"/>
  <c r="CB93" i="2"/>
  <c r="AR93" i="2"/>
  <c r="AI93" i="2"/>
  <c r="AH93" i="2"/>
  <c r="AC93" i="2"/>
  <c r="L93" i="2"/>
  <c r="J93" i="2"/>
  <c r="E93" i="2"/>
  <c r="D93" i="2"/>
  <c r="C93" i="2"/>
  <c r="CB92" i="2"/>
  <c r="CB91" i="2"/>
  <c r="AR91" i="2"/>
  <c r="AI91" i="2"/>
  <c r="AH91" i="2"/>
  <c r="AC91" i="2"/>
  <c r="J91" i="2"/>
  <c r="E91" i="2"/>
  <c r="D91" i="2"/>
  <c r="C91" i="2"/>
  <c r="CB90" i="2"/>
  <c r="CB89" i="2"/>
  <c r="AR89" i="2"/>
  <c r="AK89" i="2"/>
  <c r="AJ89" i="2"/>
  <c r="AI89" i="2"/>
  <c r="AH89" i="2"/>
  <c r="AC89" i="2"/>
  <c r="N89" i="2"/>
  <c r="L89" i="2"/>
  <c r="J89" i="2"/>
  <c r="E89" i="2"/>
  <c r="D89" i="2"/>
  <c r="C89" i="2"/>
  <c r="CB88" i="2"/>
  <c r="CB87" i="2"/>
  <c r="AR87" i="2"/>
  <c r="AI87" i="2"/>
  <c r="AH87" i="2"/>
  <c r="AC87" i="2"/>
  <c r="J87" i="2" s="1"/>
  <c r="E87" i="2"/>
  <c r="D87" i="2"/>
  <c r="C87" i="2"/>
  <c r="CB86" i="2"/>
  <c r="CB85" i="2"/>
  <c r="AR85" i="2"/>
  <c r="AJ85" i="2"/>
  <c r="AI85" i="2"/>
  <c r="AH85" i="2"/>
  <c r="AC85" i="2"/>
  <c r="J85" i="2"/>
  <c r="L85" i="2" s="1"/>
  <c r="E85" i="2"/>
  <c r="D85" i="2"/>
  <c r="C85" i="2"/>
  <c r="CB84" i="2"/>
  <c r="CB83" i="2"/>
  <c r="AR83" i="2"/>
  <c r="AI83" i="2"/>
  <c r="AH83" i="2"/>
  <c r="AC83" i="2"/>
  <c r="J83" i="2" s="1"/>
  <c r="E83" i="2"/>
  <c r="D83" i="2"/>
  <c r="C83" i="2"/>
  <c r="CB82" i="2"/>
  <c r="CB81" i="2"/>
  <c r="AR81" i="2"/>
  <c r="AI81" i="2"/>
  <c r="AH81" i="2"/>
  <c r="AC81" i="2"/>
  <c r="J81" i="2" s="1"/>
  <c r="E81" i="2"/>
  <c r="D81" i="2"/>
  <c r="C81" i="2"/>
  <c r="CB80" i="2"/>
  <c r="CB79" i="2"/>
  <c r="AR79" i="2"/>
  <c r="AI79" i="2"/>
  <c r="AH79" i="2"/>
  <c r="AC79" i="2"/>
  <c r="J79" i="2"/>
  <c r="E79" i="2"/>
  <c r="D79" i="2"/>
  <c r="C79" i="2"/>
  <c r="CB78" i="2"/>
  <c r="CB77" i="2"/>
  <c r="AR77" i="2"/>
  <c r="AJ77" i="2"/>
  <c r="AI77" i="2"/>
  <c r="AH77" i="2"/>
  <c r="AC77" i="2"/>
  <c r="L77" i="2"/>
  <c r="J77" i="2"/>
  <c r="E77" i="2"/>
  <c r="D77" i="2"/>
  <c r="C77" i="2"/>
  <c r="AR75" i="2"/>
  <c r="AI75" i="2"/>
  <c r="AH75" i="2"/>
  <c r="AC75" i="2"/>
  <c r="J75" i="2" s="1"/>
  <c r="E75" i="2"/>
  <c r="D75" i="2"/>
  <c r="C75" i="2"/>
  <c r="AR73" i="2"/>
  <c r="AI73" i="2"/>
  <c r="AH73" i="2"/>
  <c r="AC73" i="2"/>
  <c r="J73" i="2" s="1"/>
  <c r="E73" i="2"/>
  <c r="D73" i="2"/>
  <c r="C73" i="2"/>
  <c r="AR71" i="2"/>
  <c r="AI71" i="2"/>
  <c r="AH71" i="2"/>
  <c r="AC71" i="2"/>
  <c r="J71" i="2"/>
  <c r="E71" i="2"/>
  <c r="D71" i="2"/>
  <c r="C71" i="2"/>
  <c r="AR69" i="2"/>
  <c r="AJ69" i="2"/>
  <c r="AI69" i="2"/>
  <c r="AH69" i="2"/>
  <c r="AC69" i="2"/>
  <c r="L69" i="2"/>
  <c r="J69" i="2"/>
  <c r="E69" i="2"/>
  <c r="D69" i="2"/>
  <c r="C69" i="2"/>
  <c r="AR67" i="2"/>
  <c r="AI67" i="2"/>
  <c r="AH67" i="2"/>
  <c r="AC67" i="2"/>
  <c r="J67" i="2" s="1"/>
  <c r="E67" i="2"/>
  <c r="D67" i="2"/>
  <c r="C67" i="2"/>
  <c r="AR65" i="2"/>
  <c r="AI65" i="2"/>
  <c r="AH65" i="2"/>
  <c r="AC65" i="2"/>
  <c r="J65" i="2" s="1"/>
  <c r="E65" i="2"/>
  <c r="D65" i="2"/>
  <c r="C65" i="2"/>
  <c r="AR63" i="2"/>
  <c r="AI63" i="2"/>
  <c r="AH63" i="2"/>
  <c r="AC63" i="2"/>
  <c r="J63" i="2"/>
  <c r="E63" i="2"/>
  <c r="D63" i="2"/>
  <c r="C63" i="2"/>
  <c r="AR61" i="2"/>
  <c r="AJ61" i="2"/>
  <c r="AI61" i="2"/>
  <c r="AH61" i="2"/>
  <c r="AC61" i="2"/>
  <c r="L61" i="2"/>
  <c r="J61" i="2"/>
  <c r="E61" i="2"/>
  <c r="D61" i="2"/>
  <c r="C61" i="2"/>
  <c r="AR59" i="2"/>
  <c r="AK59" i="2"/>
  <c r="AJ59" i="2"/>
  <c r="AI59" i="2"/>
  <c r="AH59" i="2"/>
  <c r="AC59" i="2"/>
  <c r="J59" i="2" s="1"/>
  <c r="L59" i="2"/>
  <c r="N59" i="2" s="1"/>
  <c r="E59" i="2"/>
  <c r="D59" i="2"/>
  <c r="C59" i="2"/>
  <c r="AI57" i="2"/>
  <c r="AH57" i="2"/>
  <c r="AC57" i="2"/>
  <c r="J57" i="2" s="1"/>
  <c r="E57" i="2"/>
  <c r="D57" i="2"/>
  <c r="C57" i="2"/>
  <c r="AI55" i="2"/>
  <c r="AH55" i="2"/>
  <c r="AC55" i="2"/>
  <c r="J55" i="2"/>
  <c r="E55" i="2"/>
  <c r="D55" i="2"/>
  <c r="C55" i="2"/>
  <c r="AI53" i="2"/>
  <c r="AH53" i="2"/>
  <c r="AC53" i="2"/>
  <c r="J53" i="2" s="1"/>
  <c r="E53" i="2"/>
  <c r="D53" i="2"/>
  <c r="C53" i="2"/>
  <c r="AI51" i="2"/>
  <c r="AH51" i="2"/>
  <c r="AC51" i="2"/>
  <c r="J51" i="2" s="1"/>
  <c r="AJ51" i="2" s="1"/>
  <c r="E51" i="2"/>
  <c r="D51" i="2"/>
  <c r="C51" i="2"/>
  <c r="AI49" i="2"/>
  <c r="AH49" i="2"/>
  <c r="AC49" i="2"/>
  <c r="J49" i="2" s="1"/>
  <c r="E49" i="2"/>
  <c r="D49" i="2"/>
  <c r="C49" i="2"/>
  <c r="AI47" i="2"/>
  <c r="AH47" i="2"/>
  <c r="AC47" i="2"/>
  <c r="J47" i="2"/>
  <c r="E47" i="2"/>
  <c r="D47" i="2"/>
  <c r="C47" i="2"/>
  <c r="AI45" i="2"/>
  <c r="AH45" i="2"/>
  <c r="AC45" i="2"/>
  <c r="J45" i="2"/>
  <c r="E45" i="2"/>
  <c r="D45" i="2"/>
  <c r="C45" i="2"/>
  <c r="AI43" i="2"/>
  <c r="AH43" i="2"/>
  <c r="AC43" i="2"/>
  <c r="J43" i="2" s="1"/>
  <c r="N43" i="2"/>
  <c r="L43" i="2"/>
  <c r="AK43" i="2" s="1"/>
  <c r="E43" i="2"/>
  <c r="D43" i="2"/>
  <c r="C43" i="2"/>
  <c r="AI41" i="2"/>
  <c r="AH41" i="2"/>
  <c r="AC41" i="2"/>
  <c r="J41" i="2" s="1"/>
  <c r="E41" i="2"/>
  <c r="D41" i="2"/>
  <c r="C41" i="2"/>
  <c r="AI39" i="2"/>
  <c r="AH39" i="2"/>
  <c r="AC39" i="2"/>
  <c r="J39" i="2"/>
  <c r="E39" i="2"/>
  <c r="D39" i="2"/>
  <c r="C39" i="2"/>
  <c r="AJ37" i="2"/>
  <c r="AI37" i="2"/>
  <c r="AH37" i="2"/>
  <c r="AC37" i="2"/>
  <c r="L37" i="2"/>
  <c r="J37" i="2"/>
  <c r="E37" i="2"/>
  <c r="D37" i="2"/>
  <c r="C37" i="2"/>
  <c r="AJ35" i="2"/>
  <c r="AI35" i="2"/>
  <c r="AH35" i="2"/>
  <c r="AC35" i="2"/>
  <c r="J35" i="2" s="1"/>
  <c r="L35" i="2"/>
  <c r="E35" i="2"/>
  <c r="D35" i="2"/>
  <c r="C35" i="2"/>
  <c r="AI33" i="2"/>
  <c r="AH33" i="2"/>
  <c r="AC33" i="2"/>
  <c r="L33" i="2"/>
  <c r="J33" i="2"/>
  <c r="E33" i="2"/>
  <c r="D33" i="2"/>
  <c r="C33" i="2"/>
  <c r="AJ30" i="2"/>
  <c r="AI30" i="2"/>
  <c r="AH30" i="2"/>
  <c r="AC30" i="2"/>
  <c r="J30" i="2" s="1"/>
  <c r="L30" i="2" s="1"/>
  <c r="E30" i="2"/>
  <c r="D30" i="2"/>
  <c r="C30" i="2"/>
  <c r="AI28" i="2"/>
  <c r="AH28" i="2"/>
  <c r="AC28" i="2"/>
  <c r="J28" i="2" s="1"/>
  <c r="E28" i="2"/>
  <c r="D28" i="2"/>
  <c r="C28" i="2"/>
  <c r="AJ26" i="2"/>
  <c r="AI26" i="2"/>
  <c r="AH26" i="2"/>
  <c r="AC26" i="2"/>
  <c r="J26" i="2"/>
  <c r="L26" i="2" s="1"/>
  <c r="E26" i="2"/>
  <c r="D26" i="2"/>
  <c r="C26" i="2"/>
  <c r="AI24" i="2"/>
  <c r="AH24" i="2"/>
  <c r="AC24" i="2"/>
  <c r="J24" i="2" s="1"/>
  <c r="E24" i="2"/>
  <c r="D24" i="2"/>
  <c r="C24" i="2"/>
  <c r="AI22" i="2"/>
  <c r="AH22" i="2"/>
  <c r="AC22" i="2"/>
  <c r="J22" i="2" s="1"/>
  <c r="E22" i="2"/>
  <c r="D22" i="2"/>
  <c r="C22" i="2"/>
  <c r="AI20" i="2"/>
  <c r="AH20" i="2"/>
  <c r="AC20" i="2"/>
  <c r="J20" i="2"/>
  <c r="E20" i="2"/>
  <c r="D20" i="2"/>
  <c r="C20" i="2"/>
  <c r="AK18" i="2"/>
  <c r="AI18" i="2"/>
  <c r="AH18" i="2"/>
  <c r="AC18" i="2"/>
  <c r="L18" i="2"/>
  <c r="N18" i="2" s="1"/>
  <c r="J18" i="2"/>
  <c r="AJ18" i="2" s="1"/>
  <c r="E18" i="2"/>
  <c r="D18" i="2"/>
  <c r="C18" i="2"/>
  <c r="AJ16" i="2"/>
  <c r="AI16" i="2"/>
  <c r="AH16" i="2"/>
  <c r="AC16" i="2"/>
  <c r="J16" i="2" s="1"/>
  <c r="L16" i="2"/>
  <c r="E16" i="2"/>
  <c r="D16" i="2"/>
  <c r="C16" i="2"/>
  <c r="AI14" i="2"/>
  <c r="AH14" i="2"/>
  <c r="AC14" i="2"/>
  <c r="J14" i="2" s="1"/>
  <c r="E14" i="2"/>
  <c r="D14" i="2"/>
  <c r="C14" i="2"/>
  <c r="AJ12" i="2"/>
  <c r="AI12" i="2"/>
  <c r="AH12" i="2"/>
  <c r="AC12" i="2"/>
  <c r="L12" i="2"/>
  <c r="J12" i="2"/>
  <c r="E12" i="2"/>
  <c r="D12" i="2"/>
  <c r="C12" i="2"/>
  <c r="AI10" i="2"/>
  <c r="AH10" i="2"/>
  <c r="AC10" i="2"/>
  <c r="J10" i="2"/>
  <c r="E10" i="2"/>
  <c r="D10" i="2"/>
  <c r="C10" i="2"/>
  <c r="AI8" i="2"/>
  <c r="AH8" i="2"/>
  <c r="AC8" i="2"/>
  <c r="J8" i="2"/>
  <c r="E8" i="2"/>
  <c r="D8" i="2"/>
  <c r="C8" i="2"/>
  <c r="AI6" i="2"/>
  <c r="AH6" i="2"/>
  <c r="AC6" i="2"/>
  <c r="J6" i="2"/>
  <c r="E6" i="2"/>
  <c r="D6" i="2"/>
  <c r="C6" i="2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G4" i="1"/>
  <c r="O1" i="1"/>
  <c r="P75" i="5"/>
  <c r="M73" i="5"/>
  <c r="Q72" i="5"/>
  <c r="O70" i="5"/>
  <c r="R69" i="5"/>
  <c r="Q68" i="5"/>
  <c r="Q67" i="5"/>
  <c r="P66" i="5"/>
  <c r="P65" i="5"/>
  <c r="O64" i="5"/>
  <c r="O63" i="5"/>
  <c r="M62" i="5"/>
  <c r="M61" i="5"/>
  <c r="S55" i="5"/>
  <c r="R54" i="5"/>
  <c r="R53" i="5"/>
  <c r="Q52" i="5"/>
  <c r="Q51" i="5"/>
  <c r="P50" i="5"/>
  <c r="P49" i="5"/>
  <c r="O48" i="5"/>
  <c r="O47" i="5"/>
  <c r="M46" i="5"/>
  <c r="M45" i="5"/>
  <c r="S39" i="5"/>
  <c r="R38" i="5"/>
  <c r="R37" i="5"/>
  <c r="Q36" i="5"/>
  <c r="Q35" i="5"/>
  <c r="P34" i="5"/>
  <c r="P33" i="5"/>
  <c r="O32" i="5"/>
  <c r="O31" i="5"/>
  <c r="M30" i="5"/>
  <c r="M29" i="5"/>
  <c r="S23" i="5"/>
  <c r="R22" i="5"/>
  <c r="R21" i="5"/>
  <c r="X20" i="5"/>
  <c r="S15" i="5"/>
  <c r="R14" i="5"/>
  <c r="R13" i="5"/>
  <c r="Q12" i="5"/>
  <c r="Q11" i="5"/>
  <c r="P10" i="5"/>
  <c r="P9" i="5"/>
  <c r="O8" i="5"/>
  <c r="O7" i="5"/>
  <c r="P6" i="5"/>
  <c r="C6" i="5"/>
  <c r="AB5" i="5"/>
  <c r="P5" i="5"/>
  <c r="O75" i="5"/>
  <c r="R74" i="5"/>
  <c r="P72" i="5"/>
  <c r="S71" i="5"/>
  <c r="M70" i="5"/>
  <c r="Q69" i="5"/>
  <c r="P68" i="5"/>
  <c r="P67" i="5"/>
  <c r="O66" i="5"/>
  <c r="O65" i="5"/>
  <c r="M64" i="5"/>
  <c r="M63" i="5"/>
  <c r="S57" i="5"/>
  <c r="R56" i="5"/>
  <c r="R55" i="5"/>
  <c r="Q54" i="5"/>
  <c r="Q53" i="5"/>
  <c r="P52" i="5"/>
  <c r="P51" i="5"/>
  <c r="O50" i="5"/>
  <c r="O49" i="5"/>
  <c r="M48" i="5"/>
  <c r="M47" i="5"/>
  <c r="S41" i="5"/>
  <c r="R40" i="5"/>
  <c r="R39" i="5"/>
  <c r="Q38" i="5"/>
  <c r="Q37" i="5"/>
  <c r="P36" i="5"/>
  <c r="P35" i="5"/>
  <c r="O34" i="5"/>
  <c r="O33" i="5"/>
  <c r="M32" i="5"/>
  <c r="M31" i="5"/>
  <c r="S25" i="5"/>
  <c r="R24" i="5"/>
  <c r="R23" i="5"/>
  <c r="Q22" i="5"/>
  <c r="Q21" i="5"/>
  <c r="R20" i="5"/>
  <c r="S17" i="5"/>
  <c r="R16" i="5"/>
  <c r="R15" i="5"/>
  <c r="Q14" i="5"/>
  <c r="Q13" i="5"/>
  <c r="P12" i="5"/>
  <c r="P11" i="5"/>
  <c r="O10" i="5"/>
  <c r="O9" i="5"/>
  <c r="M75" i="5"/>
  <c r="Q74" i="5"/>
  <c r="O72" i="5"/>
  <c r="R71" i="5"/>
  <c r="P69" i="5"/>
  <c r="O68" i="5"/>
  <c r="O67" i="5"/>
  <c r="M66" i="5"/>
  <c r="M65" i="5"/>
  <c r="S59" i="5"/>
  <c r="R58" i="5"/>
  <c r="R57" i="5"/>
  <c r="Q56" i="5"/>
  <c r="Q55" i="5"/>
  <c r="P54" i="5"/>
  <c r="P53" i="5"/>
  <c r="O52" i="5"/>
  <c r="O51" i="5"/>
  <c r="M50" i="5"/>
  <c r="M49" i="5"/>
  <c r="S43" i="5"/>
  <c r="R42" i="5"/>
  <c r="R41" i="5"/>
  <c r="Q40" i="5"/>
  <c r="Q39" i="5"/>
  <c r="P38" i="5"/>
  <c r="P37" i="5"/>
  <c r="O36" i="5"/>
  <c r="O35" i="5"/>
  <c r="M34" i="5"/>
  <c r="M33" i="5"/>
  <c r="S27" i="5"/>
  <c r="R26" i="5"/>
  <c r="R25" i="5"/>
  <c r="Q24" i="5"/>
  <c r="Q23" i="5"/>
  <c r="P22" i="5"/>
  <c r="P21" i="5"/>
  <c r="Q20" i="5"/>
  <c r="S19" i="5"/>
  <c r="R18" i="5"/>
  <c r="R17" i="5"/>
  <c r="Q16" i="5"/>
  <c r="Q15" i="5"/>
  <c r="P14" i="5"/>
  <c r="P13" i="5"/>
  <c r="O12" i="5"/>
  <c r="O11" i="5"/>
  <c r="M10" i="5"/>
  <c r="M9" i="5"/>
  <c r="N6" i="5"/>
  <c r="Z5" i="5"/>
  <c r="N5" i="5"/>
  <c r="P74" i="5"/>
  <c r="S73" i="5"/>
  <c r="M72" i="5"/>
  <c r="Q71" i="5"/>
  <c r="O69" i="5"/>
  <c r="M68" i="5"/>
  <c r="M67" i="5"/>
  <c r="S61" i="5"/>
  <c r="R60" i="5"/>
  <c r="R59" i="5"/>
  <c r="Q58" i="5"/>
  <c r="Q57" i="5"/>
  <c r="P56" i="5"/>
  <c r="P55" i="5"/>
  <c r="O54" i="5"/>
  <c r="O53" i="5"/>
  <c r="M52" i="5"/>
  <c r="M51" i="5"/>
  <c r="S45" i="5"/>
  <c r="R44" i="5"/>
  <c r="R43" i="5"/>
  <c r="Q42" i="5"/>
  <c r="Q41" i="5"/>
  <c r="P40" i="5"/>
  <c r="P39" i="5"/>
  <c r="O38" i="5"/>
  <c r="O37" i="5"/>
  <c r="M36" i="5"/>
  <c r="M35" i="5"/>
  <c r="S29" i="5"/>
  <c r="O74" i="5"/>
  <c r="R73" i="5"/>
  <c r="P71" i="5"/>
  <c r="M69" i="5"/>
  <c r="S63" i="5"/>
  <c r="R62" i="5"/>
  <c r="R61" i="5"/>
  <c r="Q60" i="5"/>
  <c r="Q59" i="5"/>
  <c r="P58" i="5"/>
  <c r="P57" i="5"/>
  <c r="O56" i="5"/>
  <c r="O55" i="5"/>
  <c r="M54" i="5"/>
  <c r="M53" i="5"/>
  <c r="S47" i="5"/>
  <c r="R46" i="5"/>
  <c r="R45" i="5"/>
  <c r="Q44" i="5"/>
  <c r="Q43" i="5"/>
  <c r="P42" i="5"/>
  <c r="P41" i="5"/>
  <c r="O40" i="5"/>
  <c r="O39" i="5"/>
  <c r="M38" i="5"/>
  <c r="M37" i="5"/>
  <c r="S31" i="5"/>
  <c r="R30" i="5"/>
  <c r="R29" i="5"/>
  <c r="Q28" i="5"/>
  <c r="Q27" i="5"/>
  <c r="P26" i="5"/>
  <c r="P25" i="5"/>
  <c r="O24" i="5"/>
  <c r="O23" i="5"/>
  <c r="M22" i="5"/>
  <c r="M21" i="5"/>
  <c r="O20" i="5"/>
  <c r="Q19" i="5"/>
  <c r="P18" i="5"/>
  <c r="P17" i="5"/>
  <c r="O16" i="5"/>
  <c r="O15" i="5"/>
  <c r="M14" i="5"/>
  <c r="M13" i="5"/>
  <c r="S75" i="5"/>
  <c r="M74" i="5"/>
  <c r="Q73" i="5"/>
  <c r="O71" i="5"/>
  <c r="R70" i="5"/>
  <c r="S65" i="5"/>
  <c r="R64" i="5"/>
  <c r="R63" i="5"/>
  <c r="Q62" i="5"/>
  <c r="Q61" i="5"/>
  <c r="P60" i="5"/>
  <c r="P59" i="5"/>
  <c r="O58" i="5"/>
  <c r="O57" i="5"/>
  <c r="M56" i="5"/>
  <c r="M55" i="5"/>
  <c r="S49" i="5"/>
  <c r="R48" i="5"/>
  <c r="R47" i="5"/>
  <c r="Q46" i="5"/>
  <c r="Q45" i="5"/>
  <c r="P44" i="5"/>
  <c r="P43" i="5"/>
  <c r="O42" i="5"/>
  <c r="O41" i="5"/>
  <c r="M40" i="5"/>
  <c r="M39" i="5"/>
  <c r="S33" i="5"/>
  <c r="R32" i="5"/>
  <c r="R31" i="5"/>
  <c r="Q30" i="5"/>
  <c r="Q29" i="5"/>
  <c r="P28" i="5"/>
  <c r="P27" i="5"/>
  <c r="O26" i="5"/>
  <c r="O25" i="5"/>
  <c r="M24" i="5"/>
  <c r="M23" i="5"/>
  <c r="N20" i="5"/>
  <c r="P19" i="5"/>
  <c r="O18" i="5"/>
  <c r="O17" i="5"/>
  <c r="M16" i="5"/>
  <c r="M15" i="5"/>
  <c r="Q75" i="5"/>
  <c r="O73" i="5"/>
  <c r="R72" i="5"/>
  <c r="P70" i="5"/>
  <c r="S69" i="5"/>
  <c r="R68" i="5"/>
  <c r="R67" i="5"/>
  <c r="Q66" i="5"/>
  <c r="Q65" i="5"/>
  <c r="P64" i="5"/>
  <c r="P63" i="5"/>
  <c r="O62" i="5"/>
  <c r="O61" i="5"/>
  <c r="M60" i="5"/>
  <c r="M59" i="5"/>
  <c r="S53" i="5"/>
  <c r="R52" i="5"/>
  <c r="R51" i="5"/>
  <c r="Q50" i="5"/>
  <c r="Q49" i="5"/>
  <c r="P48" i="5"/>
  <c r="P47" i="5"/>
  <c r="O46" i="5"/>
  <c r="O45" i="5"/>
  <c r="M44" i="5"/>
  <c r="M43" i="5"/>
  <c r="S37" i="5"/>
  <c r="R36" i="5"/>
  <c r="R35" i="5"/>
  <c r="Q34" i="5"/>
  <c r="Q33" i="5"/>
  <c r="P32" i="5"/>
  <c r="P31" i="5"/>
  <c r="O30" i="5"/>
  <c r="O29" i="5"/>
  <c r="M28" i="5"/>
  <c r="M27" i="5"/>
  <c r="S21" i="5"/>
  <c r="AH20" i="5"/>
  <c r="M19" i="5"/>
  <c r="S13" i="5"/>
  <c r="R12" i="5"/>
  <c r="R11" i="5"/>
  <c r="Q10" i="5"/>
  <c r="Q9" i="5"/>
  <c r="P8" i="5"/>
  <c r="P7" i="5"/>
  <c r="Q6" i="5"/>
  <c r="AC5" i="5"/>
  <c r="Q5" i="5"/>
  <c r="P73" i="5"/>
  <c r="R50" i="5"/>
  <c r="O43" i="5"/>
  <c r="P29" i="5"/>
  <c r="P24" i="5"/>
  <c r="M20" i="5"/>
  <c r="O19" i="5"/>
  <c r="O13" i="5"/>
  <c r="M6" i="5"/>
  <c r="AH5" i="5"/>
  <c r="Q70" i="5"/>
  <c r="S67" i="5"/>
  <c r="O60" i="5"/>
  <c r="P46" i="5"/>
  <c r="Q32" i="5"/>
  <c r="Q26" i="5"/>
  <c r="C20" i="5"/>
  <c r="P16" i="5"/>
  <c r="S9" i="5"/>
  <c r="S7" i="5"/>
  <c r="AA5" i="5"/>
  <c r="N153" i="2"/>
  <c r="Q63" i="5"/>
  <c r="R49" i="5"/>
  <c r="M42" i="5"/>
  <c r="M26" i="5"/>
  <c r="P23" i="5"/>
  <c r="Q18" i="5"/>
  <c r="M12" i="5"/>
  <c r="R9" i="5"/>
  <c r="R7" i="5"/>
  <c r="Y5" i="5"/>
  <c r="P62" i="5"/>
  <c r="Q48" i="5"/>
  <c r="M41" i="5"/>
  <c r="Q31" i="5"/>
  <c r="O28" i="5"/>
  <c r="S11" i="5"/>
  <c r="R8" i="5"/>
  <c r="M7" i="5"/>
  <c r="AH6" i="5"/>
  <c r="S5" i="5"/>
  <c r="R65" i="5"/>
  <c r="M58" i="5"/>
  <c r="R34" i="5"/>
  <c r="Q25" i="5"/>
  <c r="O22" i="5"/>
  <c r="M11" i="5"/>
  <c r="Q8" i="5"/>
  <c r="X6" i="5"/>
  <c r="R5" i="5"/>
  <c r="Y154" i="2"/>
  <c r="M71" i="5"/>
  <c r="O59" i="5"/>
  <c r="M17" i="5"/>
  <c r="Q7" i="5"/>
  <c r="O6" i="5"/>
  <c r="Q64" i="5"/>
  <c r="R33" i="5"/>
  <c r="M25" i="5"/>
  <c r="S51" i="5"/>
  <c r="P45" i="5"/>
  <c r="R28" i="5"/>
  <c r="R10" i="5"/>
  <c r="M57" i="5"/>
  <c r="R19" i="5"/>
  <c r="P15" i="5"/>
  <c r="R75" i="5"/>
  <c r="O44" i="5"/>
  <c r="R27" i="5"/>
  <c r="X5" i="5"/>
  <c r="N154" i="2"/>
  <c r="P61" i="5"/>
  <c r="O27" i="5"/>
  <c r="P20" i="5"/>
  <c r="M18" i="5"/>
  <c r="O14" i="5"/>
  <c r="M8" i="5"/>
  <c r="O5" i="5"/>
  <c r="B154" i="2"/>
  <c r="Q17" i="5"/>
  <c r="R66" i="5"/>
  <c r="P30" i="5"/>
  <c r="R6" i="5"/>
  <c r="O21" i="5"/>
  <c r="C5" i="5"/>
  <c r="Y153" i="2"/>
  <c r="B153" i="2"/>
  <c r="S35" i="5"/>
  <c r="Q47" i="5"/>
  <c r="M5" i="5"/>
  <c r="CN75" i="2"/>
  <c r="DC74" i="2"/>
  <c r="CI74" i="2"/>
  <c r="DC73" i="2"/>
  <c r="CA73" i="2"/>
  <c r="CN70" i="2"/>
  <c r="CS69" i="2"/>
  <c r="CS66" i="2"/>
  <c r="CI65" i="2"/>
  <c r="CA64" i="2"/>
  <c r="CX63" i="2"/>
  <c r="CX62" i="2"/>
  <c r="CN59" i="2"/>
  <c r="DC58" i="2"/>
  <c r="CI58" i="2"/>
  <c r="CX76" i="2"/>
  <c r="CN73" i="2"/>
  <c r="DC72" i="2"/>
  <c r="CI72" i="2"/>
  <c r="DC71" i="2"/>
  <c r="CA71" i="2"/>
  <c r="CN68" i="2"/>
  <c r="CS67" i="2"/>
  <c r="CS64" i="2"/>
  <c r="CI63" i="2"/>
  <c r="CA62" i="2"/>
  <c r="CX61" i="2"/>
  <c r="CX60" i="2"/>
  <c r="CS76" i="2"/>
  <c r="CI75" i="2"/>
  <c r="CA74" i="2"/>
  <c r="CX73" i="2"/>
  <c r="CX72" i="2"/>
  <c r="CN69" i="2"/>
  <c r="DC68" i="2"/>
  <c r="CI68" i="2"/>
  <c r="DC67" i="2"/>
  <c r="CA67" i="2"/>
  <c r="CN64" i="2"/>
  <c r="CS63" i="2"/>
  <c r="CS74" i="2"/>
  <c r="CI73" i="2"/>
  <c r="CA72" i="2"/>
  <c r="CX71" i="2"/>
  <c r="CX70" i="2"/>
  <c r="CN67" i="2"/>
  <c r="DC66" i="2"/>
  <c r="CI66" i="2"/>
  <c r="DC65" i="2"/>
  <c r="CA65" i="2"/>
  <c r="CN62" i="2"/>
  <c r="CS61" i="2"/>
  <c r="CS58" i="2"/>
  <c r="CI57" i="2"/>
  <c r="CA56" i="2"/>
  <c r="CX55" i="2"/>
  <c r="CX54" i="2"/>
  <c r="CN76" i="2"/>
  <c r="CS75" i="2"/>
  <c r="CS72" i="2"/>
  <c r="CI71" i="2"/>
  <c r="CA70" i="2"/>
  <c r="CX69" i="2"/>
  <c r="CX68" i="2"/>
  <c r="CN65" i="2"/>
  <c r="DC64" i="2"/>
  <c r="CI64" i="2"/>
  <c r="DC63" i="2"/>
  <c r="CA63" i="2"/>
  <c r="CN60" i="2"/>
  <c r="CS59" i="2"/>
  <c r="CS56" i="2"/>
  <c r="CI55" i="2"/>
  <c r="CA54" i="2"/>
  <c r="CX53" i="2"/>
  <c r="CA69" i="2"/>
  <c r="CX57" i="2"/>
  <c r="CS50" i="2"/>
  <c r="CI49" i="2"/>
  <c r="CA48" i="2"/>
  <c r="CX47" i="2"/>
  <c r="CX46" i="2"/>
  <c r="CN43" i="2"/>
  <c r="DC42" i="2"/>
  <c r="CI42" i="2"/>
  <c r="DC41" i="2"/>
  <c r="CA41" i="2"/>
  <c r="CN38" i="2"/>
  <c r="CS37" i="2"/>
  <c r="CS34" i="2"/>
  <c r="CI33" i="2"/>
  <c r="BV33" i="2"/>
  <c r="CX32" i="2"/>
  <c r="CS29" i="2"/>
  <c r="CI76" i="2"/>
  <c r="DC61" i="2"/>
  <c r="CI60" i="2"/>
  <c r="CS57" i="2"/>
  <c r="CA57" i="2"/>
  <c r="DC56" i="2"/>
  <c r="CS55" i="2"/>
  <c r="CA55" i="2"/>
  <c r="DC54" i="2"/>
  <c r="CS53" i="2"/>
  <c r="CA53" i="2"/>
  <c r="CN52" i="2"/>
  <c r="CS51" i="2"/>
  <c r="CS48" i="2"/>
  <c r="CI47" i="2"/>
  <c r="CA46" i="2"/>
  <c r="CX45" i="2"/>
  <c r="CX44" i="2"/>
  <c r="CN41" i="2"/>
  <c r="DC40" i="2"/>
  <c r="CI40" i="2"/>
  <c r="DC39" i="2"/>
  <c r="CA39" i="2"/>
  <c r="CN36" i="2"/>
  <c r="CS35" i="2"/>
  <c r="CA76" i="2"/>
  <c r="CA75" i="2"/>
  <c r="DC69" i="2"/>
  <c r="CX67" i="2"/>
  <c r="CX65" i="2"/>
  <c r="CA60" i="2"/>
  <c r="CA58" i="2"/>
  <c r="CN50" i="2"/>
  <c r="CS49" i="2"/>
  <c r="CS46" i="2"/>
  <c r="CI45" i="2"/>
  <c r="CA44" i="2"/>
  <c r="CX43" i="2"/>
  <c r="DC75" i="2"/>
  <c r="DC70" i="2"/>
  <c r="CN57" i="2"/>
  <c r="CN55" i="2"/>
  <c r="CN53" i="2"/>
  <c r="CN51" i="2"/>
  <c r="DC50" i="2"/>
  <c r="CI50" i="2"/>
  <c r="DC49" i="2"/>
  <c r="CA49" i="2"/>
  <c r="CN46" i="2"/>
  <c r="CS45" i="2"/>
  <c r="CS42" i="2"/>
  <c r="CI41" i="2"/>
  <c r="CA40" i="2"/>
  <c r="CX39" i="2"/>
  <c r="CX38" i="2"/>
  <c r="CN35" i="2"/>
  <c r="DC34" i="2"/>
  <c r="CI34" i="2"/>
  <c r="DC33" i="2"/>
  <c r="CA33" i="2"/>
  <c r="CA32" i="2"/>
  <c r="CX30" i="2"/>
  <c r="DC29" i="2"/>
  <c r="CI29" i="2"/>
  <c r="BQ29" i="2"/>
  <c r="CS28" i="2"/>
  <c r="BQ28" i="2"/>
  <c r="CX75" i="2"/>
  <c r="CS73" i="2"/>
  <c r="CS71" i="2"/>
  <c r="CS70" i="2"/>
  <c r="CS68" i="2"/>
  <c r="CN66" i="2"/>
  <c r="CS62" i="2"/>
  <c r="CN61" i="2"/>
  <c r="DC60" i="2"/>
  <c r="DC59" i="2"/>
  <c r="CA59" i="2"/>
  <c r="CX58" i="2"/>
  <c r="DC57" i="2"/>
  <c r="CN56" i="2"/>
  <c r="DC55" i="2"/>
  <c r="CN54" i="2"/>
  <c r="DC53" i="2"/>
  <c r="CI53" i="2"/>
  <c r="CX52" i="2"/>
  <c r="CN49" i="2"/>
  <c r="DC48" i="2"/>
  <c r="CI48" i="2"/>
  <c r="DC47" i="2"/>
  <c r="CA47" i="2"/>
  <c r="CN44" i="2"/>
  <c r="CS43" i="2"/>
  <c r="CS40" i="2"/>
  <c r="CI39" i="2"/>
  <c r="CA38" i="2"/>
  <c r="CX37" i="2"/>
  <c r="CX36" i="2"/>
  <c r="CN33" i="2"/>
  <c r="DC76" i="2"/>
  <c r="CN74" i="2"/>
  <c r="CN63" i="2"/>
  <c r="CN58" i="2"/>
  <c r="CI56" i="2"/>
  <c r="CX51" i="2"/>
  <c r="CX49" i="2"/>
  <c r="CS47" i="2"/>
  <c r="DC46" i="2"/>
  <c r="DC44" i="2"/>
  <c r="CA42" i="2"/>
  <c r="DC38" i="2"/>
  <c r="DC37" i="2"/>
  <c r="CA37" i="2"/>
  <c r="CA34" i="2"/>
  <c r="BQ32" i="2"/>
  <c r="CN29" i="2"/>
  <c r="CN28" i="2"/>
  <c r="BV28" i="2"/>
  <c r="CX27" i="2"/>
  <c r="DC26" i="2"/>
  <c r="CA26" i="2"/>
  <c r="CX24" i="2"/>
  <c r="DC23" i="2"/>
  <c r="CI23" i="2"/>
  <c r="BQ23" i="2"/>
  <c r="CS22" i="2"/>
  <c r="BQ22" i="2"/>
  <c r="CA21" i="2"/>
  <c r="CN20" i="2"/>
  <c r="CN19" i="2"/>
  <c r="BV19" i="2"/>
  <c r="CI18" i="2"/>
  <c r="BV18" i="2"/>
  <c r="CS15" i="2"/>
  <c r="CX11" i="2"/>
  <c r="CN71" i="2"/>
  <c r="CI61" i="2"/>
  <c r="CI54" i="2"/>
  <c r="DC52" i="2"/>
  <c r="CX50" i="2"/>
  <c r="CX48" i="2"/>
  <c r="CN47" i="2"/>
  <c r="CS44" i="2"/>
  <c r="DC36" i="2"/>
  <c r="DC35" i="2"/>
  <c r="CA35" i="2"/>
  <c r="BQ33" i="2"/>
  <c r="DC31" i="2"/>
  <c r="CA31" i="2"/>
  <c r="DC28" i="2"/>
  <c r="CA27" i="2"/>
  <c r="CN26" i="2"/>
  <c r="CN25" i="2"/>
  <c r="BV25" i="2"/>
  <c r="CI24" i="2"/>
  <c r="BV24" i="2"/>
  <c r="CI70" i="2"/>
  <c r="CA61" i="2"/>
  <c r="CN48" i="2"/>
  <c r="CN45" i="2"/>
  <c r="CI43" i="2"/>
  <c r="CX40" i="2"/>
  <c r="CS38" i="2"/>
  <c r="CX35" i="2"/>
  <c r="CX34" i="2"/>
  <c r="CX31" i="2"/>
  <c r="CA30" i="2"/>
  <c r="CI28" i="2"/>
  <c r="CS27" i="2"/>
  <c r="CX23" i="2"/>
  <c r="DC22" i="2"/>
  <c r="CA22" i="2"/>
  <c r="CX20" i="2"/>
  <c r="CI69" i="2"/>
  <c r="CA68" i="2"/>
  <c r="CX66" i="2"/>
  <c r="CI52" i="2"/>
  <c r="CI51" i="2"/>
  <c r="CA45" i="2"/>
  <c r="CA43" i="2"/>
  <c r="CX41" i="2"/>
  <c r="CN40" i="2"/>
  <c r="CS39" i="2"/>
  <c r="CI38" i="2"/>
  <c r="CS32" i="2"/>
  <c r="CS31" i="2"/>
  <c r="CA29" i="2"/>
  <c r="CN27" i="2"/>
  <c r="BV27" i="2"/>
  <c r="CI26" i="2"/>
  <c r="BV26" i="2"/>
  <c r="CS23" i="2"/>
  <c r="CX19" i="2"/>
  <c r="DC18" i="2"/>
  <c r="CA18" i="2"/>
  <c r="CX16" i="2"/>
  <c r="DC15" i="2"/>
  <c r="CI15" i="2"/>
  <c r="BQ15" i="2"/>
  <c r="CS14" i="2"/>
  <c r="BQ14" i="2"/>
  <c r="CA13" i="2"/>
  <c r="CN12" i="2"/>
  <c r="CN11" i="2"/>
  <c r="BV11" i="2"/>
  <c r="CI10" i="2"/>
  <c r="BV10" i="2"/>
  <c r="CX64" i="2"/>
  <c r="DC62" i="2"/>
  <c r="CX59" i="2"/>
  <c r="CA52" i="2"/>
  <c r="CA51" i="2"/>
  <c r="CA50" i="2"/>
  <c r="CN42" i="2"/>
  <c r="CS41" i="2"/>
  <c r="CN39" i="2"/>
  <c r="CN37" i="2"/>
  <c r="CI36" i="2"/>
  <c r="CN34" i="2"/>
  <c r="CX33" i="2"/>
  <c r="CN32" i="2"/>
  <c r="CN31" i="2"/>
  <c r="BQ31" i="2"/>
  <c r="CN30" i="2"/>
  <c r="BV30" i="2"/>
  <c r="CX29" i="2"/>
  <c r="CA28" i="2"/>
  <c r="CX25" i="2"/>
  <c r="DC24" i="2"/>
  <c r="CA24" i="2"/>
  <c r="CX22" i="2"/>
  <c r="DC21" i="2"/>
  <c r="CI21" i="2"/>
  <c r="BQ21" i="2"/>
  <c r="CS20" i="2"/>
  <c r="BQ20" i="2"/>
  <c r="CA19" i="2"/>
  <c r="CN18" i="2"/>
  <c r="CN17" i="2"/>
  <c r="BV17" i="2"/>
  <c r="CI16" i="2"/>
  <c r="BV16" i="2"/>
  <c r="CS13" i="2"/>
  <c r="CN72" i="2"/>
  <c r="DC45" i="2"/>
  <c r="CI44" i="2"/>
  <c r="CX42" i="2"/>
  <c r="CI37" i="2"/>
  <c r="CS36" i="2"/>
  <c r="BQ26" i="2"/>
  <c r="BV21" i="2"/>
  <c r="CI20" i="2"/>
  <c r="DC17" i="2"/>
  <c r="CA15" i="2"/>
  <c r="CI13" i="2"/>
  <c r="CX12" i="2"/>
  <c r="BQ11" i="2"/>
  <c r="CS9" i="2"/>
  <c r="CI67" i="2"/>
  <c r="CS52" i="2"/>
  <c r="DC43" i="2"/>
  <c r="CA36" i="2"/>
  <c r="CS33" i="2"/>
  <c r="CI31" i="2"/>
  <c r="DC27" i="2"/>
  <c r="CX26" i="2"/>
  <c r="BQ25" i="2"/>
  <c r="CX17" i="2"/>
  <c r="CN16" i="2"/>
  <c r="BQ16" i="2"/>
  <c r="BV14" i="2"/>
  <c r="CA12" i="2"/>
  <c r="CS11" i="2"/>
  <c r="BV31" i="2"/>
  <c r="BQ30" i="2"/>
  <c r="CS26" i="2"/>
  <c r="BQ24" i="2"/>
  <c r="CN23" i="2"/>
  <c r="BV22" i="2"/>
  <c r="CX21" i="2"/>
  <c r="DC20" i="2"/>
  <c r="CA20" i="2"/>
  <c r="CI19" i="2"/>
  <c r="CX18" i="2"/>
  <c r="BQ17" i="2"/>
  <c r="CX15" i="2"/>
  <c r="BV15" i="2"/>
  <c r="CN14" i="2"/>
  <c r="CS12" i="2"/>
  <c r="CA66" i="2"/>
  <c r="DC32" i="2"/>
  <c r="CI27" i="2"/>
  <c r="CS24" i="2"/>
  <c r="CN21" i="2"/>
  <c r="BV20" i="2"/>
  <c r="CS18" i="2"/>
  <c r="DC14" i="2"/>
  <c r="CI14" i="2"/>
  <c r="BV13" i="2"/>
  <c r="BQ12" i="2"/>
  <c r="CX74" i="2"/>
  <c r="CS65" i="2"/>
  <c r="CS60" i="2"/>
  <c r="CS54" i="2"/>
  <c r="CI35" i="2"/>
  <c r="CI32" i="2"/>
  <c r="CS30" i="2"/>
  <c r="BV29" i="2"/>
  <c r="CS25" i="2"/>
  <c r="CN24" i="2"/>
  <c r="CA23" i="2"/>
  <c r="CN22" i="2"/>
  <c r="DC19" i="2"/>
  <c r="CI17" i="2"/>
  <c r="CA16" i="2"/>
  <c r="CN15" i="2"/>
  <c r="CX13" i="2"/>
  <c r="BQ13" i="2"/>
  <c r="CA11" i="2"/>
  <c r="CN10" i="2"/>
  <c r="DC9" i="2"/>
  <c r="DC30" i="2"/>
  <c r="BV12" i="2"/>
  <c r="CX10" i="2"/>
  <c r="CI9" i="2"/>
  <c r="BV8" i="2"/>
  <c r="DC51" i="2"/>
  <c r="DC25" i="2"/>
  <c r="CS19" i="2"/>
  <c r="BQ18" i="2"/>
  <c r="CS17" i="2"/>
  <c r="CN13" i="2"/>
  <c r="CI11" i="2"/>
  <c r="CS10" i="2"/>
  <c r="CX8" i="2"/>
  <c r="CI8" i="2"/>
  <c r="CX7" i="2"/>
  <c r="DC6" i="2"/>
  <c r="CI30" i="2"/>
  <c r="BQ27" i="2"/>
  <c r="CI25" i="2"/>
  <c r="BQ19" i="2"/>
  <c r="DC16" i="2"/>
  <c r="CX14" i="2"/>
  <c r="DC12" i="2"/>
  <c r="BV9" i="2"/>
  <c r="CS8" i="2"/>
  <c r="CS21" i="2"/>
  <c r="CA14" i="2"/>
  <c r="DC11" i="2"/>
  <c r="CI62" i="2"/>
  <c r="CA25" i="2"/>
  <c r="CA17" i="2"/>
  <c r="CN9" i="2"/>
  <c r="CA7" i="2"/>
  <c r="CS16" i="2"/>
  <c r="DC13" i="2"/>
  <c r="CA10" i="2"/>
  <c r="BQ8" i="2"/>
  <c r="DC7" i="2"/>
  <c r="BV23" i="2"/>
  <c r="BQ10" i="2"/>
  <c r="CA9" i="2"/>
  <c r="CI59" i="2"/>
  <c r="BV32" i="2"/>
  <c r="CI22" i="2"/>
  <c r="CI12" i="2"/>
  <c r="DC10" i="2"/>
  <c r="CN8" i="2"/>
  <c r="CS7" i="2"/>
  <c r="BV7" i="2"/>
  <c r="CI46" i="2"/>
  <c r="CS6" i="2"/>
  <c r="CX9" i="2"/>
  <c r="BQ9" i="2"/>
  <c r="CN7" i="2"/>
  <c r="CX56" i="2"/>
  <c r="DC8" i="2"/>
  <c r="CI7" i="2"/>
  <c r="CA8" i="2"/>
  <c r="BQ7" i="2"/>
  <c r="CX6" i="2"/>
  <c r="CX28" i="2"/>
  <c r="CS5" i="2"/>
  <c r="C3" i="1"/>
  <c r="CN5" i="2"/>
  <c r="C2" i="1"/>
  <c r="CI6" i="2"/>
  <c r="CC6" i="2"/>
  <c r="BQ6" i="2"/>
  <c r="CN6" i="2"/>
  <c r="CA6" i="2"/>
  <c r="CX5" i="2"/>
  <c r="CI5" i="2"/>
  <c r="B6" i="1"/>
  <c r="CA5" i="2"/>
  <c r="BV6" i="2"/>
  <c r="BV5" i="2"/>
  <c r="DC5" i="2"/>
  <c r="BQ5" i="2"/>
  <c r="A6" i="1" l="1"/>
  <c r="O3" i="1"/>
  <c r="AY2" i="2" s="1"/>
  <c r="CB6" i="2"/>
  <c r="A1" i="6"/>
  <c r="D2" i="4"/>
  <c r="B1" i="3"/>
  <c r="E2" i="2"/>
  <c r="A2" i="6"/>
  <c r="A3" i="4"/>
  <c r="CB8" i="2"/>
  <c r="CB9" i="2"/>
  <c r="CB10" i="2"/>
  <c r="CB7" i="2"/>
  <c r="CB17" i="2"/>
  <c r="CB25" i="2"/>
  <c r="CB14" i="2"/>
  <c r="CB11" i="2"/>
  <c r="CB16" i="2"/>
  <c r="CB23" i="2"/>
  <c r="CB66" i="2"/>
  <c r="CB20" i="2"/>
  <c r="CB12" i="2"/>
  <c r="CB36" i="2"/>
  <c r="CB15" i="2"/>
  <c r="CB19" i="2"/>
  <c r="CB24" i="2"/>
  <c r="CB28" i="2"/>
  <c r="CB50" i="2"/>
  <c r="CB51" i="2"/>
  <c r="CB52" i="2"/>
  <c r="CB13" i="2"/>
  <c r="CB18" i="2"/>
  <c r="CB29" i="2"/>
  <c r="CB43" i="2"/>
  <c r="CB45" i="2"/>
  <c r="CB68" i="2"/>
  <c r="CB22" i="2"/>
  <c r="CB30" i="2"/>
  <c r="CB61" i="2"/>
  <c r="CB27" i="2"/>
  <c r="CB31" i="2"/>
  <c r="CB35" i="2"/>
  <c r="CB21" i="2"/>
  <c r="CB26" i="2"/>
  <c r="CB34" i="2"/>
  <c r="CB37" i="2"/>
  <c r="CB42" i="2"/>
  <c r="CB38" i="2"/>
  <c r="CB47" i="2"/>
  <c r="CB59" i="2"/>
  <c r="CB33" i="2"/>
  <c r="CB40" i="2"/>
  <c r="CB49" i="2"/>
  <c r="CB44" i="2"/>
  <c r="CB58" i="2"/>
  <c r="CB60" i="2"/>
  <c r="CB75" i="2"/>
  <c r="CB76" i="2"/>
  <c r="CB39" i="2"/>
  <c r="CB46" i="2"/>
  <c r="CB53" i="2"/>
  <c r="CB55" i="2"/>
  <c r="CB57" i="2"/>
  <c r="CB41" i="2"/>
  <c r="CB48" i="2"/>
  <c r="CB69" i="2"/>
  <c r="CB54" i="2"/>
  <c r="CB63" i="2"/>
  <c r="CB70" i="2"/>
  <c r="CB56" i="2"/>
  <c r="CB65" i="2"/>
  <c r="CB72" i="2"/>
  <c r="CB67" i="2"/>
  <c r="CB74" i="2"/>
  <c r="CB62" i="2"/>
  <c r="CB71" i="2"/>
  <c r="CB64" i="2"/>
  <c r="CB73" i="2"/>
  <c r="A78" i="4"/>
  <c r="BM6" i="2" a="1"/>
  <c r="BR6" i="2" a="1"/>
  <c r="H78" i="4"/>
  <c r="D5" i="5"/>
  <c r="B5" i="5"/>
  <c r="E5" i="5"/>
  <c r="H5" i="5"/>
  <c r="G5" i="5"/>
  <c r="F5" i="5"/>
  <c r="A80" i="4"/>
  <c r="F80" i="4"/>
  <c r="H80" i="4"/>
  <c r="AL6" i="5"/>
  <c r="AJ6" i="5"/>
  <c r="AK6" i="5"/>
  <c r="AI6" i="5"/>
  <c r="F78" i="4"/>
  <c r="F20" i="5"/>
  <c r="E20" i="5"/>
  <c r="D20" i="5"/>
  <c r="G20" i="5"/>
  <c r="AL5" i="5"/>
  <c r="AK5" i="5"/>
  <c r="AJ5" i="5"/>
  <c r="AI5" i="5"/>
  <c r="AK20" i="5"/>
  <c r="AJ20" i="5"/>
  <c r="AL20" i="5"/>
  <c r="AI20" i="5"/>
  <c r="D6" i="5"/>
  <c r="G6" i="5"/>
  <c r="F6" i="5"/>
  <c r="E6" i="5"/>
  <c r="D4" i="6"/>
  <c r="H3" i="4"/>
  <c r="Z3" i="2"/>
  <c r="BW6" i="2" a="1"/>
  <c r="AJ6" i="2"/>
  <c r="L6" i="2"/>
  <c r="AJ8" i="2"/>
  <c r="L8" i="2"/>
  <c r="AL89" i="2"/>
  <c r="P89" i="2"/>
  <c r="AK26" i="2"/>
  <c r="N26" i="2"/>
  <c r="L10" i="2"/>
  <c r="AK30" i="2"/>
  <c r="N30" i="2"/>
  <c r="AJ10" i="2"/>
  <c r="AJ24" i="2"/>
  <c r="L24" i="2"/>
  <c r="AL43" i="2"/>
  <c r="P43" i="2"/>
  <c r="AJ107" i="2"/>
  <c r="L107" i="2"/>
  <c r="AK16" i="2"/>
  <c r="N16" i="2"/>
  <c r="AL18" i="2"/>
  <c r="P18" i="2"/>
  <c r="AJ28" i="2"/>
  <c r="L28" i="2"/>
  <c r="AL59" i="2"/>
  <c r="P59" i="2"/>
  <c r="L67" i="2"/>
  <c r="AJ67" i="2"/>
  <c r="AK69" i="2"/>
  <c r="N69" i="2"/>
  <c r="AK33" i="2"/>
  <c r="N33" i="2"/>
  <c r="AJ22" i="2"/>
  <c r="L22" i="2"/>
  <c r="AK93" i="2"/>
  <c r="N93" i="2"/>
  <c r="AJ53" i="2"/>
  <c r="L53" i="2"/>
  <c r="AJ81" i="2"/>
  <c r="L81" i="2"/>
  <c r="AJ99" i="2"/>
  <c r="L99" i="2"/>
  <c r="AJ14" i="2"/>
  <c r="L14" i="2"/>
  <c r="AK12" i="2"/>
  <c r="N12" i="2"/>
  <c r="AJ20" i="2"/>
  <c r="L20" i="2"/>
  <c r="AJ75" i="2"/>
  <c r="L75" i="2"/>
  <c r="AK101" i="2"/>
  <c r="N101" i="2"/>
  <c r="AJ33" i="2"/>
  <c r="AK35" i="2"/>
  <c r="N35" i="2"/>
  <c r="AJ127" i="2"/>
  <c r="L127" i="2"/>
  <c r="AJ43" i="2"/>
  <c r="L51" i="2"/>
  <c r="AK37" i="2"/>
  <c r="N37" i="2"/>
  <c r="AJ39" i="2"/>
  <c r="L39" i="2"/>
  <c r="AJ45" i="2"/>
  <c r="L45" i="2"/>
  <c r="AJ93" i="2"/>
  <c r="AK85" i="2"/>
  <c r="N85" i="2"/>
  <c r="AJ41" i="2"/>
  <c r="L41" i="2"/>
  <c r="AJ49" i="2"/>
  <c r="L49" i="2"/>
  <c r="AJ57" i="2"/>
  <c r="L57" i="2"/>
  <c r="AJ63" i="2"/>
  <c r="L63" i="2"/>
  <c r="AJ73" i="2"/>
  <c r="L73" i="2"/>
  <c r="AJ65" i="2"/>
  <c r="L65" i="2"/>
  <c r="AJ55" i="2"/>
  <c r="L55" i="2"/>
  <c r="AJ79" i="2"/>
  <c r="L79" i="2"/>
  <c r="AK97" i="2"/>
  <c r="N97" i="2"/>
  <c r="AJ95" i="2"/>
  <c r="L95" i="2"/>
  <c r="AJ83" i="2"/>
  <c r="L83" i="2"/>
  <c r="L47" i="2"/>
  <c r="AJ47" i="2"/>
  <c r="AK77" i="2"/>
  <c r="N77" i="2"/>
  <c r="L87" i="2"/>
  <c r="AJ87" i="2"/>
  <c r="AK117" i="2"/>
  <c r="N117" i="2"/>
  <c r="AK61" i="2"/>
  <c r="N61" i="2"/>
  <c r="AJ71" i="2"/>
  <c r="L71" i="2"/>
  <c r="AJ103" i="2"/>
  <c r="L103" i="2"/>
  <c r="L109" i="2"/>
  <c r="AJ109" i="2"/>
  <c r="AJ91" i="2"/>
  <c r="L91" i="2"/>
  <c r="N105" i="2"/>
  <c r="AK115" i="2"/>
  <c r="N115" i="2"/>
  <c r="AK125" i="2"/>
  <c r="N125" i="2"/>
  <c r="AJ101" i="2"/>
  <c r="AJ121" i="2"/>
  <c r="L121" i="2"/>
  <c r="AJ123" i="2"/>
  <c r="L123" i="2"/>
  <c r="AK137" i="2"/>
  <c r="N137" i="2"/>
  <c r="AJ113" i="2"/>
  <c r="L113" i="2"/>
  <c r="AJ129" i="2"/>
  <c r="L129" i="2"/>
  <c r="N141" i="2"/>
  <c r="AJ111" i="2"/>
  <c r="L111" i="2"/>
  <c r="AJ125" i="2"/>
  <c r="AJ135" i="2"/>
  <c r="L135" i="2"/>
  <c r="AJ145" i="2"/>
  <c r="L145" i="2"/>
  <c r="AJ119" i="2"/>
  <c r="L119" i="2"/>
  <c r="AJ131" i="2"/>
  <c r="L131" i="2"/>
  <c r="AJ133" i="2"/>
  <c r="L133" i="2"/>
  <c r="AL139" i="2"/>
  <c r="AK147" i="2"/>
  <c r="N147" i="2"/>
  <c r="P139" i="2"/>
  <c r="AJ143" i="2"/>
  <c r="AK143" i="2"/>
  <c r="N143" i="2"/>
  <c r="AJ141" i="2"/>
  <c r="AJ147" i="2"/>
  <c r="AK111" i="2" l="1"/>
  <c r="N111" i="2"/>
  <c r="AL97" i="2"/>
  <c r="P97" i="2"/>
  <c r="AK73" i="2"/>
  <c r="N73" i="2"/>
  <c r="AK107" i="2"/>
  <c r="N107" i="2"/>
  <c r="AK24" i="2"/>
  <c r="N24" i="2"/>
  <c r="P125" i="2"/>
  <c r="AL125" i="2"/>
  <c r="N87" i="2"/>
  <c r="AK87" i="2"/>
  <c r="AL26" i="2"/>
  <c r="P26" i="2"/>
  <c r="BW158" i="2"/>
  <c r="BW150" i="2"/>
  <c r="BW142" i="2"/>
  <c r="BW134" i="2"/>
  <c r="BW126" i="2"/>
  <c r="BW118" i="2"/>
  <c r="BW110" i="2"/>
  <c r="BW102" i="2"/>
  <c r="BW94" i="2"/>
  <c r="BW86" i="2"/>
  <c r="BW78" i="2"/>
  <c r="BW70" i="2"/>
  <c r="BW62" i="2"/>
  <c r="BW54" i="2"/>
  <c r="BW46" i="2"/>
  <c r="BW38" i="2"/>
  <c r="BW30" i="2"/>
  <c r="BW22" i="2"/>
  <c r="BW14" i="2"/>
  <c r="BW163" i="2"/>
  <c r="BW155" i="2"/>
  <c r="BW147" i="2"/>
  <c r="BW139" i="2"/>
  <c r="BW131" i="2"/>
  <c r="BW123" i="2"/>
  <c r="BW115" i="2"/>
  <c r="BW107" i="2"/>
  <c r="BW99" i="2"/>
  <c r="BW91" i="2"/>
  <c r="BW83" i="2"/>
  <c r="BW75" i="2"/>
  <c r="BW67" i="2"/>
  <c r="BW59" i="2"/>
  <c r="BW51" i="2"/>
  <c r="BW43" i="2"/>
  <c r="BW35" i="2"/>
  <c r="BW27" i="2"/>
  <c r="BW19" i="2"/>
  <c r="BW11" i="2"/>
  <c r="BW162" i="2"/>
  <c r="BW154" i="2"/>
  <c r="BW146" i="2"/>
  <c r="BW138" i="2"/>
  <c r="BW130" i="2"/>
  <c r="BW122" i="2"/>
  <c r="BW114" i="2"/>
  <c r="BW106" i="2"/>
  <c r="BW98" i="2"/>
  <c r="BW90" i="2"/>
  <c r="BW82" i="2"/>
  <c r="BW74" i="2"/>
  <c r="BW66" i="2"/>
  <c r="BW58" i="2"/>
  <c r="BW50" i="2"/>
  <c r="BW42" i="2"/>
  <c r="BW34" i="2"/>
  <c r="BW26" i="2"/>
  <c r="BW18" i="2"/>
  <c r="BW10" i="2"/>
  <c r="BW153" i="2"/>
  <c r="BW141" i="2"/>
  <c r="BW128" i="2"/>
  <c r="BW116" i="2"/>
  <c r="BW103" i="2"/>
  <c r="BW89" i="2"/>
  <c r="BW77" i="2"/>
  <c r="BW64" i="2"/>
  <c r="BW52" i="2"/>
  <c r="BW39" i="2"/>
  <c r="BW25" i="2"/>
  <c r="BW13" i="2"/>
  <c r="BW152" i="2"/>
  <c r="BW140" i="2"/>
  <c r="BW127" i="2"/>
  <c r="BW113" i="2"/>
  <c r="BW101" i="2"/>
  <c r="BW88" i="2"/>
  <c r="BW76" i="2"/>
  <c r="BW63" i="2"/>
  <c r="BW49" i="2"/>
  <c r="BW37" i="2"/>
  <c r="BW24" i="2"/>
  <c r="BW12" i="2"/>
  <c r="BW161" i="2"/>
  <c r="BW149" i="2"/>
  <c r="BW136" i="2"/>
  <c r="BW124" i="2"/>
  <c r="BW111" i="2"/>
  <c r="BW97" i="2"/>
  <c r="BW85" i="2"/>
  <c r="BW72" i="2"/>
  <c r="BW60" i="2"/>
  <c r="BW47" i="2"/>
  <c r="BW33" i="2"/>
  <c r="BW21" i="2"/>
  <c r="BW8" i="2"/>
  <c r="BW160" i="2"/>
  <c r="BW148" i="2"/>
  <c r="BW135" i="2"/>
  <c r="BW121" i="2"/>
  <c r="BW109" i="2"/>
  <c r="BW96" i="2"/>
  <c r="BW84" i="2"/>
  <c r="BW71" i="2"/>
  <c r="BW57" i="2"/>
  <c r="BW45" i="2"/>
  <c r="BW32" i="2"/>
  <c r="BW20" i="2"/>
  <c r="BW7" i="2"/>
  <c r="BW159" i="2"/>
  <c r="BW145" i="2"/>
  <c r="BW133" i="2"/>
  <c r="BW120" i="2"/>
  <c r="BW108" i="2"/>
  <c r="BW95" i="2"/>
  <c r="BW81" i="2"/>
  <c r="BW69" i="2"/>
  <c r="BW56" i="2"/>
  <c r="BW44" i="2"/>
  <c r="BW31" i="2"/>
  <c r="BW17" i="2"/>
  <c r="BW6" i="2"/>
  <c r="BW156" i="2"/>
  <c r="BW119" i="2"/>
  <c r="BW87" i="2"/>
  <c r="BW53" i="2"/>
  <c r="BW16" i="2"/>
  <c r="BW143" i="2"/>
  <c r="BW105" i="2"/>
  <c r="BW73" i="2"/>
  <c r="BW40" i="2"/>
  <c r="BW151" i="2"/>
  <c r="BW117" i="2"/>
  <c r="BW80" i="2"/>
  <c r="BW48" i="2"/>
  <c r="BW15" i="2"/>
  <c r="BW157" i="2"/>
  <c r="BW144" i="2"/>
  <c r="BW112" i="2"/>
  <c r="BW79" i="2"/>
  <c r="BW41" i="2"/>
  <c r="BW9" i="2"/>
  <c r="BW137" i="2"/>
  <c r="BW104" i="2"/>
  <c r="BW68" i="2"/>
  <c r="BW36" i="2"/>
  <c r="BW164" i="2"/>
  <c r="BW129" i="2"/>
  <c r="BW93" i="2"/>
  <c r="BW61" i="2"/>
  <c r="BW28" i="2"/>
  <c r="BW92" i="2"/>
  <c r="BW55" i="2"/>
  <c r="BW23" i="2"/>
  <c r="BW132" i="2"/>
  <c r="BW100" i="2"/>
  <c r="BW65" i="2"/>
  <c r="BW29" i="2"/>
  <c r="BW125" i="2"/>
  <c r="B23" i="3"/>
  <c r="B12" i="3"/>
  <c r="BM159" i="2"/>
  <c r="BM151" i="2"/>
  <c r="BM143" i="2"/>
  <c r="BM135" i="2"/>
  <c r="BM127" i="2"/>
  <c r="BM119" i="2"/>
  <c r="BM111" i="2"/>
  <c r="BM103" i="2"/>
  <c r="BM95" i="2"/>
  <c r="BM87" i="2"/>
  <c r="BM79" i="2"/>
  <c r="BM71" i="2"/>
  <c r="BM63" i="2"/>
  <c r="BM55" i="2"/>
  <c r="BM47" i="2"/>
  <c r="BM39" i="2"/>
  <c r="BM31" i="2"/>
  <c r="BM23" i="2"/>
  <c r="BM15" i="2"/>
  <c r="BM7" i="2"/>
  <c r="BM158" i="2"/>
  <c r="BM150" i="2"/>
  <c r="BM142" i="2"/>
  <c r="BM134" i="2"/>
  <c r="BM126" i="2"/>
  <c r="BM118" i="2"/>
  <c r="BM110" i="2"/>
  <c r="BM102" i="2"/>
  <c r="BM94" i="2"/>
  <c r="BM86" i="2"/>
  <c r="BM78" i="2"/>
  <c r="BM70" i="2"/>
  <c r="BM62" i="2"/>
  <c r="BM54" i="2"/>
  <c r="BM46" i="2"/>
  <c r="BM38" i="2"/>
  <c r="BM30" i="2"/>
  <c r="BM22" i="2"/>
  <c r="BM14" i="2"/>
  <c r="BM164" i="2"/>
  <c r="BM154" i="2"/>
  <c r="BM144" i="2"/>
  <c r="BM132" i="2"/>
  <c r="BM122" i="2"/>
  <c r="BM112" i="2"/>
  <c r="BM100" i="2"/>
  <c r="BM90" i="2"/>
  <c r="BM80" i="2"/>
  <c r="BM68" i="2"/>
  <c r="BM58" i="2"/>
  <c r="BM48" i="2"/>
  <c r="BM36" i="2"/>
  <c r="BM26" i="2"/>
  <c r="BM16" i="2"/>
  <c r="BM163" i="2"/>
  <c r="BM153" i="2"/>
  <c r="BM161" i="2"/>
  <c r="BM149" i="2"/>
  <c r="BM139" i="2"/>
  <c r="BM129" i="2"/>
  <c r="BM117" i="2"/>
  <c r="BM107" i="2"/>
  <c r="BM97" i="2"/>
  <c r="BM85" i="2"/>
  <c r="BM75" i="2"/>
  <c r="BM65" i="2"/>
  <c r="BM53" i="2"/>
  <c r="BM43" i="2"/>
  <c r="BM33" i="2"/>
  <c r="BM21" i="2"/>
  <c r="BM11" i="2"/>
  <c r="BM160" i="2"/>
  <c r="BM148" i="2"/>
  <c r="BM138" i="2"/>
  <c r="BM128" i="2"/>
  <c r="BM116" i="2"/>
  <c r="BM106" i="2"/>
  <c r="BM96" i="2"/>
  <c r="BM84" i="2"/>
  <c r="BM74" i="2"/>
  <c r="BM64" i="2"/>
  <c r="BM52" i="2"/>
  <c r="BM42" i="2"/>
  <c r="BM32" i="2"/>
  <c r="BM20" i="2"/>
  <c r="BM10" i="2"/>
  <c r="BM157" i="2"/>
  <c r="BM147" i="2"/>
  <c r="BM137" i="2"/>
  <c r="BM125" i="2"/>
  <c r="BM115" i="2"/>
  <c r="BM105" i="2"/>
  <c r="BM93" i="2"/>
  <c r="BM83" i="2"/>
  <c r="BM73" i="2"/>
  <c r="BM61" i="2"/>
  <c r="BM51" i="2"/>
  <c r="BM41" i="2"/>
  <c r="BM29" i="2"/>
  <c r="BM19" i="2"/>
  <c r="BM9" i="2"/>
  <c r="BM155" i="2"/>
  <c r="BM131" i="2"/>
  <c r="BM109" i="2"/>
  <c r="BM89" i="2"/>
  <c r="BM67" i="2"/>
  <c r="BM45" i="2"/>
  <c r="BM25" i="2"/>
  <c r="BM146" i="2"/>
  <c r="BM104" i="2"/>
  <c r="BM18" i="2"/>
  <c r="BM145" i="2"/>
  <c r="BM123" i="2"/>
  <c r="BM101" i="2"/>
  <c r="BM81" i="2"/>
  <c r="BM59" i="2"/>
  <c r="BM37" i="2"/>
  <c r="BM17" i="2"/>
  <c r="BM152" i="2"/>
  <c r="BM130" i="2"/>
  <c r="BM108" i="2"/>
  <c r="BM88" i="2"/>
  <c r="BM66" i="2"/>
  <c r="BM44" i="2"/>
  <c r="BM24" i="2"/>
  <c r="BM124" i="2"/>
  <c r="BM82" i="2"/>
  <c r="BM60" i="2"/>
  <c r="BM40" i="2"/>
  <c r="BM156" i="2"/>
  <c r="BM113" i="2"/>
  <c r="BM49" i="2"/>
  <c r="BM6" i="2"/>
  <c r="BM91" i="2"/>
  <c r="BM27" i="2"/>
  <c r="BM141" i="2"/>
  <c r="BM121" i="2"/>
  <c r="BM99" i="2"/>
  <c r="BM77" i="2"/>
  <c r="BM57" i="2"/>
  <c r="BM35" i="2"/>
  <c r="BM13" i="2"/>
  <c r="BM140" i="2"/>
  <c r="BM120" i="2"/>
  <c r="BM98" i="2"/>
  <c r="BM76" i="2"/>
  <c r="BM56" i="2"/>
  <c r="BM34" i="2"/>
  <c r="BM12" i="2"/>
  <c r="BM162" i="2"/>
  <c r="BM136" i="2"/>
  <c r="BM114" i="2"/>
  <c r="BM92" i="2"/>
  <c r="BM72" i="2"/>
  <c r="BM50" i="2"/>
  <c r="BM28" i="2"/>
  <c r="BM8" i="2"/>
  <c r="BM133" i="2"/>
  <c r="BM69" i="2"/>
  <c r="AK8" i="2"/>
  <c r="N8" i="2"/>
  <c r="AK145" i="2"/>
  <c r="N145" i="2"/>
  <c r="AL61" i="2"/>
  <c r="P61" i="2"/>
  <c r="AL77" i="2"/>
  <c r="P77" i="2"/>
  <c r="AK47" i="2"/>
  <c r="N47" i="2"/>
  <c r="AK79" i="2"/>
  <c r="N79" i="2"/>
  <c r="AK49" i="2"/>
  <c r="N49" i="2"/>
  <c r="AL85" i="2"/>
  <c r="P85" i="2"/>
  <c r="AK45" i="2"/>
  <c r="N45" i="2"/>
  <c r="AK20" i="2"/>
  <c r="N20" i="2"/>
  <c r="N81" i="2"/>
  <c r="AK81" i="2"/>
  <c r="AK67" i="2"/>
  <c r="N67" i="2"/>
  <c r="AK133" i="2"/>
  <c r="N133" i="2"/>
  <c r="AK131" i="2"/>
  <c r="N131" i="2"/>
  <c r="AL141" i="2"/>
  <c r="P141" i="2"/>
  <c r="AK121" i="2"/>
  <c r="N121" i="2"/>
  <c r="AL115" i="2"/>
  <c r="P115" i="2"/>
  <c r="AK83" i="2"/>
  <c r="N83" i="2"/>
  <c r="AK63" i="2"/>
  <c r="N63" i="2"/>
  <c r="AL37" i="2"/>
  <c r="P37" i="2"/>
  <c r="AL101" i="2"/>
  <c r="P101" i="2"/>
  <c r="AK14" i="2"/>
  <c r="N14" i="2"/>
  <c r="AL93" i="2"/>
  <c r="P93" i="2"/>
  <c r="R18" i="2"/>
  <c r="AM18" i="2"/>
  <c r="H2" i="5"/>
  <c r="D3" i="3"/>
  <c r="AK113" i="2"/>
  <c r="N113" i="2"/>
  <c r="AK95" i="2"/>
  <c r="N95" i="2"/>
  <c r="AK51" i="2"/>
  <c r="N51" i="2"/>
  <c r="AL143" i="2"/>
  <c r="P143" i="2"/>
  <c r="AK129" i="2"/>
  <c r="N129" i="2"/>
  <c r="N65" i="2"/>
  <c r="AK65" i="2"/>
  <c r="AL33" i="2"/>
  <c r="P33" i="2"/>
  <c r="P147" i="2"/>
  <c r="AL147" i="2"/>
  <c r="AK135" i="2"/>
  <c r="N135" i="2"/>
  <c r="AL105" i="2"/>
  <c r="P105" i="2"/>
  <c r="AL117" i="2"/>
  <c r="P117" i="2"/>
  <c r="AL35" i="2"/>
  <c r="P35" i="2"/>
  <c r="AK75" i="2"/>
  <c r="N75" i="2"/>
  <c r="N53" i="2"/>
  <c r="AK53" i="2"/>
  <c r="AL16" i="2"/>
  <c r="P16" i="2"/>
  <c r="AM43" i="2"/>
  <c r="R43" i="2"/>
  <c r="AK10" i="2"/>
  <c r="N10" i="2"/>
  <c r="AM89" i="2"/>
  <c r="R89" i="2"/>
  <c r="AK119" i="2"/>
  <c r="N119" i="2"/>
  <c r="AK109" i="2"/>
  <c r="N109" i="2"/>
  <c r="AK71" i="2"/>
  <c r="N71" i="2"/>
  <c r="AK57" i="2"/>
  <c r="N57" i="2"/>
  <c r="AK41" i="2"/>
  <c r="N41" i="2"/>
  <c r="AK39" i="2"/>
  <c r="N39" i="2"/>
  <c r="CE6" i="2" a="1"/>
  <c r="AK6" i="2"/>
  <c r="N6" i="2"/>
  <c r="BB8" i="2"/>
  <c r="BA8" i="2" s="1"/>
  <c r="BF8" i="2"/>
  <c r="BE8" i="2" s="1"/>
  <c r="BD8" i="2"/>
  <c r="BC8" i="2" s="1"/>
  <c r="AZ8" i="2"/>
  <c r="AY8" i="2" s="1"/>
  <c r="AY3" i="2"/>
  <c r="BE4" i="2"/>
  <c r="BC3" i="2"/>
  <c r="K2" i="5" s="1"/>
  <c r="AM139" i="2"/>
  <c r="R139" i="2"/>
  <c r="AL137" i="2"/>
  <c r="P137" i="2"/>
  <c r="AM59" i="2"/>
  <c r="R59" i="2"/>
  <c r="AK123" i="2"/>
  <c r="N123" i="2"/>
  <c r="AK91" i="2"/>
  <c r="N91" i="2"/>
  <c r="N103" i="2"/>
  <c r="AK103" i="2"/>
  <c r="AK55" i="2"/>
  <c r="N55" i="2"/>
  <c r="N127" i="2"/>
  <c r="AK127" i="2"/>
  <c r="P12" i="2"/>
  <c r="AL12" i="2"/>
  <c r="AK99" i="2"/>
  <c r="N99" i="2"/>
  <c r="N22" i="2"/>
  <c r="AK22" i="2"/>
  <c r="AL69" i="2"/>
  <c r="P69" i="2"/>
  <c r="N28" i="2"/>
  <c r="AK28" i="2"/>
  <c r="AL30" i="2"/>
  <c r="P30" i="2"/>
  <c r="BR157" i="2"/>
  <c r="BR149" i="2"/>
  <c r="BR141" i="2"/>
  <c r="BR133" i="2"/>
  <c r="BR125" i="2"/>
  <c r="BR117" i="2"/>
  <c r="BR109" i="2"/>
  <c r="BR101" i="2"/>
  <c r="BR93" i="2"/>
  <c r="BR85" i="2"/>
  <c r="BR77" i="2"/>
  <c r="BR69" i="2"/>
  <c r="BR61" i="2"/>
  <c r="BR53" i="2"/>
  <c r="BR45" i="2"/>
  <c r="BR37" i="2"/>
  <c r="BR29" i="2"/>
  <c r="BR21" i="2"/>
  <c r="BR13" i="2"/>
  <c r="BR6" i="2"/>
  <c r="BR164" i="2"/>
  <c r="BR156" i="2"/>
  <c r="BR148" i="2"/>
  <c r="BR140" i="2"/>
  <c r="BR132" i="2"/>
  <c r="BR124" i="2"/>
  <c r="BR116" i="2"/>
  <c r="BR108" i="2"/>
  <c r="BR100" i="2"/>
  <c r="BR92" i="2"/>
  <c r="BR84" i="2"/>
  <c r="BR76" i="2"/>
  <c r="BR68" i="2"/>
  <c r="BR60" i="2"/>
  <c r="BR52" i="2"/>
  <c r="BR44" i="2"/>
  <c r="BR36" i="2"/>
  <c r="BR28" i="2"/>
  <c r="BR20" i="2"/>
  <c r="BR12" i="2"/>
  <c r="BR162" i="2"/>
  <c r="BR152" i="2"/>
  <c r="BR142" i="2"/>
  <c r="BR130" i="2"/>
  <c r="BR120" i="2"/>
  <c r="BR110" i="2"/>
  <c r="BR98" i="2"/>
  <c r="BR88" i="2"/>
  <c r="BR78" i="2"/>
  <c r="BR66" i="2"/>
  <c r="BR56" i="2"/>
  <c r="BR46" i="2"/>
  <c r="BR34" i="2"/>
  <c r="BR24" i="2"/>
  <c r="BR14" i="2"/>
  <c r="BR161" i="2"/>
  <c r="BR151" i="2"/>
  <c r="BR139" i="2"/>
  <c r="BR129" i="2"/>
  <c r="BR119" i="2"/>
  <c r="BR107" i="2"/>
  <c r="BR97" i="2"/>
  <c r="BR87" i="2"/>
  <c r="BR75" i="2"/>
  <c r="BR65" i="2"/>
  <c r="BR55" i="2"/>
  <c r="BR43" i="2"/>
  <c r="BR33" i="2"/>
  <c r="BR23" i="2"/>
  <c r="BR11" i="2"/>
  <c r="BR159" i="2"/>
  <c r="BR147" i="2"/>
  <c r="BR137" i="2"/>
  <c r="BR127" i="2"/>
  <c r="BR115" i="2"/>
  <c r="BR105" i="2"/>
  <c r="BR95" i="2"/>
  <c r="BR83" i="2"/>
  <c r="BR73" i="2"/>
  <c r="BR63" i="2"/>
  <c r="BR51" i="2"/>
  <c r="BR41" i="2"/>
  <c r="BR31" i="2"/>
  <c r="BR19" i="2"/>
  <c r="BR9" i="2"/>
  <c r="BR158" i="2"/>
  <c r="BR146" i="2"/>
  <c r="BR136" i="2"/>
  <c r="BR126" i="2"/>
  <c r="BR114" i="2"/>
  <c r="BR104" i="2"/>
  <c r="BR94" i="2"/>
  <c r="BR82" i="2"/>
  <c r="BR72" i="2"/>
  <c r="BR62" i="2"/>
  <c r="BR50" i="2"/>
  <c r="BR40" i="2"/>
  <c r="BR30" i="2"/>
  <c r="BR18" i="2"/>
  <c r="BR8" i="2"/>
  <c r="BR155" i="2"/>
  <c r="BR145" i="2"/>
  <c r="BR135" i="2"/>
  <c r="BR123" i="2"/>
  <c r="BR113" i="2"/>
  <c r="BR103" i="2"/>
  <c r="BR91" i="2"/>
  <c r="BR81" i="2"/>
  <c r="BR71" i="2"/>
  <c r="BR59" i="2"/>
  <c r="BR49" i="2"/>
  <c r="BR39" i="2"/>
  <c r="BR27" i="2"/>
  <c r="BR17" i="2"/>
  <c r="BR7" i="2"/>
  <c r="BR154" i="2"/>
  <c r="BR128" i="2"/>
  <c r="BR99" i="2"/>
  <c r="BR70" i="2"/>
  <c r="BR42" i="2"/>
  <c r="BR15" i="2"/>
  <c r="BR144" i="2"/>
  <c r="BR118" i="2"/>
  <c r="BR89" i="2"/>
  <c r="BR58" i="2"/>
  <c r="BR32" i="2"/>
  <c r="BR153" i="2"/>
  <c r="BR122" i="2"/>
  <c r="BR96" i="2"/>
  <c r="BR67" i="2"/>
  <c r="BR38" i="2"/>
  <c r="BR10" i="2"/>
  <c r="BR131" i="2"/>
  <c r="BR47" i="2"/>
  <c r="BR150" i="2"/>
  <c r="BR121" i="2"/>
  <c r="BR90" i="2"/>
  <c r="BR64" i="2"/>
  <c r="BR35" i="2"/>
  <c r="BR143" i="2"/>
  <c r="BR112" i="2"/>
  <c r="BR86" i="2"/>
  <c r="BR57" i="2"/>
  <c r="BR26" i="2"/>
  <c r="BR138" i="2"/>
  <c r="BR111" i="2"/>
  <c r="BR80" i="2"/>
  <c r="BR54" i="2"/>
  <c r="BR25" i="2"/>
  <c r="BR163" i="2"/>
  <c r="BR134" i="2"/>
  <c r="BR106" i="2"/>
  <c r="BR79" i="2"/>
  <c r="BR48" i="2"/>
  <c r="BR22" i="2"/>
  <c r="BR160" i="2"/>
  <c r="BR102" i="2"/>
  <c r="BR74" i="2"/>
  <c r="BR16" i="2"/>
  <c r="CE157" i="2" l="1"/>
  <c r="CE149" i="2"/>
  <c r="CE141" i="2"/>
  <c r="CE161" i="2"/>
  <c r="CE152" i="2"/>
  <c r="CE143" i="2"/>
  <c r="CE134" i="2"/>
  <c r="CE126" i="2"/>
  <c r="CE118" i="2"/>
  <c r="CE110" i="2"/>
  <c r="CE102" i="2"/>
  <c r="CE94" i="2"/>
  <c r="CE86" i="2"/>
  <c r="CE78" i="2"/>
  <c r="CE70" i="2"/>
  <c r="CE62" i="2"/>
  <c r="CE54" i="2"/>
  <c r="CE46" i="2"/>
  <c r="CE38" i="2"/>
  <c r="CE30" i="2"/>
  <c r="CE22" i="2"/>
  <c r="CE14" i="2"/>
  <c r="CE158" i="2"/>
  <c r="CE147" i="2"/>
  <c r="CE137" i="2"/>
  <c r="CE128" i="2"/>
  <c r="CE119" i="2"/>
  <c r="CE109" i="2"/>
  <c r="CE100" i="2"/>
  <c r="CE91" i="2"/>
  <c r="CE82" i="2"/>
  <c r="CE73" i="2"/>
  <c r="CE64" i="2"/>
  <c r="CE55" i="2"/>
  <c r="CE45" i="2"/>
  <c r="CE36" i="2"/>
  <c r="CE27" i="2"/>
  <c r="CE18" i="2"/>
  <c r="CE9" i="2"/>
  <c r="CE164" i="2"/>
  <c r="CE154" i="2"/>
  <c r="CE144" i="2"/>
  <c r="CE133" i="2"/>
  <c r="CE124" i="2"/>
  <c r="CE115" i="2"/>
  <c r="CE106" i="2"/>
  <c r="CE97" i="2"/>
  <c r="CE88" i="2"/>
  <c r="CE79" i="2"/>
  <c r="CE69" i="2"/>
  <c r="CE60" i="2"/>
  <c r="CE51" i="2"/>
  <c r="CE42" i="2"/>
  <c r="CE33" i="2"/>
  <c r="CE24" i="2"/>
  <c r="CE15" i="2"/>
  <c r="CE6" i="2"/>
  <c r="CE163" i="2"/>
  <c r="CE153" i="2"/>
  <c r="CE142" i="2"/>
  <c r="CE132" i="2"/>
  <c r="CE123" i="2"/>
  <c r="CE114" i="2"/>
  <c r="CE105" i="2"/>
  <c r="CE96" i="2"/>
  <c r="CE87" i="2"/>
  <c r="CE77" i="2"/>
  <c r="CE68" i="2"/>
  <c r="CE59" i="2"/>
  <c r="CE50" i="2"/>
  <c r="CE41" i="2"/>
  <c r="CE32" i="2"/>
  <c r="CE23" i="2"/>
  <c r="CE13" i="2"/>
  <c r="CE156" i="2"/>
  <c r="CE139" i="2"/>
  <c r="CE125" i="2"/>
  <c r="CE111" i="2"/>
  <c r="CE95" i="2"/>
  <c r="CE81" i="2"/>
  <c r="CE66" i="2"/>
  <c r="CE52" i="2"/>
  <c r="CE37" i="2"/>
  <c r="CE21" i="2"/>
  <c r="CE8" i="2"/>
  <c r="CE155" i="2"/>
  <c r="CE138" i="2"/>
  <c r="CE122" i="2"/>
  <c r="CE108" i="2"/>
  <c r="CE93" i="2"/>
  <c r="CE80" i="2"/>
  <c r="CE65" i="2"/>
  <c r="CE49" i="2"/>
  <c r="CE35" i="2"/>
  <c r="CE20" i="2"/>
  <c r="CE7" i="2"/>
  <c r="CE150" i="2"/>
  <c r="CE135" i="2"/>
  <c r="CE120" i="2"/>
  <c r="CE104" i="2"/>
  <c r="CE90" i="2"/>
  <c r="CE75" i="2"/>
  <c r="CE61" i="2"/>
  <c r="CE47" i="2"/>
  <c r="CE31" i="2"/>
  <c r="CE17" i="2"/>
  <c r="CE160" i="2"/>
  <c r="CE145" i="2"/>
  <c r="CE129" i="2"/>
  <c r="CE113" i="2"/>
  <c r="CE99" i="2"/>
  <c r="CE84" i="2"/>
  <c r="CE71" i="2"/>
  <c r="CE56" i="2"/>
  <c r="CE40" i="2"/>
  <c r="CE26" i="2"/>
  <c r="CE11" i="2"/>
  <c r="CE148" i="2"/>
  <c r="CE131" i="2"/>
  <c r="CE117" i="2"/>
  <c r="CE103" i="2"/>
  <c r="CE89" i="2"/>
  <c r="CE74" i="2"/>
  <c r="CE58" i="2"/>
  <c r="CE44" i="2"/>
  <c r="CE29" i="2"/>
  <c r="CE16" i="2"/>
  <c r="CE162" i="2"/>
  <c r="CE146" i="2"/>
  <c r="CE130" i="2"/>
  <c r="CE116" i="2"/>
  <c r="CE101" i="2"/>
  <c r="CE85" i="2"/>
  <c r="CE72" i="2"/>
  <c r="CE57" i="2"/>
  <c r="CE43" i="2"/>
  <c r="CE28" i="2"/>
  <c r="CE12" i="2"/>
  <c r="CE151" i="2"/>
  <c r="CE92" i="2"/>
  <c r="CE34" i="2"/>
  <c r="CE127" i="2"/>
  <c r="CE67" i="2"/>
  <c r="CE10" i="2"/>
  <c r="CE140" i="2"/>
  <c r="CE83" i="2"/>
  <c r="CE25" i="2"/>
  <c r="CE98" i="2"/>
  <c r="CE136" i="2"/>
  <c r="CE76" i="2"/>
  <c r="CE19" i="2"/>
  <c r="CE121" i="2"/>
  <c r="CE63" i="2"/>
  <c r="CE107" i="2"/>
  <c r="CE48" i="2"/>
  <c r="CE159" i="2"/>
  <c r="CE39" i="2"/>
  <c r="CE112" i="2"/>
  <c r="CE53" i="2"/>
  <c r="P57" i="2"/>
  <c r="AL57" i="2"/>
  <c r="AM141" i="2"/>
  <c r="R141" i="2"/>
  <c r="BN6" i="2" a="1"/>
  <c r="BS6" i="2" a="1"/>
  <c r="AL103" i="2"/>
  <c r="P103" i="2"/>
  <c r="AM137" i="2"/>
  <c r="R137" i="2"/>
  <c r="BH11" i="2" a="1"/>
  <c r="BE11" i="2" a="1"/>
  <c r="BA11" i="2" a="1"/>
  <c r="BD11" i="2" a="1"/>
  <c r="AY11" i="2" a="1"/>
  <c r="BF11" i="2" a="1"/>
  <c r="BC11" i="2" a="1"/>
  <c r="BG11" i="2" a="1"/>
  <c r="Q3" i="2"/>
  <c r="T89" i="2"/>
  <c r="AN89" i="2"/>
  <c r="AM16" i="2"/>
  <c r="R16" i="2"/>
  <c r="AL135" i="2"/>
  <c r="P135" i="2"/>
  <c r="AL51" i="2"/>
  <c r="P51" i="2"/>
  <c r="D25" i="3"/>
  <c r="D14" i="3"/>
  <c r="AM37" i="2"/>
  <c r="R37" i="2"/>
  <c r="AL83" i="2"/>
  <c r="P83" i="2"/>
  <c r="P47" i="2"/>
  <c r="AL47" i="2"/>
  <c r="AM26" i="2"/>
  <c r="R26" i="2"/>
  <c r="AL24" i="2"/>
  <c r="P24" i="2"/>
  <c r="AL99" i="2"/>
  <c r="P99" i="2"/>
  <c r="B75" i="5"/>
  <c r="B72" i="5"/>
  <c r="B68" i="5"/>
  <c r="B65" i="5"/>
  <c r="B52" i="5"/>
  <c r="B49" i="5"/>
  <c r="B36" i="5"/>
  <c r="B33" i="5"/>
  <c r="B12" i="5"/>
  <c r="B9" i="5"/>
  <c r="B67" i="5"/>
  <c r="B54" i="5"/>
  <c r="B51" i="5"/>
  <c r="B38" i="5"/>
  <c r="B35" i="5"/>
  <c r="B22" i="5"/>
  <c r="B14" i="5"/>
  <c r="B11" i="5"/>
  <c r="B74" i="5"/>
  <c r="B69" i="5"/>
  <c r="B56" i="5"/>
  <c r="B53" i="5"/>
  <c r="B40" i="5"/>
  <c r="B37" i="5"/>
  <c r="B24" i="5"/>
  <c r="B21" i="5"/>
  <c r="B16" i="5"/>
  <c r="B13" i="5"/>
  <c r="B58" i="5"/>
  <c r="B55" i="5"/>
  <c r="B42" i="5"/>
  <c r="B39" i="5"/>
  <c r="B71" i="5"/>
  <c r="B60" i="5"/>
  <c r="B57" i="5"/>
  <c r="B44" i="5"/>
  <c r="B41" i="5"/>
  <c r="B28" i="5"/>
  <c r="B25" i="5"/>
  <c r="B17" i="5"/>
  <c r="B62" i="5"/>
  <c r="B59" i="5"/>
  <c r="B46" i="5"/>
  <c r="B43" i="5"/>
  <c r="B30" i="5"/>
  <c r="B27" i="5"/>
  <c r="B19" i="5"/>
  <c r="B66" i="5"/>
  <c r="B63" i="5"/>
  <c r="B50" i="5"/>
  <c r="B47" i="5"/>
  <c r="B34" i="5"/>
  <c r="B31" i="5"/>
  <c r="B10" i="5"/>
  <c r="B7" i="5"/>
  <c r="B23" i="5"/>
  <c r="B18" i="5"/>
  <c r="B48" i="5"/>
  <c r="B45" i="5"/>
  <c r="B15" i="5"/>
  <c r="B64" i="5"/>
  <c r="B61" i="5"/>
  <c r="B70" i="5"/>
  <c r="B8" i="5"/>
  <c r="B73" i="5"/>
  <c r="B26" i="5"/>
  <c r="B29" i="5"/>
  <c r="B32" i="5"/>
  <c r="B6" i="5"/>
  <c r="B20" i="5"/>
  <c r="P119" i="2"/>
  <c r="AL119" i="2"/>
  <c r="AM93" i="2"/>
  <c r="R93" i="2"/>
  <c r="AL45" i="2"/>
  <c r="P45" i="2"/>
  <c r="AM97" i="2"/>
  <c r="R97" i="2"/>
  <c r="P28" i="2"/>
  <c r="AL28" i="2"/>
  <c r="AM12" i="2"/>
  <c r="R12" i="2"/>
  <c r="AL91" i="2"/>
  <c r="P91" i="2"/>
  <c r="AL71" i="2"/>
  <c r="P71" i="2"/>
  <c r="P65" i="2"/>
  <c r="AL65" i="2"/>
  <c r="AC2" i="5"/>
  <c r="AM2" i="5" s="1"/>
  <c r="S2" i="5"/>
  <c r="AL67" i="2"/>
  <c r="P67" i="2"/>
  <c r="AM85" i="2"/>
  <c r="R85" i="2"/>
  <c r="P145" i="2"/>
  <c r="AL145" i="2"/>
  <c r="P113" i="2"/>
  <c r="AL113" i="2"/>
  <c r="R117" i="2"/>
  <c r="AM117" i="2"/>
  <c r="P14" i="2"/>
  <c r="AL14" i="2"/>
  <c r="AL131" i="2"/>
  <c r="P131" i="2"/>
  <c r="P111" i="2"/>
  <c r="AL111" i="2"/>
  <c r="AL127" i="2"/>
  <c r="P127" i="2"/>
  <c r="AL123" i="2"/>
  <c r="P123" i="2"/>
  <c r="AL39" i="2"/>
  <c r="P39" i="2"/>
  <c r="P109" i="2"/>
  <c r="AL109" i="2"/>
  <c r="AL10" i="2"/>
  <c r="P10" i="2"/>
  <c r="AL53" i="2"/>
  <c r="P53" i="2"/>
  <c r="AM115" i="2"/>
  <c r="R115" i="2"/>
  <c r="P49" i="2"/>
  <c r="AL49" i="2"/>
  <c r="R77" i="2"/>
  <c r="AM77" i="2"/>
  <c r="AL8" i="2"/>
  <c r="P8" i="2"/>
  <c r="AN59" i="2"/>
  <c r="T59" i="2"/>
  <c r="AM35" i="2"/>
  <c r="R35" i="2"/>
  <c r="R61" i="2"/>
  <c r="AM61" i="2"/>
  <c r="AM69" i="2"/>
  <c r="R69" i="2"/>
  <c r="AN139" i="2"/>
  <c r="T139" i="2"/>
  <c r="AL129" i="2"/>
  <c r="P129" i="2"/>
  <c r="AL75" i="2"/>
  <c r="P75" i="2"/>
  <c r="AM105" i="2"/>
  <c r="R105" i="2"/>
  <c r="R147" i="2"/>
  <c r="AM147" i="2"/>
  <c r="AL95" i="2"/>
  <c r="P95" i="2"/>
  <c r="P63" i="2"/>
  <c r="AL63" i="2"/>
  <c r="P133" i="2"/>
  <c r="AL133" i="2"/>
  <c r="P81" i="2"/>
  <c r="AL81" i="2"/>
  <c r="AL87" i="2"/>
  <c r="P87" i="2"/>
  <c r="AM33" i="2"/>
  <c r="R33" i="2"/>
  <c r="AL79" i="2"/>
  <c r="P79" i="2"/>
  <c r="AM125" i="2"/>
  <c r="R125" i="2"/>
  <c r="AL107" i="2"/>
  <c r="P107" i="2"/>
  <c r="P55" i="2"/>
  <c r="AL55" i="2"/>
  <c r="AM30" i="2"/>
  <c r="R30" i="2"/>
  <c r="AL22" i="2"/>
  <c r="P22" i="2"/>
  <c r="AL6" i="2"/>
  <c r="CJ6" i="2" a="1"/>
  <c r="P6" i="2"/>
  <c r="P41" i="2"/>
  <c r="AL41" i="2"/>
  <c r="T43" i="2"/>
  <c r="AN43" i="2"/>
  <c r="AM143" i="2"/>
  <c r="R143" i="2"/>
  <c r="T18" i="2"/>
  <c r="AN18" i="2"/>
  <c r="R101" i="2"/>
  <c r="AM101" i="2"/>
  <c r="P121" i="2"/>
  <c r="AL121" i="2"/>
  <c r="P20" i="2"/>
  <c r="AL20" i="2"/>
  <c r="BX6" i="2" a="1"/>
  <c r="AL73" i="2"/>
  <c r="P73" i="2"/>
  <c r="AN143" i="2" l="1"/>
  <c r="T143" i="2"/>
  <c r="CJ162" i="2"/>
  <c r="CJ154" i="2"/>
  <c r="CJ146" i="2"/>
  <c r="CJ138" i="2"/>
  <c r="CJ130" i="2"/>
  <c r="CJ122" i="2"/>
  <c r="CJ114" i="2"/>
  <c r="CJ106" i="2"/>
  <c r="CJ98" i="2"/>
  <c r="CJ90" i="2"/>
  <c r="CJ82" i="2"/>
  <c r="CJ74" i="2"/>
  <c r="CJ66" i="2"/>
  <c r="CJ58" i="2"/>
  <c r="CJ50" i="2"/>
  <c r="CJ42" i="2"/>
  <c r="CJ34" i="2"/>
  <c r="CJ26" i="2"/>
  <c r="CJ18" i="2"/>
  <c r="CJ10" i="2"/>
  <c r="CJ163" i="2"/>
  <c r="CJ153" i="2"/>
  <c r="CJ144" i="2"/>
  <c r="CJ135" i="2"/>
  <c r="CJ126" i="2"/>
  <c r="CJ117" i="2"/>
  <c r="CJ108" i="2"/>
  <c r="CJ99" i="2"/>
  <c r="CJ89" i="2"/>
  <c r="CJ80" i="2"/>
  <c r="CJ71" i="2"/>
  <c r="CJ62" i="2"/>
  <c r="CJ53" i="2"/>
  <c r="CJ44" i="2"/>
  <c r="CJ35" i="2"/>
  <c r="CJ25" i="2"/>
  <c r="CJ16" i="2"/>
  <c r="CJ7" i="2"/>
  <c r="CJ157" i="2"/>
  <c r="CJ148" i="2"/>
  <c r="CJ139" i="2"/>
  <c r="CJ129" i="2"/>
  <c r="CJ120" i="2"/>
  <c r="CJ111" i="2"/>
  <c r="CJ102" i="2"/>
  <c r="CJ93" i="2"/>
  <c r="CJ84" i="2"/>
  <c r="CJ156" i="2"/>
  <c r="CJ143" i="2"/>
  <c r="CJ132" i="2"/>
  <c r="CJ119" i="2"/>
  <c r="CJ107" i="2"/>
  <c r="CJ95" i="2"/>
  <c r="CJ83" i="2"/>
  <c r="CJ72" i="2"/>
  <c r="CJ61" i="2"/>
  <c r="CJ51" i="2"/>
  <c r="CJ40" i="2"/>
  <c r="CJ30" i="2"/>
  <c r="CJ20" i="2"/>
  <c r="CJ9" i="2"/>
  <c r="CJ164" i="2"/>
  <c r="CJ151" i="2"/>
  <c r="CJ140" i="2"/>
  <c r="CJ127" i="2"/>
  <c r="CJ115" i="2"/>
  <c r="CJ103" i="2"/>
  <c r="CJ91" i="2"/>
  <c r="CJ78" i="2"/>
  <c r="CJ68" i="2"/>
  <c r="CJ57" i="2"/>
  <c r="CJ47" i="2"/>
  <c r="CJ37" i="2"/>
  <c r="CJ27" i="2"/>
  <c r="CJ15" i="2"/>
  <c r="CJ6" i="2"/>
  <c r="CJ161" i="2"/>
  <c r="CJ150" i="2"/>
  <c r="CJ137" i="2"/>
  <c r="CJ125" i="2"/>
  <c r="CJ113" i="2"/>
  <c r="CJ101" i="2"/>
  <c r="CJ88" i="2"/>
  <c r="CJ77" i="2"/>
  <c r="CJ67" i="2"/>
  <c r="CJ56" i="2"/>
  <c r="CJ46" i="2"/>
  <c r="CJ36" i="2"/>
  <c r="CJ24" i="2"/>
  <c r="CJ14" i="2"/>
  <c r="CJ152" i="2"/>
  <c r="CJ133" i="2"/>
  <c r="CJ112" i="2"/>
  <c r="CJ94" i="2"/>
  <c r="CJ75" i="2"/>
  <c r="CJ59" i="2"/>
  <c r="CJ41" i="2"/>
  <c r="CJ23" i="2"/>
  <c r="CJ8" i="2"/>
  <c r="CJ149" i="2"/>
  <c r="CJ131" i="2"/>
  <c r="CJ110" i="2"/>
  <c r="CJ92" i="2"/>
  <c r="CJ73" i="2"/>
  <c r="CJ55" i="2"/>
  <c r="CJ39" i="2"/>
  <c r="CJ22" i="2"/>
  <c r="CJ145" i="2"/>
  <c r="CJ124" i="2"/>
  <c r="CJ105" i="2"/>
  <c r="CJ86" i="2"/>
  <c r="CJ69" i="2"/>
  <c r="CJ52" i="2"/>
  <c r="CJ33" i="2"/>
  <c r="CJ19" i="2"/>
  <c r="CJ136" i="2"/>
  <c r="CJ97" i="2"/>
  <c r="CJ63" i="2"/>
  <c r="CJ29" i="2"/>
  <c r="CJ12" i="2"/>
  <c r="CJ160" i="2"/>
  <c r="CJ142" i="2"/>
  <c r="CJ123" i="2"/>
  <c r="CJ104" i="2"/>
  <c r="CJ85" i="2"/>
  <c r="CJ65" i="2"/>
  <c r="CJ49" i="2"/>
  <c r="CJ32" i="2"/>
  <c r="CJ17" i="2"/>
  <c r="CJ158" i="2"/>
  <c r="CJ118" i="2"/>
  <c r="CJ79" i="2"/>
  <c r="CJ45" i="2"/>
  <c r="CJ159" i="2"/>
  <c r="CJ141" i="2"/>
  <c r="CJ121" i="2"/>
  <c r="CJ100" i="2"/>
  <c r="CJ81" i="2"/>
  <c r="CJ64" i="2"/>
  <c r="CJ48" i="2"/>
  <c r="CJ31" i="2"/>
  <c r="CJ13" i="2"/>
  <c r="CJ147" i="2"/>
  <c r="CJ70" i="2"/>
  <c r="CJ116" i="2"/>
  <c r="CJ43" i="2"/>
  <c r="CJ134" i="2"/>
  <c r="CJ60" i="2"/>
  <c r="CJ155" i="2"/>
  <c r="CJ128" i="2"/>
  <c r="CJ54" i="2"/>
  <c r="CJ109" i="2"/>
  <c r="CJ38" i="2"/>
  <c r="CJ87" i="2"/>
  <c r="CJ21" i="2"/>
  <c r="CJ76" i="2"/>
  <c r="CJ11" i="2"/>
  <c r="CJ96" i="2"/>
  <c r="CJ28" i="2"/>
  <c r="R79" i="2"/>
  <c r="AM79" i="2"/>
  <c r="AM111" i="2"/>
  <c r="R111" i="2"/>
  <c r="AM71" i="2"/>
  <c r="R71" i="2"/>
  <c r="AN93" i="2"/>
  <c r="T93" i="2"/>
  <c r="AM51" i="2"/>
  <c r="R51" i="2"/>
  <c r="BA165" i="2"/>
  <c r="BA157" i="2"/>
  <c r="BA149" i="2"/>
  <c r="BA141" i="2"/>
  <c r="BA133" i="2"/>
  <c r="BA125" i="2"/>
  <c r="BA117" i="2"/>
  <c r="BA109" i="2"/>
  <c r="BA101" i="2"/>
  <c r="BA93" i="2"/>
  <c r="BA85" i="2"/>
  <c r="BA77" i="2"/>
  <c r="BA69" i="2"/>
  <c r="BA61" i="2"/>
  <c r="BA53" i="2"/>
  <c r="BA45" i="2"/>
  <c r="BA37" i="2"/>
  <c r="BA29" i="2"/>
  <c r="BA21" i="2"/>
  <c r="BA13" i="2"/>
  <c r="BA164" i="2"/>
  <c r="BA156" i="2"/>
  <c r="BA148" i="2"/>
  <c r="BA140" i="2"/>
  <c r="BA132" i="2"/>
  <c r="BA124" i="2"/>
  <c r="BA116" i="2"/>
  <c r="BA108" i="2"/>
  <c r="BA100" i="2"/>
  <c r="BA92" i="2"/>
  <c r="BA84" i="2"/>
  <c r="BA76" i="2"/>
  <c r="BA68" i="2"/>
  <c r="BA60" i="2"/>
  <c r="BA52" i="2"/>
  <c r="BA44" i="2"/>
  <c r="BA36" i="2"/>
  <c r="BA28" i="2"/>
  <c r="BA20" i="2"/>
  <c r="BA12" i="2"/>
  <c r="BA167" i="2"/>
  <c r="BA155" i="2"/>
  <c r="BA145" i="2"/>
  <c r="BA135" i="2"/>
  <c r="BA123" i="2"/>
  <c r="BA113" i="2"/>
  <c r="BA103" i="2"/>
  <c r="BA91" i="2"/>
  <c r="BA81" i="2"/>
  <c r="BA71" i="2"/>
  <c r="BA59" i="2"/>
  <c r="BA49" i="2"/>
  <c r="BA39" i="2"/>
  <c r="BA27" i="2"/>
  <c r="BA17" i="2"/>
  <c r="BA163" i="2"/>
  <c r="BA153" i="2"/>
  <c r="BA143" i="2"/>
  <c r="BA131" i="2"/>
  <c r="BA121" i="2"/>
  <c r="BA111" i="2"/>
  <c r="BA99" i="2"/>
  <c r="BA89" i="2"/>
  <c r="BA79" i="2"/>
  <c r="BA67" i="2"/>
  <c r="BA57" i="2"/>
  <c r="BA47" i="2"/>
  <c r="BA35" i="2"/>
  <c r="BA25" i="2"/>
  <c r="BA15" i="2"/>
  <c r="BA160" i="2"/>
  <c r="BA150" i="2"/>
  <c r="BA138" i="2"/>
  <c r="BA128" i="2"/>
  <c r="BA118" i="2"/>
  <c r="BA106" i="2"/>
  <c r="BA96" i="2"/>
  <c r="BA86" i="2"/>
  <c r="BA74" i="2"/>
  <c r="BA64" i="2"/>
  <c r="BA54" i="2"/>
  <c r="BA42" i="2"/>
  <c r="BA32" i="2"/>
  <c r="BA22" i="2"/>
  <c r="BA11" i="2"/>
  <c r="BA169" i="2"/>
  <c r="BA152" i="2"/>
  <c r="BA136" i="2"/>
  <c r="BA119" i="2"/>
  <c r="BA102" i="2"/>
  <c r="BA83" i="2"/>
  <c r="BA66" i="2"/>
  <c r="BA50" i="2"/>
  <c r="BA33" i="2"/>
  <c r="BA16" i="2"/>
  <c r="BA168" i="2"/>
  <c r="BA151" i="2"/>
  <c r="BA134" i="2"/>
  <c r="BA115" i="2"/>
  <c r="BA98" i="2"/>
  <c r="BA82" i="2"/>
  <c r="BA65" i="2"/>
  <c r="BA48" i="2"/>
  <c r="BA31" i="2"/>
  <c r="BA14" i="2"/>
  <c r="BA166" i="2"/>
  <c r="BA147" i="2"/>
  <c r="BA130" i="2"/>
  <c r="BA114" i="2"/>
  <c r="BA97" i="2"/>
  <c r="BA80" i="2"/>
  <c r="BA63" i="2"/>
  <c r="BA46" i="2"/>
  <c r="BA30" i="2"/>
  <c r="BA161" i="2"/>
  <c r="BA144" i="2"/>
  <c r="BA127" i="2"/>
  <c r="BA110" i="2"/>
  <c r="BA94" i="2"/>
  <c r="BA75" i="2"/>
  <c r="BA58" i="2"/>
  <c r="BA41" i="2"/>
  <c r="BA24" i="2"/>
  <c r="BA159" i="2"/>
  <c r="BA142" i="2"/>
  <c r="BA126" i="2"/>
  <c r="BA107" i="2"/>
  <c r="BA90" i="2"/>
  <c r="BA73" i="2"/>
  <c r="BA56" i="2"/>
  <c r="BA40" i="2"/>
  <c r="BA23" i="2"/>
  <c r="BA162" i="2"/>
  <c r="BA120" i="2"/>
  <c r="BA72" i="2"/>
  <c r="BA26" i="2"/>
  <c r="BA158" i="2"/>
  <c r="BA112" i="2"/>
  <c r="BA70" i="2"/>
  <c r="BA19" i="2"/>
  <c r="BA154" i="2"/>
  <c r="BA105" i="2"/>
  <c r="BA62" i="2"/>
  <c r="BA18" i="2"/>
  <c r="BA146" i="2"/>
  <c r="BA104" i="2"/>
  <c r="BA55" i="2"/>
  <c r="BA139" i="2"/>
  <c r="BA95" i="2"/>
  <c r="BA51" i="2"/>
  <c r="BA137" i="2"/>
  <c r="BA88" i="2"/>
  <c r="BA43" i="2"/>
  <c r="BA38" i="2"/>
  <c r="BA34" i="2"/>
  <c r="BA129" i="2"/>
  <c r="BA122" i="2"/>
  <c r="BA87" i="2"/>
  <c r="BA78" i="2"/>
  <c r="CF6" i="2" a="1"/>
  <c r="BD165" i="2"/>
  <c r="BD157" i="2"/>
  <c r="BD149" i="2"/>
  <c r="BD141" i="2"/>
  <c r="BD133" i="2"/>
  <c r="BD125" i="2"/>
  <c r="BD117" i="2"/>
  <c r="BD109" i="2"/>
  <c r="BD101" i="2"/>
  <c r="BD93" i="2"/>
  <c r="BD85" i="2"/>
  <c r="BD77" i="2"/>
  <c r="BD69" i="2"/>
  <c r="BD61" i="2"/>
  <c r="BD53" i="2"/>
  <c r="BD45" i="2"/>
  <c r="BD37" i="2"/>
  <c r="BD29" i="2"/>
  <c r="BD21" i="2"/>
  <c r="BD13" i="2"/>
  <c r="BD164" i="2"/>
  <c r="BD156" i="2"/>
  <c r="BD148" i="2"/>
  <c r="BD140" i="2"/>
  <c r="BD132" i="2"/>
  <c r="BD124" i="2"/>
  <c r="BD116" i="2"/>
  <c r="BD108" i="2"/>
  <c r="BD100" i="2"/>
  <c r="BD92" i="2"/>
  <c r="BD84" i="2"/>
  <c r="BD76" i="2"/>
  <c r="BD68" i="2"/>
  <c r="BD60" i="2"/>
  <c r="BD52" i="2"/>
  <c r="BD44" i="2"/>
  <c r="BD36" i="2"/>
  <c r="BD28" i="2"/>
  <c r="BD20" i="2"/>
  <c r="BD12" i="2"/>
  <c r="BD167" i="2"/>
  <c r="BD155" i="2"/>
  <c r="BD145" i="2"/>
  <c r="BD135" i="2"/>
  <c r="BD123" i="2"/>
  <c r="BD113" i="2"/>
  <c r="BD103" i="2"/>
  <c r="BD91" i="2"/>
  <c r="BD81" i="2"/>
  <c r="BD71" i="2"/>
  <c r="BD59" i="2"/>
  <c r="BD49" i="2"/>
  <c r="BD39" i="2"/>
  <c r="BD27" i="2"/>
  <c r="BD17" i="2"/>
  <c r="BD163" i="2"/>
  <c r="BD153" i="2"/>
  <c r="BD143" i="2"/>
  <c r="BD131" i="2"/>
  <c r="BD121" i="2"/>
  <c r="BD111" i="2"/>
  <c r="BD99" i="2"/>
  <c r="BD89" i="2"/>
  <c r="BD79" i="2"/>
  <c r="BD67" i="2"/>
  <c r="BD57" i="2"/>
  <c r="BD47" i="2"/>
  <c r="BD35" i="2"/>
  <c r="BD25" i="2"/>
  <c r="BD15" i="2"/>
  <c r="BD160" i="2"/>
  <c r="BD150" i="2"/>
  <c r="BD138" i="2"/>
  <c r="BD128" i="2"/>
  <c r="BD118" i="2"/>
  <c r="BD106" i="2"/>
  <c r="BD96" i="2"/>
  <c r="BD86" i="2"/>
  <c r="BD74" i="2"/>
  <c r="BD64" i="2"/>
  <c r="BD54" i="2"/>
  <c r="BD42" i="2"/>
  <c r="BD32" i="2"/>
  <c r="BD22" i="2"/>
  <c r="BD11" i="2"/>
  <c r="BD158" i="2"/>
  <c r="BD139" i="2"/>
  <c r="BD122" i="2"/>
  <c r="BD105" i="2"/>
  <c r="BD88" i="2"/>
  <c r="BD72" i="2"/>
  <c r="BD55" i="2"/>
  <c r="BD38" i="2"/>
  <c r="BD19" i="2"/>
  <c r="BD154" i="2"/>
  <c r="BD137" i="2"/>
  <c r="BD120" i="2"/>
  <c r="BD104" i="2"/>
  <c r="BD87" i="2"/>
  <c r="BD70" i="2"/>
  <c r="BD51" i="2"/>
  <c r="BD34" i="2"/>
  <c r="BD18" i="2"/>
  <c r="BD169" i="2"/>
  <c r="BD152" i="2"/>
  <c r="BD136" i="2"/>
  <c r="BD119" i="2"/>
  <c r="BD102" i="2"/>
  <c r="BD83" i="2"/>
  <c r="BD66" i="2"/>
  <c r="BD50" i="2"/>
  <c r="BD33" i="2"/>
  <c r="BD16" i="2"/>
  <c r="BD166" i="2"/>
  <c r="BD147" i="2"/>
  <c r="BD130" i="2"/>
  <c r="BD114" i="2"/>
  <c r="BD97" i="2"/>
  <c r="BD80" i="2"/>
  <c r="BD63" i="2"/>
  <c r="BD46" i="2"/>
  <c r="BD30" i="2"/>
  <c r="BD162" i="2"/>
  <c r="BD146" i="2"/>
  <c r="BD129" i="2"/>
  <c r="BD112" i="2"/>
  <c r="BD95" i="2"/>
  <c r="BD78" i="2"/>
  <c r="BD62" i="2"/>
  <c r="BD43" i="2"/>
  <c r="BD26" i="2"/>
  <c r="BD161" i="2"/>
  <c r="BD115" i="2"/>
  <c r="BD73" i="2"/>
  <c r="BD24" i="2"/>
  <c r="BD159" i="2"/>
  <c r="BD110" i="2"/>
  <c r="BD65" i="2"/>
  <c r="BD23" i="2"/>
  <c r="BD151" i="2"/>
  <c r="BD107" i="2"/>
  <c r="BD58" i="2"/>
  <c r="BD14" i="2"/>
  <c r="BD144" i="2"/>
  <c r="BD98" i="2"/>
  <c r="BD56" i="2"/>
  <c r="BD142" i="2"/>
  <c r="BD94" i="2"/>
  <c r="BD48" i="2"/>
  <c r="BD134" i="2"/>
  <c r="BD90" i="2"/>
  <c r="BD41" i="2"/>
  <c r="BD82" i="2"/>
  <c r="BD75" i="2"/>
  <c r="BD40" i="2"/>
  <c r="BD31" i="2"/>
  <c r="BD168" i="2"/>
  <c r="BD127" i="2"/>
  <c r="BD126" i="2"/>
  <c r="V139" i="2"/>
  <c r="AO139" i="2"/>
  <c r="AP139" i="2" s="1"/>
  <c r="AG139" i="2" s="1"/>
  <c r="AM63" i="2"/>
  <c r="R63" i="2"/>
  <c r="AM75" i="2"/>
  <c r="R75" i="2"/>
  <c r="AO59" i="2"/>
  <c r="AP59" i="2" s="1"/>
  <c r="AG59" i="2" s="1"/>
  <c r="V59" i="2"/>
  <c r="AM49" i="2"/>
  <c r="R49" i="2"/>
  <c r="AM39" i="2"/>
  <c r="R39" i="2"/>
  <c r="AM14" i="2"/>
  <c r="R14" i="2"/>
  <c r="AM113" i="2"/>
  <c r="R113" i="2"/>
  <c r="AN26" i="2"/>
  <c r="T26" i="2"/>
  <c r="AM83" i="2"/>
  <c r="R83" i="2"/>
  <c r="AO89" i="2"/>
  <c r="AP89" i="2" s="1"/>
  <c r="AG89" i="2" s="1"/>
  <c r="V89" i="2"/>
  <c r="BE165" i="2"/>
  <c r="BE157" i="2"/>
  <c r="BE149" i="2"/>
  <c r="BE141" i="2"/>
  <c r="BE133" i="2"/>
  <c r="BE125" i="2"/>
  <c r="BE117" i="2"/>
  <c r="BE109" i="2"/>
  <c r="BE101" i="2"/>
  <c r="BE93" i="2"/>
  <c r="BE85" i="2"/>
  <c r="BE77" i="2"/>
  <c r="BE69" i="2"/>
  <c r="BE61" i="2"/>
  <c r="BE53" i="2"/>
  <c r="BE45" i="2"/>
  <c r="BE37" i="2"/>
  <c r="BE29" i="2"/>
  <c r="BE21" i="2"/>
  <c r="BE13" i="2"/>
  <c r="BE164" i="2"/>
  <c r="BE156" i="2"/>
  <c r="BE148" i="2"/>
  <c r="BE140" i="2"/>
  <c r="BE132" i="2"/>
  <c r="BE124" i="2"/>
  <c r="BE116" i="2"/>
  <c r="BE108" i="2"/>
  <c r="BE100" i="2"/>
  <c r="BE92" i="2"/>
  <c r="BE84" i="2"/>
  <c r="BE76" i="2"/>
  <c r="BE68" i="2"/>
  <c r="BE60" i="2"/>
  <c r="BE52" i="2"/>
  <c r="BE44" i="2"/>
  <c r="BE36" i="2"/>
  <c r="BE28" i="2"/>
  <c r="BE20" i="2"/>
  <c r="BE12" i="2"/>
  <c r="BE167" i="2"/>
  <c r="BE155" i="2"/>
  <c r="BE145" i="2"/>
  <c r="BE135" i="2"/>
  <c r="BE123" i="2"/>
  <c r="BE113" i="2"/>
  <c r="BE103" i="2"/>
  <c r="BE91" i="2"/>
  <c r="BE81" i="2"/>
  <c r="BE71" i="2"/>
  <c r="BE59" i="2"/>
  <c r="BE49" i="2"/>
  <c r="BE39" i="2"/>
  <c r="BE27" i="2"/>
  <c r="BE17" i="2"/>
  <c r="BE163" i="2"/>
  <c r="BE153" i="2"/>
  <c r="BE143" i="2"/>
  <c r="BE131" i="2"/>
  <c r="BE121" i="2"/>
  <c r="BE111" i="2"/>
  <c r="BE99" i="2"/>
  <c r="BE89" i="2"/>
  <c r="BE79" i="2"/>
  <c r="BE67" i="2"/>
  <c r="BE57" i="2"/>
  <c r="BE47" i="2"/>
  <c r="BE35" i="2"/>
  <c r="BE25" i="2"/>
  <c r="BE15" i="2"/>
  <c r="BE160" i="2"/>
  <c r="BE150" i="2"/>
  <c r="BE138" i="2"/>
  <c r="BE128" i="2"/>
  <c r="BE118" i="2"/>
  <c r="BE106" i="2"/>
  <c r="BE96" i="2"/>
  <c r="BE86" i="2"/>
  <c r="BE74" i="2"/>
  <c r="BE64" i="2"/>
  <c r="BE54" i="2"/>
  <c r="BE42" i="2"/>
  <c r="BE32" i="2"/>
  <c r="BE22" i="2"/>
  <c r="BE11" i="2"/>
  <c r="BE168" i="2"/>
  <c r="BE151" i="2"/>
  <c r="BE134" i="2"/>
  <c r="BE115" i="2"/>
  <c r="BE98" i="2"/>
  <c r="BE82" i="2"/>
  <c r="BE65" i="2"/>
  <c r="BE48" i="2"/>
  <c r="BE31" i="2"/>
  <c r="BE14" i="2"/>
  <c r="BE166" i="2"/>
  <c r="BE147" i="2"/>
  <c r="BE130" i="2"/>
  <c r="BE114" i="2"/>
  <c r="BE97" i="2"/>
  <c r="BE80" i="2"/>
  <c r="BE63" i="2"/>
  <c r="BE46" i="2"/>
  <c r="BE30" i="2"/>
  <c r="BE162" i="2"/>
  <c r="BE146" i="2"/>
  <c r="BE129" i="2"/>
  <c r="BE112" i="2"/>
  <c r="BE95" i="2"/>
  <c r="BE78" i="2"/>
  <c r="BE62" i="2"/>
  <c r="BE43" i="2"/>
  <c r="BE26" i="2"/>
  <c r="BE159" i="2"/>
  <c r="BE142" i="2"/>
  <c r="BE126" i="2"/>
  <c r="BE107" i="2"/>
  <c r="BE90" i="2"/>
  <c r="BE73" i="2"/>
  <c r="BE56" i="2"/>
  <c r="BE40" i="2"/>
  <c r="BE23" i="2"/>
  <c r="BE158" i="2"/>
  <c r="BE139" i="2"/>
  <c r="BE122" i="2"/>
  <c r="BE105" i="2"/>
  <c r="BE88" i="2"/>
  <c r="BE72" i="2"/>
  <c r="BE55" i="2"/>
  <c r="BE38" i="2"/>
  <c r="BE19" i="2"/>
  <c r="BE137" i="2"/>
  <c r="BE94" i="2"/>
  <c r="BE50" i="2"/>
  <c r="BE136" i="2"/>
  <c r="BE87" i="2"/>
  <c r="BE41" i="2"/>
  <c r="BE127" i="2"/>
  <c r="BE83" i="2"/>
  <c r="BE34" i="2"/>
  <c r="BE169" i="2"/>
  <c r="BE120" i="2"/>
  <c r="BE75" i="2"/>
  <c r="BE33" i="2"/>
  <c r="BE161" i="2"/>
  <c r="BE119" i="2"/>
  <c r="BE70" i="2"/>
  <c r="BE24" i="2"/>
  <c r="BE154" i="2"/>
  <c r="BE110" i="2"/>
  <c r="BE66" i="2"/>
  <c r="BE18" i="2"/>
  <c r="BE104" i="2"/>
  <c r="BE102" i="2"/>
  <c r="BE58" i="2"/>
  <c r="BE51" i="2"/>
  <c r="BE16" i="2"/>
  <c r="BE152" i="2"/>
  <c r="BE144" i="2"/>
  <c r="R57" i="2"/>
  <c r="AM57" i="2"/>
  <c r="AY165" i="2"/>
  <c r="AY157" i="2"/>
  <c r="AY149" i="2"/>
  <c r="AY141" i="2"/>
  <c r="AY133" i="2"/>
  <c r="AY125" i="2"/>
  <c r="AY117" i="2"/>
  <c r="AY109" i="2"/>
  <c r="AY101" i="2"/>
  <c r="AY93" i="2"/>
  <c r="AY85" i="2"/>
  <c r="AY77" i="2"/>
  <c r="AY69" i="2"/>
  <c r="AY61" i="2"/>
  <c r="AY53" i="2"/>
  <c r="AY45" i="2"/>
  <c r="AY37" i="2"/>
  <c r="AY29" i="2"/>
  <c r="AY21" i="2"/>
  <c r="AY13" i="2"/>
  <c r="AY164" i="2"/>
  <c r="AY156" i="2"/>
  <c r="AY148" i="2"/>
  <c r="AY140" i="2"/>
  <c r="AY132" i="2"/>
  <c r="AY124" i="2"/>
  <c r="AY116" i="2"/>
  <c r="AY108" i="2"/>
  <c r="AY100" i="2"/>
  <c r="AY92" i="2"/>
  <c r="AY84" i="2"/>
  <c r="AY76" i="2"/>
  <c r="AY68" i="2"/>
  <c r="AY60" i="2"/>
  <c r="AY52" i="2"/>
  <c r="AY44" i="2"/>
  <c r="AY36" i="2"/>
  <c r="AY28" i="2"/>
  <c r="AY20" i="2"/>
  <c r="AY12" i="2"/>
  <c r="AY167" i="2"/>
  <c r="AY155" i="2"/>
  <c r="AY145" i="2"/>
  <c r="AY135" i="2"/>
  <c r="AY123" i="2"/>
  <c r="AY113" i="2"/>
  <c r="AY103" i="2"/>
  <c r="AY91" i="2"/>
  <c r="AY81" i="2"/>
  <c r="AY71" i="2"/>
  <c r="AY59" i="2"/>
  <c r="AY49" i="2"/>
  <c r="AY39" i="2"/>
  <c r="AY27" i="2"/>
  <c r="AY17" i="2"/>
  <c r="AY163" i="2"/>
  <c r="AY153" i="2"/>
  <c r="AY143" i="2"/>
  <c r="AY131" i="2"/>
  <c r="AY121" i="2"/>
  <c r="AY111" i="2"/>
  <c r="AY99" i="2"/>
  <c r="AY160" i="2"/>
  <c r="AY150" i="2"/>
  <c r="AY138" i="2"/>
  <c r="AY128" i="2"/>
  <c r="AY118" i="2"/>
  <c r="AY106" i="2"/>
  <c r="AY96" i="2"/>
  <c r="AY86" i="2"/>
  <c r="AY74" i="2"/>
  <c r="AY64" i="2"/>
  <c r="AY54" i="2"/>
  <c r="AY42" i="2"/>
  <c r="AY32" i="2"/>
  <c r="AY22" i="2"/>
  <c r="AY11" i="2"/>
  <c r="AY159" i="2"/>
  <c r="AY142" i="2"/>
  <c r="AY126" i="2"/>
  <c r="AY107" i="2"/>
  <c r="AY90" i="2"/>
  <c r="AY78" i="2"/>
  <c r="AY63" i="2"/>
  <c r="AY48" i="2"/>
  <c r="AY34" i="2"/>
  <c r="AY19" i="2"/>
  <c r="AY158" i="2"/>
  <c r="AY139" i="2"/>
  <c r="AY122" i="2"/>
  <c r="AY105" i="2"/>
  <c r="AY89" i="2"/>
  <c r="AY75" i="2"/>
  <c r="AY62" i="2"/>
  <c r="AY47" i="2"/>
  <c r="AY33" i="2"/>
  <c r="AY18" i="2"/>
  <c r="AY168" i="2"/>
  <c r="AY151" i="2"/>
  <c r="AY134" i="2"/>
  <c r="AY115" i="2"/>
  <c r="AY98" i="2"/>
  <c r="AY83" i="2"/>
  <c r="AY70" i="2"/>
  <c r="AY56" i="2"/>
  <c r="AY41" i="2"/>
  <c r="AY26" i="2"/>
  <c r="AY14" i="2"/>
  <c r="AY166" i="2"/>
  <c r="AY147" i="2"/>
  <c r="AY130" i="2"/>
  <c r="AY114" i="2"/>
  <c r="AY97" i="2"/>
  <c r="AY82" i="2"/>
  <c r="AY67" i="2"/>
  <c r="AY55" i="2"/>
  <c r="AY40" i="2"/>
  <c r="AY25" i="2"/>
  <c r="AY146" i="2"/>
  <c r="AY112" i="2"/>
  <c r="AY80" i="2"/>
  <c r="AY51" i="2"/>
  <c r="AY24" i="2"/>
  <c r="AY144" i="2"/>
  <c r="AY110" i="2"/>
  <c r="AY79" i="2"/>
  <c r="AY50" i="2"/>
  <c r="AY23" i="2"/>
  <c r="AY137" i="2"/>
  <c r="AY104" i="2"/>
  <c r="AY73" i="2"/>
  <c r="AY46" i="2"/>
  <c r="AY16" i="2"/>
  <c r="AY169" i="2"/>
  <c r="AY136" i="2"/>
  <c r="AY102" i="2"/>
  <c r="AY72" i="2"/>
  <c r="AY43" i="2"/>
  <c r="AY15" i="2"/>
  <c r="AY162" i="2"/>
  <c r="AY129" i="2"/>
  <c r="AY95" i="2"/>
  <c r="AY66" i="2"/>
  <c r="AY38" i="2"/>
  <c r="AY161" i="2"/>
  <c r="AY127" i="2"/>
  <c r="AY94" i="2"/>
  <c r="AY65" i="2"/>
  <c r="AY35" i="2"/>
  <c r="AY58" i="2"/>
  <c r="AY57" i="2"/>
  <c r="AY154" i="2"/>
  <c r="AY31" i="2"/>
  <c r="AY152" i="2"/>
  <c r="AY30" i="2"/>
  <c r="AY120" i="2"/>
  <c r="AY119" i="2"/>
  <c r="AY88" i="2"/>
  <c r="AY87" i="2"/>
  <c r="BH169" i="2"/>
  <c r="BH161" i="2"/>
  <c r="BH153" i="2"/>
  <c r="BH145" i="2"/>
  <c r="BH137" i="2"/>
  <c r="BH129" i="2"/>
  <c r="BH121" i="2"/>
  <c r="BH113" i="2"/>
  <c r="BH105" i="2"/>
  <c r="BH97" i="2"/>
  <c r="BH89" i="2"/>
  <c r="BH81" i="2"/>
  <c r="BH73" i="2"/>
  <c r="BH65" i="2"/>
  <c r="BH57" i="2"/>
  <c r="BH49" i="2"/>
  <c r="BH41" i="2"/>
  <c r="BH33" i="2"/>
  <c r="BH25" i="2"/>
  <c r="BH17" i="2"/>
  <c r="BH165" i="2"/>
  <c r="BH157" i="2"/>
  <c r="BH149" i="2"/>
  <c r="BH141" i="2"/>
  <c r="BH133" i="2"/>
  <c r="BH125" i="2"/>
  <c r="BH117" i="2"/>
  <c r="BH109" i="2"/>
  <c r="BH101" i="2"/>
  <c r="BH93" i="2"/>
  <c r="BH85" i="2"/>
  <c r="BH77" i="2"/>
  <c r="BH69" i="2"/>
  <c r="BH61" i="2"/>
  <c r="BH53" i="2"/>
  <c r="BH45" i="2"/>
  <c r="BH37" i="2"/>
  <c r="BH29" i="2"/>
  <c r="BH21" i="2"/>
  <c r="BH13" i="2"/>
  <c r="BH164" i="2"/>
  <c r="BH156" i="2"/>
  <c r="BH148" i="2"/>
  <c r="BH140" i="2"/>
  <c r="BH132" i="2"/>
  <c r="BH124" i="2"/>
  <c r="BH116" i="2"/>
  <c r="BH108" i="2"/>
  <c r="BH100" i="2"/>
  <c r="BH92" i="2"/>
  <c r="BH84" i="2"/>
  <c r="BH76" i="2"/>
  <c r="BH68" i="2"/>
  <c r="BH60" i="2"/>
  <c r="BH52" i="2"/>
  <c r="BH44" i="2"/>
  <c r="BH36" i="2"/>
  <c r="BH28" i="2"/>
  <c r="BH20" i="2"/>
  <c r="BH12" i="2"/>
  <c r="BH159" i="2"/>
  <c r="BH146" i="2"/>
  <c r="BH134" i="2"/>
  <c r="BH120" i="2"/>
  <c r="BH107" i="2"/>
  <c r="BH95" i="2"/>
  <c r="BH82" i="2"/>
  <c r="BH70" i="2"/>
  <c r="BH56" i="2"/>
  <c r="BH43" i="2"/>
  <c r="BH31" i="2"/>
  <c r="BH18" i="2"/>
  <c r="BH168" i="2"/>
  <c r="BH155" i="2"/>
  <c r="BH143" i="2"/>
  <c r="BH130" i="2"/>
  <c r="BH118" i="2"/>
  <c r="BH104" i="2"/>
  <c r="BH91" i="2"/>
  <c r="BH79" i="2"/>
  <c r="BH66" i="2"/>
  <c r="BH54" i="2"/>
  <c r="BH40" i="2"/>
  <c r="BH27" i="2"/>
  <c r="BH15" i="2"/>
  <c r="BH166" i="2"/>
  <c r="BH152" i="2"/>
  <c r="BH139" i="2"/>
  <c r="BH127" i="2"/>
  <c r="BH114" i="2"/>
  <c r="BH102" i="2"/>
  <c r="BH88" i="2"/>
  <c r="BH75" i="2"/>
  <c r="BH63" i="2"/>
  <c r="BH50" i="2"/>
  <c r="BH38" i="2"/>
  <c r="BH24" i="2"/>
  <c r="BH163" i="2"/>
  <c r="BH151" i="2"/>
  <c r="BH138" i="2"/>
  <c r="BH126" i="2"/>
  <c r="BH112" i="2"/>
  <c r="BH99" i="2"/>
  <c r="BH87" i="2"/>
  <c r="BH74" i="2"/>
  <c r="BH62" i="2"/>
  <c r="BH48" i="2"/>
  <c r="BH35" i="2"/>
  <c r="BH23" i="2"/>
  <c r="BH11" i="2"/>
  <c r="BH158" i="2"/>
  <c r="BH131" i="2"/>
  <c r="BH106" i="2"/>
  <c r="BH80" i="2"/>
  <c r="BH55" i="2"/>
  <c r="BH30" i="2"/>
  <c r="BH154" i="2"/>
  <c r="BH128" i="2"/>
  <c r="BH103" i="2"/>
  <c r="BH78" i="2"/>
  <c r="BH51" i="2"/>
  <c r="BH26" i="2"/>
  <c r="BH150" i="2"/>
  <c r="BH123" i="2"/>
  <c r="BH98" i="2"/>
  <c r="BH72" i="2"/>
  <c r="BH47" i="2"/>
  <c r="BH22" i="2"/>
  <c r="BH144" i="2"/>
  <c r="BH119" i="2"/>
  <c r="BH94" i="2"/>
  <c r="BH67" i="2"/>
  <c r="BH42" i="2"/>
  <c r="BH16" i="2"/>
  <c r="BH167" i="2"/>
  <c r="BH142" i="2"/>
  <c r="BH115" i="2"/>
  <c r="BH90" i="2"/>
  <c r="BH64" i="2"/>
  <c r="BH39" i="2"/>
  <c r="BH14" i="2"/>
  <c r="BH111" i="2"/>
  <c r="BH46" i="2"/>
  <c r="BH110" i="2"/>
  <c r="BH34" i="2"/>
  <c r="BH162" i="2"/>
  <c r="BH96" i="2"/>
  <c r="BH32" i="2"/>
  <c r="BH160" i="2"/>
  <c r="BH86" i="2"/>
  <c r="BH19" i="2"/>
  <c r="BH147" i="2"/>
  <c r="BH83" i="2"/>
  <c r="BH136" i="2"/>
  <c r="BH71" i="2"/>
  <c r="BH135" i="2"/>
  <c r="BH122" i="2"/>
  <c r="BH59" i="2"/>
  <c r="BH58" i="2"/>
  <c r="BX158" i="2"/>
  <c r="BX150" i="2"/>
  <c r="BX142" i="2"/>
  <c r="BX134" i="2"/>
  <c r="BX126" i="2"/>
  <c r="BX118" i="2"/>
  <c r="BX110" i="2"/>
  <c r="BX102" i="2"/>
  <c r="BX94" i="2"/>
  <c r="BX86" i="2"/>
  <c r="BX78" i="2"/>
  <c r="BX70" i="2"/>
  <c r="BX62" i="2"/>
  <c r="BX54" i="2"/>
  <c r="BX46" i="2"/>
  <c r="BX38" i="2"/>
  <c r="BX30" i="2"/>
  <c r="BY30" i="2" s="1" a="1"/>
  <c r="BY30" i="2" s="1"/>
  <c r="BX22" i="2"/>
  <c r="BY22" i="2" s="1" a="1"/>
  <c r="BY22" i="2" s="1"/>
  <c r="BX14" i="2"/>
  <c r="BY14" i="2" s="1" a="1"/>
  <c r="BY14" i="2" s="1"/>
  <c r="BX163" i="2"/>
  <c r="BX155" i="2"/>
  <c r="BX147" i="2"/>
  <c r="BY147" i="2" s="1" a="1"/>
  <c r="BY147" i="2" s="1"/>
  <c r="BZ147" i="2" s="1"/>
  <c r="BX139" i="2"/>
  <c r="BY139" i="2" s="1" a="1"/>
  <c r="BY139" i="2" s="1"/>
  <c r="BX131" i="2"/>
  <c r="BY131" i="2" s="1" a="1"/>
  <c r="BY131" i="2" s="1"/>
  <c r="BX123" i="2"/>
  <c r="BY123" i="2" s="1" a="1"/>
  <c r="BY123" i="2" s="1"/>
  <c r="BX115" i="2"/>
  <c r="BY115" i="2" s="1" a="1"/>
  <c r="BY115" i="2" s="1"/>
  <c r="BX107" i="2"/>
  <c r="BY107" i="2" s="1" a="1"/>
  <c r="BY107" i="2" s="1"/>
  <c r="BX99" i="2"/>
  <c r="BY99" i="2" s="1" a="1"/>
  <c r="BY99" i="2" s="1"/>
  <c r="BX91" i="2"/>
  <c r="BY91" i="2" s="1" a="1"/>
  <c r="BY91" i="2" s="1"/>
  <c r="BX83" i="2"/>
  <c r="BY83" i="2" s="1" a="1"/>
  <c r="BY83" i="2" s="1"/>
  <c r="BX75" i="2"/>
  <c r="BY75" i="2" s="1" a="1"/>
  <c r="BY75" i="2" s="1"/>
  <c r="BX67" i="2"/>
  <c r="BY67" i="2" s="1" a="1"/>
  <c r="BY67" i="2" s="1"/>
  <c r="BX59" i="2"/>
  <c r="BY59" i="2" s="1" a="1"/>
  <c r="BY59" i="2" s="1"/>
  <c r="BX51" i="2"/>
  <c r="BY51" i="2" s="1" a="1"/>
  <c r="BY51" i="2" s="1"/>
  <c r="BX43" i="2"/>
  <c r="BY43" i="2" s="1" a="1"/>
  <c r="BY43" i="2" s="1"/>
  <c r="BX35" i="2"/>
  <c r="BY35" i="2" s="1" a="1"/>
  <c r="BY35" i="2" s="1"/>
  <c r="BX27" i="2"/>
  <c r="BX19" i="2"/>
  <c r="BX11" i="2"/>
  <c r="BX162" i="2"/>
  <c r="BX154" i="2"/>
  <c r="BX146" i="2"/>
  <c r="BX138" i="2"/>
  <c r="BX130" i="2"/>
  <c r="BX122" i="2"/>
  <c r="BX114" i="2"/>
  <c r="BX106" i="2"/>
  <c r="BX98" i="2"/>
  <c r="BX90" i="2"/>
  <c r="BX82" i="2"/>
  <c r="BX74" i="2"/>
  <c r="BX66" i="2"/>
  <c r="BX58" i="2"/>
  <c r="BX50" i="2"/>
  <c r="BX42" i="2"/>
  <c r="BX34" i="2"/>
  <c r="BX26" i="2"/>
  <c r="BY26" i="2" s="1" a="1"/>
  <c r="BY26" i="2" s="1"/>
  <c r="BX18" i="2"/>
  <c r="BY18" i="2" s="1" a="1"/>
  <c r="BY18" i="2" s="1"/>
  <c r="BX10" i="2"/>
  <c r="BY10" i="2" s="1" a="1"/>
  <c r="BY10" i="2" s="1"/>
  <c r="BX160" i="2"/>
  <c r="BX148" i="2"/>
  <c r="BX135" i="2"/>
  <c r="BY135" i="2" s="1" a="1"/>
  <c r="BY135" i="2" s="1"/>
  <c r="BX121" i="2"/>
  <c r="BY121" i="2" s="1" a="1"/>
  <c r="BY121" i="2" s="1"/>
  <c r="BX109" i="2"/>
  <c r="BY109" i="2" s="1" a="1"/>
  <c r="BY109" i="2" s="1"/>
  <c r="BX96" i="2"/>
  <c r="BX84" i="2"/>
  <c r="BX71" i="2"/>
  <c r="BY71" i="2" s="1" a="1"/>
  <c r="BY71" i="2" s="1"/>
  <c r="BX57" i="2"/>
  <c r="BY57" i="2" s="1" a="1"/>
  <c r="BY57" i="2" s="1"/>
  <c r="BX45" i="2"/>
  <c r="BY45" i="2" s="1" a="1"/>
  <c r="BY45" i="2" s="1"/>
  <c r="BX32" i="2"/>
  <c r="BX20" i="2"/>
  <c r="BY20" i="2" s="1" a="1"/>
  <c r="BY20" i="2" s="1"/>
  <c r="BX7" i="2"/>
  <c r="BX159" i="2"/>
  <c r="BX145" i="2"/>
  <c r="BY145" i="2" s="1" a="1"/>
  <c r="BY145" i="2" s="1"/>
  <c r="BX133" i="2"/>
  <c r="BY133" i="2" s="1" a="1"/>
  <c r="BY133" i="2" s="1"/>
  <c r="BX120" i="2"/>
  <c r="BX108" i="2"/>
  <c r="BX95" i="2"/>
  <c r="BY95" i="2" s="1" a="1"/>
  <c r="BY95" i="2" s="1"/>
  <c r="BX81" i="2"/>
  <c r="BY81" i="2" s="1" a="1"/>
  <c r="BY81" i="2" s="1"/>
  <c r="BX69" i="2"/>
  <c r="BY69" i="2" s="1" a="1"/>
  <c r="BY69" i="2" s="1"/>
  <c r="BX56" i="2"/>
  <c r="BX44" i="2"/>
  <c r="BX31" i="2"/>
  <c r="BX17" i="2"/>
  <c r="BX6" i="2"/>
  <c r="BY6" i="2" s="1" a="1"/>
  <c r="BY6" i="2" s="1"/>
  <c r="BX156" i="2"/>
  <c r="BX143" i="2"/>
  <c r="BY143" i="2" s="1" a="1"/>
  <c r="BY143" i="2" s="1"/>
  <c r="BX129" i="2"/>
  <c r="BY129" i="2" s="1" a="1"/>
  <c r="BY129" i="2" s="1"/>
  <c r="BX117" i="2"/>
  <c r="BY117" i="2" s="1" a="1"/>
  <c r="BY117" i="2" s="1"/>
  <c r="BX104" i="2"/>
  <c r="BX92" i="2"/>
  <c r="BX79" i="2"/>
  <c r="BY79" i="2" s="1" a="1"/>
  <c r="BY79" i="2" s="1"/>
  <c r="BX65" i="2"/>
  <c r="BY65" i="2" s="1" a="1"/>
  <c r="BY65" i="2" s="1"/>
  <c r="BX53" i="2"/>
  <c r="BY53" i="2" s="1" a="1"/>
  <c r="BY53" i="2" s="1"/>
  <c r="BX40" i="2"/>
  <c r="BX28" i="2"/>
  <c r="BY28" i="2" s="1" a="1"/>
  <c r="BY28" i="2" s="1"/>
  <c r="BX15" i="2"/>
  <c r="BX164" i="2"/>
  <c r="BX151" i="2"/>
  <c r="BX137" i="2"/>
  <c r="BY137" i="2" s="1" a="1"/>
  <c r="BY137" i="2" s="1"/>
  <c r="BX125" i="2"/>
  <c r="BY125" i="2" s="1" a="1"/>
  <c r="BY125" i="2" s="1"/>
  <c r="BX112" i="2"/>
  <c r="BX100" i="2"/>
  <c r="BX87" i="2"/>
  <c r="BY87" i="2" s="1" a="1"/>
  <c r="BY87" i="2" s="1"/>
  <c r="BX73" i="2"/>
  <c r="BY73" i="2" s="1" a="1"/>
  <c r="BY73" i="2" s="1"/>
  <c r="BX61" i="2"/>
  <c r="BY61" i="2" s="1" a="1"/>
  <c r="BY61" i="2" s="1"/>
  <c r="BX48" i="2"/>
  <c r="BX36" i="2"/>
  <c r="BX23" i="2"/>
  <c r="BX9" i="2"/>
  <c r="BX153" i="2"/>
  <c r="BX141" i="2"/>
  <c r="BY141" i="2" s="1" a="1"/>
  <c r="BY141" i="2" s="1"/>
  <c r="BX128" i="2"/>
  <c r="BX116" i="2"/>
  <c r="BX103" i="2"/>
  <c r="BY103" i="2" s="1" a="1"/>
  <c r="BY103" i="2" s="1"/>
  <c r="BX89" i="2"/>
  <c r="BY89" i="2" s="1" a="1"/>
  <c r="BY89" i="2" s="1"/>
  <c r="BX77" i="2"/>
  <c r="BY77" i="2" s="1" a="1"/>
  <c r="BY77" i="2" s="1"/>
  <c r="BX64" i="2"/>
  <c r="BX52" i="2"/>
  <c r="BX39" i="2"/>
  <c r="BY39" i="2" s="1" a="1"/>
  <c r="BY39" i="2" s="1"/>
  <c r="BX25" i="2"/>
  <c r="BX13" i="2"/>
  <c r="BX152" i="2"/>
  <c r="BX140" i="2"/>
  <c r="BX127" i="2"/>
  <c r="BY127" i="2" s="1" a="1"/>
  <c r="BY127" i="2" s="1"/>
  <c r="BX113" i="2"/>
  <c r="BY113" i="2" s="1" a="1"/>
  <c r="BY113" i="2" s="1"/>
  <c r="BX101" i="2"/>
  <c r="BY101" i="2" s="1" a="1"/>
  <c r="BY101" i="2" s="1"/>
  <c r="BX88" i="2"/>
  <c r="BX76" i="2"/>
  <c r="BX63" i="2"/>
  <c r="BY63" i="2" s="1" a="1"/>
  <c r="BY63" i="2" s="1"/>
  <c r="BX49" i="2"/>
  <c r="BY49" i="2" s="1" a="1"/>
  <c r="BY49" i="2" s="1"/>
  <c r="BX37" i="2"/>
  <c r="BY37" i="2" s="1" a="1"/>
  <c r="BY37" i="2" s="1"/>
  <c r="BX24" i="2"/>
  <c r="BY24" i="2" s="1" a="1"/>
  <c r="BY24" i="2" s="1"/>
  <c r="BX12" i="2"/>
  <c r="BY12" i="2" s="1" a="1"/>
  <c r="BY12" i="2" s="1"/>
  <c r="BX144" i="2"/>
  <c r="BX93" i="2"/>
  <c r="BY93" i="2" s="1" a="1"/>
  <c r="BY93" i="2" s="1"/>
  <c r="BX41" i="2"/>
  <c r="BY41" i="2" s="1" a="1"/>
  <c r="BY41" i="2" s="1"/>
  <c r="BX124" i="2"/>
  <c r="BX72" i="2"/>
  <c r="BX21" i="2"/>
  <c r="BX136" i="2"/>
  <c r="BX85" i="2"/>
  <c r="BY85" i="2" s="1" a="1"/>
  <c r="BY85" i="2" s="1"/>
  <c r="BX33" i="2"/>
  <c r="BY33" i="2" s="1" a="1"/>
  <c r="BY33" i="2" s="1"/>
  <c r="BX132" i="2"/>
  <c r="BX80" i="2"/>
  <c r="BX29" i="2"/>
  <c r="BX119" i="2"/>
  <c r="BY119" i="2" s="1" a="1"/>
  <c r="BY119" i="2" s="1"/>
  <c r="BX68" i="2"/>
  <c r="BX16" i="2"/>
  <c r="BY16" i="2" s="1" a="1"/>
  <c r="BY16" i="2" s="1"/>
  <c r="BX157" i="2"/>
  <c r="BX105" i="2"/>
  <c r="BY105" i="2" s="1" a="1"/>
  <c r="BY105" i="2" s="1"/>
  <c r="BX55" i="2"/>
  <c r="BY55" i="2" s="1" a="1"/>
  <c r="BY55" i="2" s="1"/>
  <c r="BX149" i="2"/>
  <c r="BX97" i="2"/>
  <c r="BY97" i="2" s="1" a="1"/>
  <c r="BY97" i="2" s="1"/>
  <c r="BX47" i="2"/>
  <c r="BY47" i="2" s="1" a="1"/>
  <c r="BY47" i="2" s="1"/>
  <c r="BX161" i="2"/>
  <c r="BX111" i="2"/>
  <c r="BY111" i="2" s="1" a="1"/>
  <c r="BY111" i="2" s="1"/>
  <c r="BX60" i="2"/>
  <c r="BX8" i="2"/>
  <c r="BY8" i="2" s="1" a="1"/>
  <c r="BY8" i="2" s="1"/>
  <c r="AO43" i="2"/>
  <c r="AP43" i="2" s="1"/>
  <c r="V43" i="2"/>
  <c r="AM47" i="2"/>
  <c r="R47" i="2"/>
  <c r="AN33" i="2"/>
  <c r="T33" i="2"/>
  <c r="AM119" i="2"/>
  <c r="R119" i="2"/>
  <c r="R107" i="2"/>
  <c r="AM107" i="2"/>
  <c r="AM81" i="2"/>
  <c r="R81" i="2"/>
  <c r="AM8" i="2"/>
  <c r="R8" i="2"/>
  <c r="T115" i="2"/>
  <c r="AN115" i="2"/>
  <c r="AM145" i="2"/>
  <c r="R145" i="2"/>
  <c r="AM28" i="2"/>
  <c r="R28" i="2"/>
  <c r="AM135" i="2"/>
  <c r="R135" i="2"/>
  <c r="BG169" i="2"/>
  <c r="BG161" i="2"/>
  <c r="BG153" i="2"/>
  <c r="BG145" i="2"/>
  <c r="BG137" i="2"/>
  <c r="BG129" i="2"/>
  <c r="BG121" i="2"/>
  <c r="BG113" i="2"/>
  <c r="BG165" i="2"/>
  <c r="BG157" i="2"/>
  <c r="BG149" i="2"/>
  <c r="BG141" i="2"/>
  <c r="BG133" i="2"/>
  <c r="BG125" i="2"/>
  <c r="BG117" i="2"/>
  <c r="BG109" i="2"/>
  <c r="BG101" i="2"/>
  <c r="BG93" i="2"/>
  <c r="BG85" i="2"/>
  <c r="BG77" i="2"/>
  <c r="BG69" i="2"/>
  <c r="BG61" i="2"/>
  <c r="BG53" i="2"/>
  <c r="BG45" i="2"/>
  <c r="BG37" i="2"/>
  <c r="BG29" i="2"/>
  <c r="BG21" i="2"/>
  <c r="BG13" i="2"/>
  <c r="BG164" i="2"/>
  <c r="BG156" i="2"/>
  <c r="BG148" i="2"/>
  <c r="BG140" i="2"/>
  <c r="BG132" i="2"/>
  <c r="BG124" i="2"/>
  <c r="BG116" i="2"/>
  <c r="BG108" i="2"/>
  <c r="BG100" i="2"/>
  <c r="BG92" i="2"/>
  <c r="BG84" i="2"/>
  <c r="BG76" i="2"/>
  <c r="BG68" i="2"/>
  <c r="BG60" i="2"/>
  <c r="BG52" i="2"/>
  <c r="BG44" i="2"/>
  <c r="BG36" i="2"/>
  <c r="BG28" i="2"/>
  <c r="BG20" i="2"/>
  <c r="BG12" i="2"/>
  <c r="BG166" i="2"/>
  <c r="BG152" i="2"/>
  <c r="BG139" i="2"/>
  <c r="BG127" i="2"/>
  <c r="BG114" i="2"/>
  <c r="BG103" i="2"/>
  <c r="BG91" i="2"/>
  <c r="BG81" i="2"/>
  <c r="BG71" i="2"/>
  <c r="BG59" i="2"/>
  <c r="BG49" i="2"/>
  <c r="BG39" i="2"/>
  <c r="BG27" i="2"/>
  <c r="BG17" i="2"/>
  <c r="BG162" i="2"/>
  <c r="BG150" i="2"/>
  <c r="BG136" i="2"/>
  <c r="BG123" i="2"/>
  <c r="BG111" i="2"/>
  <c r="BG99" i="2"/>
  <c r="BG89" i="2"/>
  <c r="BG79" i="2"/>
  <c r="BG67" i="2"/>
  <c r="BG57" i="2"/>
  <c r="BG47" i="2"/>
  <c r="BG35" i="2"/>
  <c r="BG25" i="2"/>
  <c r="BG15" i="2"/>
  <c r="BG158" i="2"/>
  <c r="BG144" i="2"/>
  <c r="BG131" i="2"/>
  <c r="BG119" i="2"/>
  <c r="BG106" i="2"/>
  <c r="BG96" i="2"/>
  <c r="BG86" i="2"/>
  <c r="BG74" i="2"/>
  <c r="BG64" i="2"/>
  <c r="BG54" i="2"/>
  <c r="BG42" i="2"/>
  <c r="BG32" i="2"/>
  <c r="BG22" i="2"/>
  <c r="BG11" i="2"/>
  <c r="BG163" i="2"/>
  <c r="BG143" i="2"/>
  <c r="BG122" i="2"/>
  <c r="BG104" i="2"/>
  <c r="BG87" i="2"/>
  <c r="BG70" i="2"/>
  <c r="BG51" i="2"/>
  <c r="BG34" i="2"/>
  <c r="BG18" i="2"/>
  <c r="BG160" i="2"/>
  <c r="BG142" i="2"/>
  <c r="BG120" i="2"/>
  <c r="BG102" i="2"/>
  <c r="BG83" i="2"/>
  <c r="BG66" i="2"/>
  <c r="BG50" i="2"/>
  <c r="BG33" i="2"/>
  <c r="BG16" i="2"/>
  <c r="BG159" i="2"/>
  <c r="BG138" i="2"/>
  <c r="BG118" i="2"/>
  <c r="BG98" i="2"/>
  <c r="BG82" i="2"/>
  <c r="BG65" i="2"/>
  <c r="BG48" i="2"/>
  <c r="BG31" i="2"/>
  <c r="BG14" i="2"/>
  <c r="BG154" i="2"/>
  <c r="BG134" i="2"/>
  <c r="BG112" i="2"/>
  <c r="BG95" i="2"/>
  <c r="BG78" i="2"/>
  <c r="BG62" i="2"/>
  <c r="BG43" i="2"/>
  <c r="BG26" i="2"/>
  <c r="BG151" i="2"/>
  <c r="BG130" i="2"/>
  <c r="BG110" i="2"/>
  <c r="BG94" i="2"/>
  <c r="BG75" i="2"/>
  <c r="BG58" i="2"/>
  <c r="BG41" i="2"/>
  <c r="BG24" i="2"/>
  <c r="BG146" i="2"/>
  <c r="BG90" i="2"/>
  <c r="BG46" i="2"/>
  <c r="BG135" i="2"/>
  <c r="BG88" i="2"/>
  <c r="BG40" i="2"/>
  <c r="BG128" i="2"/>
  <c r="BG80" i="2"/>
  <c r="BG38" i="2"/>
  <c r="BG126" i="2"/>
  <c r="BG73" i="2"/>
  <c r="BG30" i="2"/>
  <c r="BG168" i="2"/>
  <c r="BG115" i="2"/>
  <c r="BG72" i="2"/>
  <c r="BG23" i="2"/>
  <c r="BG167" i="2"/>
  <c r="BG107" i="2"/>
  <c r="BG63" i="2"/>
  <c r="BG19" i="2"/>
  <c r="BG155" i="2"/>
  <c r="BG147" i="2"/>
  <c r="BG105" i="2"/>
  <c r="BG97" i="2"/>
  <c r="BG56" i="2"/>
  <c r="BG55" i="2"/>
  <c r="AN137" i="2"/>
  <c r="T137" i="2"/>
  <c r="BS157" i="2"/>
  <c r="BS149" i="2"/>
  <c r="BS141" i="2"/>
  <c r="BT141" i="2" s="1"/>
  <c r="BT142" i="2" s="1"/>
  <c r="BS133" i="2"/>
  <c r="BT133" i="2" s="1"/>
  <c r="BT134" i="2" s="1"/>
  <c r="BS125" i="2"/>
  <c r="BT125" i="2" s="1"/>
  <c r="BT126" i="2" s="1"/>
  <c r="BS117" i="2"/>
  <c r="BT117" i="2" s="1"/>
  <c r="BT118" i="2" s="1"/>
  <c r="BS109" i="2"/>
  <c r="BT109" i="2" s="1"/>
  <c r="BT110" i="2" s="1"/>
  <c r="BS101" i="2"/>
  <c r="BT101" i="2" s="1"/>
  <c r="BT102" i="2" s="1"/>
  <c r="BS93" i="2"/>
  <c r="BT93" i="2" s="1"/>
  <c r="BT94" i="2" s="1"/>
  <c r="BS85" i="2"/>
  <c r="BT85" i="2" s="1"/>
  <c r="BT86" i="2" s="1"/>
  <c r="BS77" i="2"/>
  <c r="BT77" i="2" s="1"/>
  <c r="BT78" i="2" s="1"/>
  <c r="BS69" i="2"/>
  <c r="BT69" i="2" s="1"/>
  <c r="BT70" i="2" s="1"/>
  <c r="BS61" i="2"/>
  <c r="BT61" i="2" s="1"/>
  <c r="BT62" i="2" s="1"/>
  <c r="BS53" i="2"/>
  <c r="BT53" i="2" s="1"/>
  <c r="BT54" i="2" s="1"/>
  <c r="BS45" i="2"/>
  <c r="BT45" i="2" s="1"/>
  <c r="BT46" i="2" s="1"/>
  <c r="BS37" i="2"/>
  <c r="BT37" i="2" s="1"/>
  <c r="BT38" i="2" s="1"/>
  <c r="BS29" i="2"/>
  <c r="BS21" i="2"/>
  <c r="BS13" i="2"/>
  <c r="BS6" i="2"/>
  <c r="BT6" i="2" s="1"/>
  <c r="BS164" i="2"/>
  <c r="BS156" i="2"/>
  <c r="BS148" i="2"/>
  <c r="BS140" i="2"/>
  <c r="BS132" i="2"/>
  <c r="BS124" i="2"/>
  <c r="BS116" i="2"/>
  <c r="BS108" i="2"/>
  <c r="BS100" i="2"/>
  <c r="BS92" i="2"/>
  <c r="BS84" i="2"/>
  <c r="BS76" i="2"/>
  <c r="BS68" i="2"/>
  <c r="BS60" i="2"/>
  <c r="BS52" i="2"/>
  <c r="BS44" i="2"/>
  <c r="BS36" i="2"/>
  <c r="BS28" i="2"/>
  <c r="BT28" i="2" s="1"/>
  <c r="BT29" i="2" s="1"/>
  <c r="BS20" i="2"/>
  <c r="BT20" i="2" s="1"/>
  <c r="BT21" i="2" s="1"/>
  <c r="BS12" i="2"/>
  <c r="BT12" i="2" s="1"/>
  <c r="BT13" i="2" s="1"/>
  <c r="BS162" i="2"/>
  <c r="BS152" i="2"/>
  <c r="BS142" i="2"/>
  <c r="BS130" i="2"/>
  <c r="BS120" i="2"/>
  <c r="BS110" i="2"/>
  <c r="BS98" i="2"/>
  <c r="BS88" i="2"/>
  <c r="BS78" i="2"/>
  <c r="BS66" i="2"/>
  <c r="BS56" i="2"/>
  <c r="BS46" i="2"/>
  <c r="BS34" i="2"/>
  <c r="BS24" i="2"/>
  <c r="BT24" i="2" s="1"/>
  <c r="BT25" i="2" s="1"/>
  <c r="BS14" i="2"/>
  <c r="BT14" i="2" s="1"/>
  <c r="BT15" i="2" s="1"/>
  <c r="BS161" i="2"/>
  <c r="BS151" i="2"/>
  <c r="BS139" i="2"/>
  <c r="BT139" i="2" s="1"/>
  <c r="BT140" i="2" s="1"/>
  <c r="BS129" i="2"/>
  <c r="BT129" i="2" s="1"/>
  <c r="BT130" i="2" s="1"/>
  <c r="BS119" i="2"/>
  <c r="BT119" i="2" s="1"/>
  <c r="BT120" i="2" s="1"/>
  <c r="BS107" i="2"/>
  <c r="BT107" i="2" s="1"/>
  <c r="BT108" i="2" s="1"/>
  <c r="BS97" i="2"/>
  <c r="BT97" i="2" s="1"/>
  <c r="BT98" i="2" s="1"/>
  <c r="BS87" i="2"/>
  <c r="BT87" i="2" s="1"/>
  <c r="BT88" i="2" s="1"/>
  <c r="BS75" i="2"/>
  <c r="BT75" i="2" s="1"/>
  <c r="BT76" i="2" s="1"/>
  <c r="BS65" i="2"/>
  <c r="BT65" i="2" s="1"/>
  <c r="BT66" i="2" s="1"/>
  <c r="BS55" i="2"/>
  <c r="BT55" i="2" s="1"/>
  <c r="BT56" i="2" s="1"/>
  <c r="BS43" i="2"/>
  <c r="BT43" i="2" s="1"/>
  <c r="BT44" i="2" s="1"/>
  <c r="BS33" i="2"/>
  <c r="BT33" i="2" s="1"/>
  <c r="BT34" i="2" s="1"/>
  <c r="BS23" i="2"/>
  <c r="BS11" i="2"/>
  <c r="BS159" i="2"/>
  <c r="BS147" i="2"/>
  <c r="BT147" i="2" s="1"/>
  <c r="BS137" i="2"/>
  <c r="BT137" i="2" s="1"/>
  <c r="BT138" i="2" s="1"/>
  <c r="BS127" i="2"/>
  <c r="BT127" i="2" s="1"/>
  <c r="BT128" i="2" s="1"/>
  <c r="BS115" i="2"/>
  <c r="BT115" i="2" s="1"/>
  <c r="BT116" i="2" s="1"/>
  <c r="BS105" i="2"/>
  <c r="BT105" i="2" s="1"/>
  <c r="BT106" i="2" s="1"/>
  <c r="BS95" i="2"/>
  <c r="BT95" i="2" s="1"/>
  <c r="BT96" i="2" s="1"/>
  <c r="BS83" i="2"/>
  <c r="BT83" i="2" s="1"/>
  <c r="BT84" i="2" s="1"/>
  <c r="BS73" i="2"/>
  <c r="BT73" i="2" s="1"/>
  <c r="BT74" i="2" s="1"/>
  <c r="BS63" i="2"/>
  <c r="BT63" i="2" s="1"/>
  <c r="BT64" i="2" s="1"/>
  <c r="BS51" i="2"/>
  <c r="BT51" i="2" s="1"/>
  <c r="BT52" i="2" s="1"/>
  <c r="BS41" i="2"/>
  <c r="BT41" i="2" s="1"/>
  <c r="BT42" i="2" s="1"/>
  <c r="BS31" i="2"/>
  <c r="BS19" i="2"/>
  <c r="BS9" i="2"/>
  <c r="BS158" i="2"/>
  <c r="BS146" i="2"/>
  <c r="BS136" i="2"/>
  <c r="BS126" i="2"/>
  <c r="BS114" i="2"/>
  <c r="BS104" i="2"/>
  <c r="BS94" i="2"/>
  <c r="BS82" i="2"/>
  <c r="BS72" i="2"/>
  <c r="BS62" i="2"/>
  <c r="BS50" i="2"/>
  <c r="BS40" i="2"/>
  <c r="BS30" i="2"/>
  <c r="BT30" i="2" s="1"/>
  <c r="BT31" i="2" s="1"/>
  <c r="BS18" i="2"/>
  <c r="BT18" i="2" s="1"/>
  <c r="BT19" i="2" s="1"/>
  <c r="BS8" i="2"/>
  <c r="BT8" i="2" s="1"/>
  <c r="BT9" i="2" s="1"/>
  <c r="BS155" i="2"/>
  <c r="BS145" i="2"/>
  <c r="BT145" i="2" s="1"/>
  <c r="BT146" i="2" s="1"/>
  <c r="BS135" i="2"/>
  <c r="BT135" i="2" s="1"/>
  <c r="BT136" i="2" s="1"/>
  <c r="BS123" i="2"/>
  <c r="BT123" i="2" s="1"/>
  <c r="BT124" i="2" s="1"/>
  <c r="BS113" i="2"/>
  <c r="BT113" i="2" s="1"/>
  <c r="BT114" i="2" s="1"/>
  <c r="BS103" i="2"/>
  <c r="BT103" i="2" s="1"/>
  <c r="BT104" i="2" s="1"/>
  <c r="BS91" i="2"/>
  <c r="BT91" i="2" s="1"/>
  <c r="BT92" i="2" s="1"/>
  <c r="BS81" i="2"/>
  <c r="BT81" i="2" s="1"/>
  <c r="BT82" i="2" s="1"/>
  <c r="BS71" i="2"/>
  <c r="BT71" i="2" s="1"/>
  <c r="BT72" i="2" s="1"/>
  <c r="BS59" i="2"/>
  <c r="BT59" i="2" s="1"/>
  <c r="BT60" i="2" s="1"/>
  <c r="BS49" i="2"/>
  <c r="BT49" i="2" s="1"/>
  <c r="BT50" i="2" s="1"/>
  <c r="BS39" i="2"/>
  <c r="BT39" i="2" s="1"/>
  <c r="BT40" i="2" s="1"/>
  <c r="BS27" i="2"/>
  <c r="BS17" i="2"/>
  <c r="BS7" i="2"/>
  <c r="BS138" i="2"/>
  <c r="BS111" i="2"/>
  <c r="BT111" i="2" s="1"/>
  <c r="BT112" i="2" s="1"/>
  <c r="BS80" i="2"/>
  <c r="BS54" i="2"/>
  <c r="BS25" i="2"/>
  <c r="BS154" i="2"/>
  <c r="BS128" i="2"/>
  <c r="BS99" i="2"/>
  <c r="BT99" i="2" s="1"/>
  <c r="BT100" i="2" s="1"/>
  <c r="BS70" i="2"/>
  <c r="BS42" i="2"/>
  <c r="BS15" i="2"/>
  <c r="BS163" i="2"/>
  <c r="BS134" i="2"/>
  <c r="BS106" i="2"/>
  <c r="BS79" i="2"/>
  <c r="BT79" i="2" s="1"/>
  <c r="BT80" i="2" s="1"/>
  <c r="BS48" i="2"/>
  <c r="BS22" i="2"/>
  <c r="BT22" i="2" s="1"/>
  <c r="BT23" i="2" s="1"/>
  <c r="BS57" i="2"/>
  <c r="BT57" i="2" s="1"/>
  <c r="BT58" i="2" s="1"/>
  <c r="BS160" i="2"/>
  <c r="BS131" i="2"/>
  <c r="BT131" i="2" s="1"/>
  <c r="BT132" i="2" s="1"/>
  <c r="BS102" i="2"/>
  <c r="BS74" i="2"/>
  <c r="BS47" i="2"/>
  <c r="BT47" i="2" s="1"/>
  <c r="BT48" i="2" s="1"/>
  <c r="BS16" i="2"/>
  <c r="BT16" i="2" s="1"/>
  <c r="BT17" i="2" s="1"/>
  <c r="BS153" i="2"/>
  <c r="BS122" i="2"/>
  <c r="BS96" i="2"/>
  <c r="BS67" i="2"/>
  <c r="BT67" i="2" s="1"/>
  <c r="BT68" i="2" s="1"/>
  <c r="BS38" i="2"/>
  <c r="BS10" i="2"/>
  <c r="BT10" i="2" s="1"/>
  <c r="BT11" i="2" s="1"/>
  <c r="BS144" i="2"/>
  <c r="BS118" i="2"/>
  <c r="BS89" i="2"/>
  <c r="BT89" i="2" s="1"/>
  <c r="BT90" i="2" s="1"/>
  <c r="BS58" i="2"/>
  <c r="BS32" i="2"/>
  <c r="BS143" i="2"/>
  <c r="BT143" i="2" s="1"/>
  <c r="BT144" i="2" s="1"/>
  <c r="BS112" i="2"/>
  <c r="BS86" i="2"/>
  <c r="BS26" i="2"/>
  <c r="BT26" i="2" s="1"/>
  <c r="BT27" i="2" s="1"/>
  <c r="BS150" i="2"/>
  <c r="BS121" i="2"/>
  <c r="BT121" i="2" s="1"/>
  <c r="BT122" i="2" s="1"/>
  <c r="BS90" i="2"/>
  <c r="BS64" i="2"/>
  <c r="BS35" i="2"/>
  <c r="BT35" i="2" s="1"/>
  <c r="BT36" i="2" s="1"/>
  <c r="AM133" i="2"/>
  <c r="R133" i="2"/>
  <c r="AM109" i="2"/>
  <c r="R109" i="2"/>
  <c r="AM67" i="2"/>
  <c r="R67" i="2"/>
  <c r="AN16" i="2"/>
  <c r="T16" i="2"/>
  <c r="R121" i="2"/>
  <c r="AM121" i="2"/>
  <c r="AN30" i="2"/>
  <c r="T30" i="2"/>
  <c r="AM87" i="2"/>
  <c r="R87" i="2"/>
  <c r="T105" i="2"/>
  <c r="AN105" i="2"/>
  <c r="AN35" i="2"/>
  <c r="T35" i="2"/>
  <c r="R53" i="2"/>
  <c r="AM53" i="2"/>
  <c r="R99" i="2"/>
  <c r="AM99" i="2"/>
  <c r="AM22" i="2"/>
  <c r="R22" i="2"/>
  <c r="AM73" i="2"/>
  <c r="R73" i="2"/>
  <c r="AM20" i="2"/>
  <c r="R20" i="2"/>
  <c r="AR43" i="2"/>
  <c r="AN61" i="2"/>
  <c r="T61" i="2"/>
  <c r="R123" i="2"/>
  <c r="AM123" i="2"/>
  <c r="AM131" i="2"/>
  <c r="R131" i="2"/>
  <c r="T117" i="2"/>
  <c r="AN117" i="2"/>
  <c r="AN85" i="2"/>
  <c r="T85" i="2"/>
  <c r="AM65" i="2"/>
  <c r="R65" i="2"/>
  <c r="AM91" i="2"/>
  <c r="R91" i="2"/>
  <c r="AN37" i="2"/>
  <c r="T37" i="2"/>
  <c r="BC165" i="2"/>
  <c r="BC157" i="2"/>
  <c r="BC149" i="2"/>
  <c r="BC141" i="2"/>
  <c r="BC133" i="2"/>
  <c r="BC125" i="2"/>
  <c r="BC117" i="2"/>
  <c r="BC109" i="2"/>
  <c r="BC101" i="2"/>
  <c r="BC93" i="2"/>
  <c r="BC85" i="2"/>
  <c r="BC77" i="2"/>
  <c r="BC69" i="2"/>
  <c r="BC61" i="2"/>
  <c r="BC53" i="2"/>
  <c r="BC45" i="2"/>
  <c r="BC37" i="2"/>
  <c r="BC29" i="2"/>
  <c r="BC21" i="2"/>
  <c r="BC13" i="2"/>
  <c r="BC164" i="2"/>
  <c r="BC156" i="2"/>
  <c r="BC148" i="2"/>
  <c r="BC140" i="2"/>
  <c r="BC132" i="2"/>
  <c r="BC124" i="2"/>
  <c r="BC116" i="2"/>
  <c r="BC108" i="2"/>
  <c r="BC100" i="2"/>
  <c r="BC92" i="2"/>
  <c r="BC84" i="2"/>
  <c r="BC76" i="2"/>
  <c r="BC68" i="2"/>
  <c r="BC60" i="2"/>
  <c r="BC52" i="2"/>
  <c r="BC44" i="2"/>
  <c r="BC36" i="2"/>
  <c r="BC28" i="2"/>
  <c r="BC20" i="2"/>
  <c r="BC12" i="2"/>
  <c r="BC167" i="2"/>
  <c r="BC155" i="2"/>
  <c r="BC145" i="2"/>
  <c r="BC135" i="2"/>
  <c r="BC123" i="2"/>
  <c r="BC113" i="2"/>
  <c r="BC103" i="2"/>
  <c r="BC91" i="2"/>
  <c r="BC81" i="2"/>
  <c r="BC71" i="2"/>
  <c r="BC59" i="2"/>
  <c r="BC49" i="2"/>
  <c r="BC39" i="2"/>
  <c r="BC27" i="2"/>
  <c r="BC17" i="2"/>
  <c r="BC163" i="2"/>
  <c r="BC153" i="2"/>
  <c r="BC143" i="2"/>
  <c r="BC131" i="2"/>
  <c r="BC121" i="2"/>
  <c r="BC111" i="2"/>
  <c r="BC99" i="2"/>
  <c r="BC89" i="2"/>
  <c r="BC79" i="2"/>
  <c r="BC67" i="2"/>
  <c r="BC57" i="2"/>
  <c r="BC47" i="2"/>
  <c r="BC35" i="2"/>
  <c r="BC25" i="2"/>
  <c r="BC15" i="2"/>
  <c r="BC160" i="2"/>
  <c r="BC150" i="2"/>
  <c r="BC138" i="2"/>
  <c r="BC128" i="2"/>
  <c r="BC118" i="2"/>
  <c r="BC106" i="2"/>
  <c r="BC96" i="2"/>
  <c r="BC86" i="2"/>
  <c r="BC74" i="2"/>
  <c r="BC64" i="2"/>
  <c r="BC54" i="2"/>
  <c r="BC42" i="2"/>
  <c r="BC32" i="2"/>
  <c r="BC22" i="2"/>
  <c r="BC11" i="2"/>
  <c r="BC162" i="2"/>
  <c r="BC146" i="2"/>
  <c r="BC129" i="2"/>
  <c r="BC112" i="2"/>
  <c r="BC95" i="2"/>
  <c r="BC78" i="2"/>
  <c r="BC62" i="2"/>
  <c r="BC43" i="2"/>
  <c r="BC26" i="2"/>
  <c r="BC161" i="2"/>
  <c r="BC144" i="2"/>
  <c r="BC127" i="2"/>
  <c r="BC110" i="2"/>
  <c r="BC94" i="2"/>
  <c r="BC75" i="2"/>
  <c r="BC58" i="2"/>
  <c r="BC41" i="2"/>
  <c r="BC24" i="2"/>
  <c r="BC159" i="2"/>
  <c r="BC142" i="2"/>
  <c r="BC126" i="2"/>
  <c r="BC107" i="2"/>
  <c r="BC90" i="2"/>
  <c r="BC73" i="2"/>
  <c r="BC56" i="2"/>
  <c r="BC40" i="2"/>
  <c r="BC23" i="2"/>
  <c r="BC154" i="2"/>
  <c r="BC137" i="2"/>
  <c r="BC120" i="2"/>
  <c r="BC104" i="2"/>
  <c r="BC87" i="2"/>
  <c r="BC70" i="2"/>
  <c r="BC51" i="2"/>
  <c r="BC34" i="2"/>
  <c r="BC18" i="2"/>
  <c r="BC169" i="2"/>
  <c r="BC152" i="2"/>
  <c r="BC136" i="2"/>
  <c r="BC119" i="2"/>
  <c r="BC102" i="2"/>
  <c r="BC83" i="2"/>
  <c r="BC66" i="2"/>
  <c r="BC50" i="2"/>
  <c r="BC33" i="2"/>
  <c r="BC16" i="2"/>
  <c r="BC139" i="2"/>
  <c r="BC97" i="2"/>
  <c r="BC48" i="2"/>
  <c r="BC134" i="2"/>
  <c r="BC88" i="2"/>
  <c r="BC46" i="2"/>
  <c r="BC130" i="2"/>
  <c r="BC82" i="2"/>
  <c r="BC38" i="2"/>
  <c r="BC168" i="2"/>
  <c r="BC122" i="2"/>
  <c r="BC80" i="2"/>
  <c r="BC31" i="2"/>
  <c r="BC166" i="2"/>
  <c r="BC115" i="2"/>
  <c r="BC72" i="2"/>
  <c r="BC30" i="2"/>
  <c r="BC158" i="2"/>
  <c r="BC114" i="2"/>
  <c r="BC65" i="2"/>
  <c r="BC19" i="2"/>
  <c r="BC63" i="2"/>
  <c r="BC55" i="2"/>
  <c r="BC14" i="2"/>
  <c r="BC151" i="2"/>
  <c r="BC147" i="2"/>
  <c r="BC105" i="2"/>
  <c r="BC98" i="2"/>
  <c r="BN159" i="2"/>
  <c r="BN151" i="2"/>
  <c r="BN143" i="2"/>
  <c r="BO143" i="2" s="1"/>
  <c r="BO144" i="2" s="1"/>
  <c r="BN135" i="2"/>
  <c r="BO135" i="2" s="1"/>
  <c r="BO136" i="2" s="1"/>
  <c r="BN127" i="2"/>
  <c r="BO127" i="2" s="1"/>
  <c r="BO128" i="2" s="1"/>
  <c r="BN119" i="2"/>
  <c r="BO119" i="2" s="1"/>
  <c r="BO120" i="2" s="1"/>
  <c r="BN111" i="2"/>
  <c r="BO111" i="2" s="1"/>
  <c r="BO112" i="2" s="1"/>
  <c r="BN103" i="2"/>
  <c r="BO103" i="2" s="1"/>
  <c r="BO104" i="2" s="1"/>
  <c r="BN95" i="2"/>
  <c r="BO95" i="2" s="1"/>
  <c r="BO96" i="2" s="1"/>
  <c r="BN87" i="2"/>
  <c r="BO87" i="2" s="1"/>
  <c r="BO88" i="2" s="1"/>
  <c r="BN79" i="2"/>
  <c r="BO79" i="2" s="1"/>
  <c r="BO80" i="2" s="1"/>
  <c r="BN71" i="2"/>
  <c r="BO71" i="2" s="1"/>
  <c r="BO72" i="2" s="1"/>
  <c r="BN63" i="2"/>
  <c r="BO63" i="2" s="1"/>
  <c r="BO64" i="2" s="1"/>
  <c r="BN55" i="2"/>
  <c r="BO55" i="2" s="1"/>
  <c r="BO56" i="2" s="1"/>
  <c r="BN47" i="2"/>
  <c r="BO47" i="2" s="1"/>
  <c r="BO48" i="2" s="1"/>
  <c r="BN39" i="2"/>
  <c r="BO39" i="2" s="1"/>
  <c r="BO40" i="2" s="1"/>
  <c r="BN31" i="2"/>
  <c r="BN23" i="2"/>
  <c r="BN15" i="2"/>
  <c r="BN7" i="2"/>
  <c r="BN158" i="2"/>
  <c r="BN150" i="2"/>
  <c r="BN142" i="2"/>
  <c r="BN134" i="2"/>
  <c r="BN126" i="2"/>
  <c r="BN118" i="2"/>
  <c r="BN110" i="2"/>
  <c r="BN102" i="2"/>
  <c r="BN94" i="2"/>
  <c r="BN86" i="2"/>
  <c r="BN78" i="2"/>
  <c r="BN70" i="2"/>
  <c r="BN62" i="2"/>
  <c r="BN54" i="2"/>
  <c r="BN46" i="2"/>
  <c r="BN38" i="2"/>
  <c r="BN30" i="2"/>
  <c r="BO30" i="2" s="1"/>
  <c r="BO31" i="2" s="1"/>
  <c r="BN22" i="2"/>
  <c r="BO22" i="2" s="1"/>
  <c r="BO23" i="2" s="1"/>
  <c r="BN14" i="2"/>
  <c r="BO14" i="2" s="1"/>
  <c r="BO15" i="2" s="1"/>
  <c r="BN164" i="2"/>
  <c r="BN154" i="2"/>
  <c r="BN144" i="2"/>
  <c r="BN132" i="2"/>
  <c r="BN122" i="2"/>
  <c r="BN112" i="2"/>
  <c r="BN100" i="2"/>
  <c r="BN90" i="2"/>
  <c r="BN80" i="2"/>
  <c r="BN68" i="2"/>
  <c r="BN58" i="2"/>
  <c r="BN48" i="2"/>
  <c r="BN36" i="2"/>
  <c r="BN26" i="2"/>
  <c r="BO26" i="2" s="1"/>
  <c r="BO27" i="2" s="1"/>
  <c r="BN16" i="2"/>
  <c r="BO16" i="2" s="1"/>
  <c r="BO17" i="2" s="1"/>
  <c r="BN163" i="2"/>
  <c r="BN153" i="2"/>
  <c r="BN141" i="2"/>
  <c r="BO141" i="2" s="1"/>
  <c r="BO142" i="2" s="1"/>
  <c r="BN131" i="2"/>
  <c r="BO131" i="2" s="1"/>
  <c r="BO132" i="2" s="1"/>
  <c r="BN121" i="2"/>
  <c r="BO121" i="2" s="1"/>
  <c r="BO122" i="2" s="1"/>
  <c r="BN109" i="2"/>
  <c r="BO109" i="2" s="1"/>
  <c r="BO110" i="2" s="1"/>
  <c r="BN99" i="2"/>
  <c r="BO99" i="2" s="1"/>
  <c r="BO100" i="2" s="1"/>
  <c r="BN89" i="2"/>
  <c r="BO89" i="2" s="1"/>
  <c r="BO90" i="2" s="1"/>
  <c r="BN77" i="2"/>
  <c r="BO77" i="2" s="1"/>
  <c r="BO78" i="2" s="1"/>
  <c r="BN67" i="2"/>
  <c r="BO67" i="2" s="1"/>
  <c r="BO68" i="2" s="1"/>
  <c r="BN57" i="2"/>
  <c r="BO57" i="2" s="1"/>
  <c r="BO58" i="2" s="1"/>
  <c r="BN45" i="2"/>
  <c r="BO45" i="2" s="1"/>
  <c r="BO46" i="2" s="1"/>
  <c r="BN35" i="2"/>
  <c r="BO35" i="2" s="1"/>
  <c r="BO36" i="2" s="1"/>
  <c r="BN25" i="2"/>
  <c r="BN13" i="2"/>
  <c r="BN161" i="2"/>
  <c r="BN149" i="2"/>
  <c r="BN139" i="2"/>
  <c r="BO139" i="2" s="1"/>
  <c r="BO140" i="2" s="1"/>
  <c r="BN129" i="2"/>
  <c r="BO129" i="2" s="1"/>
  <c r="BO130" i="2" s="1"/>
  <c r="BN117" i="2"/>
  <c r="BO117" i="2" s="1"/>
  <c r="BO118" i="2" s="1"/>
  <c r="BN107" i="2"/>
  <c r="BO107" i="2" s="1"/>
  <c r="BO108" i="2" s="1"/>
  <c r="BN97" i="2"/>
  <c r="BO97" i="2" s="1"/>
  <c r="BO98" i="2" s="1"/>
  <c r="BN85" i="2"/>
  <c r="BO85" i="2" s="1"/>
  <c r="BO86" i="2" s="1"/>
  <c r="BN75" i="2"/>
  <c r="BO75" i="2" s="1"/>
  <c r="BO76" i="2" s="1"/>
  <c r="BN65" i="2"/>
  <c r="BO65" i="2" s="1"/>
  <c r="BO66" i="2" s="1"/>
  <c r="BN53" i="2"/>
  <c r="BO53" i="2" s="1"/>
  <c r="BO54" i="2" s="1"/>
  <c r="BN43" i="2"/>
  <c r="BO43" i="2" s="1"/>
  <c r="BO44" i="2" s="1"/>
  <c r="BN33" i="2"/>
  <c r="BO33" i="2" s="1"/>
  <c r="BO34" i="2" s="1"/>
  <c r="BN21" i="2"/>
  <c r="BN11" i="2"/>
  <c r="BN160" i="2"/>
  <c r="BN148" i="2"/>
  <c r="BN138" i="2"/>
  <c r="BN128" i="2"/>
  <c r="BN116" i="2"/>
  <c r="BN106" i="2"/>
  <c r="BN96" i="2"/>
  <c r="BN84" i="2"/>
  <c r="BN74" i="2"/>
  <c r="BN64" i="2"/>
  <c r="BN52" i="2"/>
  <c r="BN42" i="2"/>
  <c r="BN32" i="2"/>
  <c r="BN20" i="2"/>
  <c r="BO20" i="2" s="1"/>
  <c r="BO21" i="2" s="1"/>
  <c r="BN10" i="2"/>
  <c r="BO10" i="2" s="1"/>
  <c r="BO11" i="2" s="1"/>
  <c r="BN157" i="2"/>
  <c r="BN147" i="2"/>
  <c r="BO147" i="2" s="1"/>
  <c r="BN137" i="2"/>
  <c r="BO137" i="2" s="1"/>
  <c r="BO138" i="2" s="1"/>
  <c r="BN125" i="2"/>
  <c r="BO125" i="2" s="1"/>
  <c r="BO126" i="2" s="1"/>
  <c r="BN115" i="2"/>
  <c r="BO115" i="2" s="1"/>
  <c r="BO116" i="2" s="1"/>
  <c r="BN105" i="2"/>
  <c r="BO105" i="2" s="1"/>
  <c r="BO106" i="2" s="1"/>
  <c r="BN93" i="2"/>
  <c r="BO93" i="2" s="1"/>
  <c r="BO94" i="2" s="1"/>
  <c r="BN83" i="2"/>
  <c r="BO83" i="2" s="1"/>
  <c r="BO84" i="2" s="1"/>
  <c r="BN73" i="2"/>
  <c r="BO73" i="2" s="1"/>
  <c r="BO74" i="2" s="1"/>
  <c r="BN61" i="2"/>
  <c r="BO61" i="2" s="1"/>
  <c r="BO62" i="2" s="1"/>
  <c r="BN51" i="2"/>
  <c r="BO51" i="2" s="1"/>
  <c r="BO52" i="2" s="1"/>
  <c r="BN41" i="2"/>
  <c r="BO41" i="2" s="1"/>
  <c r="BO42" i="2" s="1"/>
  <c r="BN29" i="2"/>
  <c r="BN19" i="2"/>
  <c r="BN9" i="2"/>
  <c r="BN136" i="2"/>
  <c r="BN108" i="2"/>
  <c r="BN81" i="2"/>
  <c r="BO81" i="2" s="1"/>
  <c r="BO82" i="2" s="1"/>
  <c r="BN50" i="2"/>
  <c r="BN24" i="2"/>
  <c r="BO24" i="2" s="1"/>
  <c r="BO25" i="2" s="1"/>
  <c r="BN156" i="2"/>
  <c r="BN130" i="2"/>
  <c r="BN72" i="2"/>
  <c r="BN44" i="2"/>
  <c r="BN155" i="2"/>
  <c r="BN124" i="2"/>
  <c r="BN98" i="2"/>
  <c r="BN69" i="2"/>
  <c r="BO69" i="2" s="1"/>
  <c r="BO70" i="2" s="1"/>
  <c r="BN40" i="2"/>
  <c r="BN12" i="2"/>
  <c r="BO12" i="2" s="1"/>
  <c r="BO13" i="2" s="1"/>
  <c r="BN162" i="2"/>
  <c r="BN133" i="2"/>
  <c r="BO133" i="2" s="1"/>
  <c r="BO134" i="2" s="1"/>
  <c r="BN104" i="2"/>
  <c r="BN76" i="2"/>
  <c r="BN49" i="2"/>
  <c r="BO49" i="2" s="1"/>
  <c r="BO50" i="2" s="1"/>
  <c r="BN18" i="2"/>
  <c r="BO18" i="2" s="1"/>
  <c r="BO19" i="2" s="1"/>
  <c r="BN101" i="2"/>
  <c r="BO101" i="2" s="1"/>
  <c r="BO102" i="2" s="1"/>
  <c r="BN17" i="2"/>
  <c r="BN113" i="2"/>
  <c r="BO113" i="2" s="1"/>
  <c r="BO114" i="2" s="1"/>
  <c r="BN82" i="2"/>
  <c r="BN27" i="2"/>
  <c r="BN152" i="2"/>
  <c r="BN123" i="2"/>
  <c r="BO123" i="2" s="1"/>
  <c r="BO124" i="2" s="1"/>
  <c r="BN92" i="2"/>
  <c r="BN66" i="2"/>
  <c r="BN37" i="2"/>
  <c r="BO37" i="2" s="1"/>
  <c r="BO38" i="2" s="1"/>
  <c r="BN8" i="2"/>
  <c r="BO8" i="2" s="1"/>
  <c r="BO9" i="2" s="1"/>
  <c r="BN146" i="2"/>
  <c r="BN120" i="2"/>
  <c r="BN91" i="2"/>
  <c r="BO91" i="2" s="1"/>
  <c r="BO92" i="2" s="1"/>
  <c r="BN60" i="2"/>
  <c r="BN34" i="2"/>
  <c r="BN6" i="2"/>
  <c r="BO6" i="2" s="1"/>
  <c r="BN145" i="2"/>
  <c r="BO145" i="2" s="1"/>
  <c r="BO146" i="2" s="1"/>
  <c r="BN114" i="2"/>
  <c r="BN88" i="2"/>
  <c r="BN59" i="2"/>
  <c r="BO59" i="2" s="1"/>
  <c r="BO60" i="2" s="1"/>
  <c r="BN28" i="2"/>
  <c r="BO28" i="2" s="1"/>
  <c r="BO29" i="2" s="1"/>
  <c r="BN140" i="2"/>
  <c r="BN56" i="2"/>
  <c r="AN141" i="2"/>
  <c r="T141" i="2"/>
  <c r="AN147" i="2"/>
  <c r="T147" i="2"/>
  <c r="AN77" i="2"/>
  <c r="T77" i="2"/>
  <c r="R127" i="2"/>
  <c r="AM127" i="2"/>
  <c r="AM103" i="2"/>
  <c r="R103" i="2"/>
  <c r="R6" i="2"/>
  <c r="CO6" i="2" a="1"/>
  <c r="AM6" i="2"/>
  <c r="AN12" i="2"/>
  <c r="T12" i="2"/>
  <c r="AM24" i="2"/>
  <c r="R24" i="2"/>
  <c r="R95" i="2"/>
  <c r="AM95" i="2"/>
  <c r="AN69" i="2"/>
  <c r="T69" i="2"/>
  <c r="AM10" i="2"/>
  <c r="R10" i="2"/>
  <c r="T101" i="2"/>
  <c r="AN101" i="2"/>
  <c r="AM41" i="2"/>
  <c r="R41" i="2"/>
  <c r="AN125" i="2"/>
  <c r="T125" i="2"/>
  <c r="AO18" i="2"/>
  <c r="AP18" i="2" s="1"/>
  <c r="V18" i="2"/>
  <c r="R55" i="2"/>
  <c r="AM55" i="2"/>
  <c r="AM129" i="2"/>
  <c r="R129" i="2"/>
  <c r="T97" i="2"/>
  <c r="AN97" i="2"/>
  <c r="AM45" i="2"/>
  <c r="R45" i="2"/>
  <c r="BF165" i="2"/>
  <c r="BF157" i="2"/>
  <c r="BF149" i="2"/>
  <c r="BF141" i="2"/>
  <c r="BF133" i="2"/>
  <c r="BF125" i="2"/>
  <c r="BF117" i="2"/>
  <c r="BF109" i="2"/>
  <c r="BF101" i="2"/>
  <c r="BF93" i="2"/>
  <c r="BF85" i="2"/>
  <c r="BF77" i="2"/>
  <c r="BF69" i="2"/>
  <c r="BF61" i="2"/>
  <c r="BF53" i="2"/>
  <c r="BF45" i="2"/>
  <c r="BF37" i="2"/>
  <c r="BF29" i="2"/>
  <c r="BF21" i="2"/>
  <c r="BF13" i="2"/>
  <c r="BF164" i="2"/>
  <c r="BF156" i="2"/>
  <c r="BF148" i="2"/>
  <c r="BF140" i="2"/>
  <c r="BF132" i="2"/>
  <c r="BF124" i="2"/>
  <c r="BF116" i="2"/>
  <c r="BF108" i="2"/>
  <c r="BF100" i="2"/>
  <c r="BF92" i="2"/>
  <c r="BF84" i="2"/>
  <c r="BF76" i="2"/>
  <c r="BF68" i="2"/>
  <c r="BF60" i="2"/>
  <c r="BF52" i="2"/>
  <c r="BF44" i="2"/>
  <c r="BF36" i="2"/>
  <c r="BF28" i="2"/>
  <c r="BF20" i="2"/>
  <c r="BF12" i="2"/>
  <c r="BF167" i="2"/>
  <c r="BF155" i="2"/>
  <c r="BF145" i="2"/>
  <c r="BF135" i="2"/>
  <c r="BF123" i="2"/>
  <c r="BF113" i="2"/>
  <c r="BF103" i="2"/>
  <c r="BF91" i="2"/>
  <c r="BF81" i="2"/>
  <c r="BF71" i="2"/>
  <c r="BF59" i="2"/>
  <c r="BF49" i="2"/>
  <c r="BF39" i="2"/>
  <c r="BF27" i="2"/>
  <c r="BF17" i="2"/>
  <c r="BF163" i="2"/>
  <c r="BF153" i="2"/>
  <c r="BF143" i="2"/>
  <c r="BF131" i="2"/>
  <c r="BF121" i="2"/>
  <c r="BF111" i="2"/>
  <c r="BF99" i="2"/>
  <c r="BF89" i="2"/>
  <c r="BF79" i="2"/>
  <c r="BF67" i="2"/>
  <c r="BF57" i="2"/>
  <c r="BF47" i="2"/>
  <c r="BF35" i="2"/>
  <c r="BF25" i="2"/>
  <c r="BF15" i="2"/>
  <c r="BF160" i="2"/>
  <c r="BF150" i="2"/>
  <c r="BF138" i="2"/>
  <c r="BF128" i="2"/>
  <c r="BF118" i="2"/>
  <c r="BF106" i="2"/>
  <c r="BF96" i="2"/>
  <c r="BF86" i="2"/>
  <c r="BF74" i="2"/>
  <c r="BF64" i="2"/>
  <c r="BF54" i="2"/>
  <c r="BF42" i="2"/>
  <c r="BF32" i="2"/>
  <c r="BF22" i="2"/>
  <c r="BF11" i="2"/>
  <c r="BF161" i="2"/>
  <c r="BF144" i="2"/>
  <c r="BF127" i="2"/>
  <c r="BF110" i="2"/>
  <c r="BF94" i="2"/>
  <c r="BF75" i="2"/>
  <c r="BF58" i="2"/>
  <c r="BF41" i="2"/>
  <c r="BF24" i="2"/>
  <c r="BF159" i="2"/>
  <c r="BF142" i="2"/>
  <c r="BF126" i="2"/>
  <c r="BF107" i="2"/>
  <c r="BF90" i="2"/>
  <c r="BF73" i="2"/>
  <c r="BF56" i="2"/>
  <c r="BF40" i="2"/>
  <c r="BF23" i="2"/>
  <c r="BF158" i="2"/>
  <c r="BF139" i="2"/>
  <c r="BF122" i="2"/>
  <c r="BF105" i="2"/>
  <c r="BF88" i="2"/>
  <c r="BF72" i="2"/>
  <c r="BF55" i="2"/>
  <c r="BF38" i="2"/>
  <c r="BF19" i="2"/>
  <c r="BF169" i="2"/>
  <c r="BF152" i="2"/>
  <c r="BF136" i="2"/>
  <c r="BF119" i="2"/>
  <c r="BF102" i="2"/>
  <c r="BF83" i="2"/>
  <c r="BF66" i="2"/>
  <c r="BF50" i="2"/>
  <c r="BF33" i="2"/>
  <c r="BF16" i="2"/>
  <c r="BF168" i="2"/>
  <c r="BF151" i="2"/>
  <c r="BF134" i="2"/>
  <c r="BF115" i="2"/>
  <c r="BF98" i="2"/>
  <c r="BF82" i="2"/>
  <c r="BF65" i="2"/>
  <c r="BF48" i="2"/>
  <c r="BF31" i="2"/>
  <c r="BF14" i="2"/>
  <c r="BF162" i="2"/>
  <c r="BF114" i="2"/>
  <c r="BF70" i="2"/>
  <c r="BF26" i="2"/>
  <c r="BF154" i="2"/>
  <c r="BF112" i="2"/>
  <c r="BF63" i="2"/>
  <c r="BF18" i="2"/>
  <c r="BF147" i="2"/>
  <c r="BF104" i="2"/>
  <c r="BF62" i="2"/>
  <c r="BF146" i="2"/>
  <c r="BF97" i="2"/>
  <c r="BF51" i="2"/>
  <c r="BF137" i="2"/>
  <c r="BF95" i="2"/>
  <c r="BF46" i="2"/>
  <c r="BF130" i="2"/>
  <c r="BF87" i="2"/>
  <c r="BF43" i="2"/>
  <c r="BF129" i="2"/>
  <c r="BF120" i="2"/>
  <c r="BF80" i="2"/>
  <c r="BF78" i="2"/>
  <c r="BF34" i="2"/>
  <c r="BF30" i="2"/>
  <c r="BF166" i="2"/>
  <c r="AQ59" i="2" l="1"/>
  <c r="V105" i="2"/>
  <c r="AO105" i="2"/>
  <c r="AO115" i="2"/>
  <c r="AP115" i="2" s="1"/>
  <c r="AG115" i="2" s="1"/>
  <c r="V115" i="2"/>
  <c r="BY56" i="2"/>
  <c r="BZ56" i="2" s="1"/>
  <c r="BZ55" i="2"/>
  <c r="BZ87" i="2"/>
  <c r="BY88" i="2"/>
  <c r="BZ88" i="2" s="1"/>
  <c r="BY130" i="2"/>
  <c r="BZ130" i="2" s="1"/>
  <c r="BZ129" i="2"/>
  <c r="BY110" i="2"/>
  <c r="BZ110" i="2" s="1"/>
  <c r="BZ109" i="2"/>
  <c r="BZ131" i="2"/>
  <c r="BY132" i="2"/>
  <c r="BZ132" i="2" s="1"/>
  <c r="AN14" i="2"/>
  <c r="T14" i="2"/>
  <c r="AN79" i="2"/>
  <c r="T79" i="2"/>
  <c r="AO97" i="2"/>
  <c r="AP97" i="2" s="1"/>
  <c r="AG97" i="2" s="1"/>
  <c r="V97" i="2"/>
  <c r="AN103" i="2"/>
  <c r="T103" i="2"/>
  <c r="AN91" i="2"/>
  <c r="T91" i="2"/>
  <c r="AN73" i="2"/>
  <c r="T73" i="2"/>
  <c r="AN87" i="2"/>
  <c r="T87" i="2"/>
  <c r="BZ8" i="2"/>
  <c r="BY9" i="2"/>
  <c r="BZ9" i="2" s="1"/>
  <c r="BZ105" i="2"/>
  <c r="BY106" i="2"/>
  <c r="BZ106" i="2" s="1"/>
  <c r="BZ33" i="2"/>
  <c r="BY34" i="2"/>
  <c r="BZ34" i="2" s="1"/>
  <c r="BY102" i="2"/>
  <c r="BZ102" i="2" s="1"/>
  <c r="BZ101" i="2"/>
  <c r="BY144" i="2"/>
  <c r="BZ144" i="2" s="1"/>
  <c r="BZ143" i="2"/>
  <c r="BZ81" i="2"/>
  <c r="BY82" i="2"/>
  <c r="BZ82" i="2" s="1"/>
  <c r="BZ20" i="2"/>
  <c r="BY21" i="2"/>
  <c r="BZ21" i="2" s="1"/>
  <c r="BY122" i="2"/>
  <c r="BZ122" i="2" s="1"/>
  <c r="BZ121" i="2"/>
  <c r="BZ75" i="2"/>
  <c r="BY76" i="2"/>
  <c r="BZ76" i="2" s="1"/>
  <c r="BZ139" i="2"/>
  <c r="BY140" i="2"/>
  <c r="BZ140" i="2" s="1"/>
  <c r="AN71" i="2"/>
  <c r="T71" i="2"/>
  <c r="AO143" i="2"/>
  <c r="AP143" i="2" s="1"/>
  <c r="AG143" i="2" s="1"/>
  <c r="V143" i="2"/>
  <c r="AO69" i="2"/>
  <c r="AP69" i="2" s="1"/>
  <c r="AG69" i="2" s="1"/>
  <c r="V69" i="2"/>
  <c r="BZ39" i="2"/>
  <c r="BY40" i="2"/>
  <c r="BZ40" i="2" s="1"/>
  <c r="BY142" i="2"/>
  <c r="BZ142" i="2" s="1"/>
  <c r="BZ141" i="2"/>
  <c r="BY29" i="2"/>
  <c r="BZ29" i="2" s="1"/>
  <c r="BZ28" i="2"/>
  <c r="BZ69" i="2"/>
  <c r="BY70" i="2"/>
  <c r="BZ70" i="2" s="1"/>
  <c r="BY68" i="2"/>
  <c r="BZ68" i="2" s="1"/>
  <c r="BZ67" i="2"/>
  <c r="Z139" i="2"/>
  <c r="X139" i="2"/>
  <c r="T55" i="2"/>
  <c r="AN55" i="2"/>
  <c r="AO117" i="2"/>
  <c r="AP117" i="2" s="1"/>
  <c r="AG117" i="2" s="1"/>
  <c r="V117" i="2"/>
  <c r="T8" i="2"/>
  <c r="AN8" i="2"/>
  <c r="AO33" i="2"/>
  <c r="AP33" i="2" s="1"/>
  <c r="V33" i="2"/>
  <c r="BZ85" i="2"/>
  <c r="BY86" i="2"/>
  <c r="BZ86" i="2" s="1"/>
  <c r="BZ12" i="2"/>
  <c r="BY13" i="2"/>
  <c r="BZ13" i="2" s="1"/>
  <c r="BZ113" i="2"/>
  <c r="BY114" i="2"/>
  <c r="BZ114" i="2" s="1"/>
  <c r="BY54" i="2"/>
  <c r="BZ54" i="2" s="1"/>
  <c r="BZ53" i="2"/>
  <c r="BZ95" i="2"/>
  <c r="BY96" i="2"/>
  <c r="BZ96" i="2" s="1"/>
  <c r="BZ135" i="2"/>
  <c r="BY136" i="2"/>
  <c r="BZ136" i="2" s="1"/>
  <c r="BZ83" i="2"/>
  <c r="BY84" i="2"/>
  <c r="BZ84" i="2" s="1"/>
  <c r="AN39" i="2"/>
  <c r="T39" i="2"/>
  <c r="AN75" i="2"/>
  <c r="T75" i="2"/>
  <c r="CO159" i="2"/>
  <c r="CO151" i="2"/>
  <c r="CO143" i="2"/>
  <c r="CO135" i="2"/>
  <c r="CO127" i="2"/>
  <c r="CO119" i="2"/>
  <c r="CO111" i="2"/>
  <c r="CO103" i="2"/>
  <c r="CO95" i="2"/>
  <c r="CO87" i="2"/>
  <c r="CO79" i="2"/>
  <c r="CO71" i="2"/>
  <c r="CO63" i="2"/>
  <c r="CO55" i="2"/>
  <c r="CO47" i="2"/>
  <c r="CO39" i="2"/>
  <c r="CO31" i="2"/>
  <c r="CO23" i="2"/>
  <c r="CO15" i="2"/>
  <c r="CO7" i="2"/>
  <c r="CO164" i="2"/>
  <c r="CO155" i="2"/>
  <c r="CO146" i="2"/>
  <c r="CO137" i="2"/>
  <c r="CO128" i="2"/>
  <c r="CO118" i="2"/>
  <c r="CO109" i="2"/>
  <c r="CO100" i="2"/>
  <c r="CO91" i="2"/>
  <c r="CO82" i="2"/>
  <c r="CO73" i="2"/>
  <c r="CO64" i="2"/>
  <c r="CO54" i="2"/>
  <c r="CO45" i="2"/>
  <c r="CO36" i="2"/>
  <c r="CO27" i="2"/>
  <c r="CO18" i="2"/>
  <c r="CO9" i="2"/>
  <c r="CO161" i="2"/>
  <c r="CO152" i="2"/>
  <c r="CO142" i="2"/>
  <c r="CO133" i="2"/>
  <c r="CO124" i="2"/>
  <c r="CO115" i="2"/>
  <c r="CO106" i="2"/>
  <c r="CO97" i="2"/>
  <c r="CO88" i="2"/>
  <c r="CO78" i="2"/>
  <c r="CO69" i="2"/>
  <c r="CO60" i="2"/>
  <c r="CO51" i="2"/>
  <c r="CO42" i="2"/>
  <c r="CO33" i="2"/>
  <c r="CO24" i="2"/>
  <c r="CO14" i="2"/>
  <c r="CO6" i="2"/>
  <c r="CO158" i="2"/>
  <c r="CO149" i="2"/>
  <c r="CO140" i="2"/>
  <c r="CO131" i="2"/>
  <c r="CO122" i="2"/>
  <c r="CO113" i="2"/>
  <c r="CO104" i="2"/>
  <c r="CO94" i="2"/>
  <c r="CO85" i="2"/>
  <c r="CO76" i="2"/>
  <c r="CO67" i="2"/>
  <c r="CO58" i="2"/>
  <c r="CO49" i="2"/>
  <c r="CO40" i="2"/>
  <c r="CO30" i="2"/>
  <c r="CO21" i="2"/>
  <c r="CO12" i="2"/>
  <c r="CO162" i="2"/>
  <c r="CO147" i="2"/>
  <c r="CO132" i="2"/>
  <c r="CO117" i="2"/>
  <c r="CO102" i="2"/>
  <c r="CO89" i="2"/>
  <c r="CO74" i="2"/>
  <c r="CO59" i="2"/>
  <c r="CO44" i="2"/>
  <c r="CO29" i="2"/>
  <c r="CO16" i="2"/>
  <c r="CO156" i="2"/>
  <c r="CO141" i="2"/>
  <c r="CO126" i="2"/>
  <c r="CO112" i="2"/>
  <c r="CO98" i="2"/>
  <c r="CO83" i="2"/>
  <c r="CO68" i="2"/>
  <c r="CO53" i="2"/>
  <c r="CO38" i="2"/>
  <c r="CO25" i="2"/>
  <c r="CO10" i="2"/>
  <c r="CO154" i="2"/>
  <c r="CO139" i="2"/>
  <c r="CO125" i="2"/>
  <c r="CO110" i="2"/>
  <c r="CO96" i="2"/>
  <c r="CO81" i="2"/>
  <c r="CO66" i="2"/>
  <c r="CO52" i="2"/>
  <c r="CO37" i="2"/>
  <c r="CO22" i="2"/>
  <c r="CO8" i="2"/>
  <c r="CO145" i="2"/>
  <c r="CO121" i="2"/>
  <c r="CO99" i="2"/>
  <c r="CO75" i="2"/>
  <c r="CO50" i="2"/>
  <c r="CO28" i="2"/>
  <c r="CO144" i="2"/>
  <c r="CO120" i="2"/>
  <c r="CO93" i="2"/>
  <c r="CO72" i="2"/>
  <c r="CO48" i="2"/>
  <c r="CO26" i="2"/>
  <c r="CO160" i="2"/>
  <c r="CO136" i="2"/>
  <c r="CO114" i="2"/>
  <c r="CO90" i="2"/>
  <c r="CO65" i="2"/>
  <c r="CO43" i="2"/>
  <c r="CO19" i="2"/>
  <c r="CO129" i="2"/>
  <c r="CO105" i="2"/>
  <c r="CO57" i="2"/>
  <c r="CO34" i="2"/>
  <c r="CO157" i="2"/>
  <c r="CO134" i="2"/>
  <c r="CO108" i="2"/>
  <c r="CO86" i="2"/>
  <c r="CO62" i="2"/>
  <c r="CO41" i="2"/>
  <c r="CO17" i="2"/>
  <c r="CO150" i="2"/>
  <c r="CO80" i="2"/>
  <c r="CO11" i="2"/>
  <c r="CO153" i="2"/>
  <c r="CO130" i="2"/>
  <c r="CO107" i="2"/>
  <c r="CO84" i="2"/>
  <c r="CO61" i="2"/>
  <c r="CO35" i="2"/>
  <c r="CO13" i="2"/>
  <c r="CO92" i="2"/>
  <c r="CO148" i="2"/>
  <c r="CO56" i="2"/>
  <c r="CO77" i="2"/>
  <c r="CO163" i="2"/>
  <c r="CO70" i="2"/>
  <c r="CO138" i="2"/>
  <c r="CO46" i="2"/>
  <c r="CO116" i="2"/>
  <c r="CO20" i="2"/>
  <c r="CO101" i="2"/>
  <c r="CO123" i="2"/>
  <c r="CO32" i="2"/>
  <c r="AN131" i="2"/>
  <c r="T131" i="2"/>
  <c r="AN53" i="2"/>
  <c r="T53" i="2"/>
  <c r="V30" i="2"/>
  <c r="AO30" i="2"/>
  <c r="AP30" i="2" s="1"/>
  <c r="AR30" i="2"/>
  <c r="AN67" i="2"/>
  <c r="T67" i="2"/>
  <c r="AN145" i="2"/>
  <c r="T145" i="2"/>
  <c r="BY112" i="2"/>
  <c r="BZ112" i="2" s="1"/>
  <c r="BZ111" i="2"/>
  <c r="BY17" i="2"/>
  <c r="BZ17" i="2" s="1"/>
  <c r="BZ16" i="2"/>
  <c r="BY25" i="2"/>
  <c r="BZ25" i="2" s="1"/>
  <c r="BZ24" i="2"/>
  <c r="BZ127" i="2"/>
  <c r="BY128" i="2"/>
  <c r="BZ128" i="2" s="1"/>
  <c r="BY78" i="2"/>
  <c r="BZ78" i="2" s="1"/>
  <c r="BZ77" i="2"/>
  <c r="BZ125" i="2"/>
  <c r="BY126" i="2"/>
  <c r="BZ126" i="2" s="1"/>
  <c r="BY66" i="2"/>
  <c r="BZ66" i="2" s="1"/>
  <c r="BZ65" i="2"/>
  <c r="BY7" i="2"/>
  <c r="BZ7" i="2" s="1"/>
  <c r="BZ6" i="2"/>
  <c r="BY46" i="2"/>
  <c r="BZ46" i="2" s="1"/>
  <c r="BZ45" i="2"/>
  <c r="BY92" i="2"/>
  <c r="BZ92" i="2" s="1"/>
  <c r="BZ91" i="2"/>
  <c r="AO26" i="2"/>
  <c r="V26" i="2"/>
  <c r="V147" i="2"/>
  <c r="AO147" i="2"/>
  <c r="AP147" i="2" s="1"/>
  <c r="AG147" i="2" s="1"/>
  <c r="T99" i="2"/>
  <c r="AN99" i="2"/>
  <c r="AO16" i="2"/>
  <c r="AP16" i="2" s="1"/>
  <c r="V16" i="2"/>
  <c r="BT7" i="2"/>
  <c r="BU6" i="2" a="1"/>
  <c r="AN28" i="2"/>
  <c r="T28" i="2"/>
  <c r="AN65" i="2"/>
  <c r="T65" i="2"/>
  <c r="AG43" i="2"/>
  <c r="AO35" i="2"/>
  <c r="AP35" i="2" s="1"/>
  <c r="V35" i="2"/>
  <c r="AO137" i="2"/>
  <c r="V137" i="2"/>
  <c r="AN81" i="2"/>
  <c r="T81" i="2"/>
  <c r="AN47" i="2"/>
  <c r="T47" i="2"/>
  <c r="BZ37" i="2"/>
  <c r="BY38" i="2"/>
  <c r="BZ38" i="2" s="1"/>
  <c r="BY90" i="2"/>
  <c r="BZ90" i="2" s="1"/>
  <c r="BZ89" i="2"/>
  <c r="BY138" i="2"/>
  <c r="BZ138" i="2" s="1"/>
  <c r="BZ137" i="2"/>
  <c r="BY80" i="2"/>
  <c r="BZ80" i="2" s="1"/>
  <c r="BZ79" i="2"/>
  <c r="BY58" i="2"/>
  <c r="BZ58" i="2" s="1"/>
  <c r="BZ57" i="2"/>
  <c r="BY36" i="2"/>
  <c r="BZ36" i="2" s="1"/>
  <c r="BZ35" i="2"/>
  <c r="BY100" i="2"/>
  <c r="BZ100" i="2" s="1"/>
  <c r="BZ99" i="2"/>
  <c r="T57" i="2"/>
  <c r="AN57" i="2"/>
  <c r="AP26" i="2"/>
  <c r="AN63" i="2"/>
  <c r="T63" i="2"/>
  <c r="CF157" i="2"/>
  <c r="CF149" i="2"/>
  <c r="CF141" i="2"/>
  <c r="CG141" i="2" s="1" a="1"/>
  <c r="CG141" i="2" s="1"/>
  <c r="CG142" i="2" s="1"/>
  <c r="CF133" i="2"/>
  <c r="CG133" i="2" s="1" a="1"/>
  <c r="CG133" i="2" s="1"/>
  <c r="CG134" i="2" s="1"/>
  <c r="CF125" i="2"/>
  <c r="CG125" i="2" s="1" a="1"/>
  <c r="CG125" i="2" s="1"/>
  <c r="CG126" i="2" s="1"/>
  <c r="CF117" i="2"/>
  <c r="CG117" i="2" s="1" a="1"/>
  <c r="CG117" i="2" s="1"/>
  <c r="CG118" i="2" s="1"/>
  <c r="CF109" i="2"/>
  <c r="CG109" i="2" s="1" a="1"/>
  <c r="CG109" i="2" s="1"/>
  <c r="CG110" i="2" s="1"/>
  <c r="CF101" i="2"/>
  <c r="CG101" i="2" s="1" a="1"/>
  <c r="CG101" i="2" s="1"/>
  <c r="CG102" i="2" s="1"/>
  <c r="CF93" i="2"/>
  <c r="CG93" i="2" s="1" a="1"/>
  <c r="CG93" i="2" s="1"/>
  <c r="CG94" i="2" s="1"/>
  <c r="CF85" i="2"/>
  <c r="CG85" i="2" s="1" a="1"/>
  <c r="CG85" i="2" s="1"/>
  <c r="CG86" i="2" s="1"/>
  <c r="CF77" i="2"/>
  <c r="CG77" i="2" s="1" a="1"/>
  <c r="CG77" i="2" s="1"/>
  <c r="CG78" i="2" s="1"/>
  <c r="CF69" i="2"/>
  <c r="CG69" i="2" s="1" a="1"/>
  <c r="CG69" i="2" s="1"/>
  <c r="CG70" i="2" s="1"/>
  <c r="CF61" i="2"/>
  <c r="CG61" i="2" s="1" a="1"/>
  <c r="CG61" i="2" s="1"/>
  <c r="CG62" i="2" s="1"/>
  <c r="CF53" i="2"/>
  <c r="CG53" i="2" s="1" a="1"/>
  <c r="CG53" i="2" s="1"/>
  <c r="CG54" i="2" s="1"/>
  <c r="CF45" i="2"/>
  <c r="CG45" i="2" s="1" a="1"/>
  <c r="CG45" i="2" s="1"/>
  <c r="CG46" i="2" s="1"/>
  <c r="CF37" i="2"/>
  <c r="CG37" i="2" s="1" a="1"/>
  <c r="CG37" i="2" s="1"/>
  <c r="CG38" i="2" s="1"/>
  <c r="CF29" i="2"/>
  <c r="CF21" i="2"/>
  <c r="CF13" i="2"/>
  <c r="CF6" i="2"/>
  <c r="CG6" i="2" s="1" a="1"/>
  <c r="CG6" i="2" s="1"/>
  <c r="CF156" i="2"/>
  <c r="CF147" i="2"/>
  <c r="CG147" i="2" s="1" a="1"/>
  <c r="CG147" i="2" s="1"/>
  <c r="CF138" i="2"/>
  <c r="CF129" i="2"/>
  <c r="CG129" i="2" s="1" a="1"/>
  <c r="CG129" i="2" s="1"/>
  <c r="CG130" i="2" s="1"/>
  <c r="CF120" i="2"/>
  <c r="CF111" i="2"/>
  <c r="CG111" i="2" s="1" a="1"/>
  <c r="CG111" i="2" s="1"/>
  <c r="CG112" i="2" s="1"/>
  <c r="CF102" i="2"/>
  <c r="CF92" i="2"/>
  <c r="CF83" i="2"/>
  <c r="CG83" i="2" s="1" a="1"/>
  <c r="CG83" i="2" s="1"/>
  <c r="CG84" i="2" s="1"/>
  <c r="CF74" i="2"/>
  <c r="CF65" i="2"/>
  <c r="CG65" i="2" s="1" a="1"/>
  <c r="CG65" i="2" s="1"/>
  <c r="CG66" i="2" s="1"/>
  <c r="CF56" i="2"/>
  <c r="CF47" i="2"/>
  <c r="CG47" i="2" s="1" a="1"/>
  <c r="CG47" i="2" s="1"/>
  <c r="CG48" i="2" s="1"/>
  <c r="CF38" i="2"/>
  <c r="CF28" i="2"/>
  <c r="CG28" i="2" s="1" a="1"/>
  <c r="CG28" i="2" s="1"/>
  <c r="CG29" i="2" s="1"/>
  <c r="CF19" i="2"/>
  <c r="CF10" i="2"/>
  <c r="CG10" i="2" s="1" a="1"/>
  <c r="CG10" i="2" s="1"/>
  <c r="CG11" i="2" s="1"/>
  <c r="CF164" i="2"/>
  <c r="CF154" i="2"/>
  <c r="CF144" i="2"/>
  <c r="CF134" i="2"/>
  <c r="CF123" i="2"/>
  <c r="CG123" i="2" s="1" a="1"/>
  <c r="CG123" i="2" s="1"/>
  <c r="CG124" i="2" s="1"/>
  <c r="CF113" i="2"/>
  <c r="CG113" i="2" s="1" a="1"/>
  <c r="CG113" i="2" s="1"/>
  <c r="CG114" i="2" s="1"/>
  <c r="CF103" i="2"/>
  <c r="CG103" i="2" s="1" a="1"/>
  <c r="CG103" i="2" s="1"/>
  <c r="CG104" i="2" s="1"/>
  <c r="CF91" i="2"/>
  <c r="CG91" i="2" s="1" a="1"/>
  <c r="CG91" i="2" s="1"/>
  <c r="CG92" i="2" s="1"/>
  <c r="CF81" i="2"/>
  <c r="CG81" i="2" s="1" a="1"/>
  <c r="CG81" i="2" s="1"/>
  <c r="CG82" i="2" s="1"/>
  <c r="CF71" i="2"/>
  <c r="CG71" i="2" s="1" a="1"/>
  <c r="CG71" i="2" s="1"/>
  <c r="CG72" i="2" s="1"/>
  <c r="CF60" i="2"/>
  <c r="CF50" i="2"/>
  <c r="CF40" i="2"/>
  <c r="CF30" i="2"/>
  <c r="CG30" i="2" s="1" a="1"/>
  <c r="CG30" i="2" s="1"/>
  <c r="CG31" i="2" s="1"/>
  <c r="CF18" i="2"/>
  <c r="CG18" i="2" s="1" a="1"/>
  <c r="CG18" i="2" s="1"/>
  <c r="CG19" i="2" s="1"/>
  <c r="CF8" i="2"/>
  <c r="CG8" i="2" s="1" a="1"/>
  <c r="CG8" i="2" s="1"/>
  <c r="CG9" i="2" s="1"/>
  <c r="CF161" i="2"/>
  <c r="CF151" i="2"/>
  <c r="CF140" i="2"/>
  <c r="CF130" i="2"/>
  <c r="CF119" i="2"/>
  <c r="CG119" i="2" s="1" a="1"/>
  <c r="CG119" i="2" s="1"/>
  <c r="CG120" i="2" s="1"/>
  <c r="CF108" i="2"/>
  <c r="CF98" i="2"/>
  <c r="CF88" i="2"/>
  <c r="CF78" i="2"/>
  <c r="CF67" i="2"/>
  <c r="CG67" i="2" s="1" a="1"/>
  <c r="CG67" i="2" s="1"/>
  <c r="CG68" i="2" s="1"/>
  <c r="CF57" i="2"/>
  <c r="CG57" i="2" s="1" a="1"/>
  <c r="CG57" i="2" s="1"/>
  <c r="CG58" i="2" s="1"/>
  <c r="CF46" i="2"/>
  <c r="CF35" i="2"/>
  <c r="CG35" i="2" s="1" a="1"/>
  <c r="CG35" i="2" s="1"/>
  <c r="CG36" i="2" s="1"/>
  <c r="CF25" i="2"/>
  <c r="CF15" i="2"/>
  <c r="CF160" i="2"/>
  <c r="CF150" i="2"/>
  <c r="CF139" i="2"/>
  <c r="CG139" i="2" s="1" a="1"/>
  <c r="CG139" i="2" s="1"/>
  <c r="CG140" i="2" s="1"/>
  <c r="CF128" i="2"/>
  <c r="CF118" i="2"/>
  <c r="CF107" i="2"/>
  <c r="CG107" i="2" s="1" a="1"/>
  <c r="CG107" i="2" s="1"/>
  <c r="CG108" i="2" s="1"/>
  <c r="CF97" i="2"/>
  <c r="CG97" i="2" s="1" a="1"/>
  <c r="CG97" i="2" s="1"/>
  <c r="CG98" i="2" s="1"/>
  <c r="CF87" i="2"/>
  <c r="CG87" i="2" s="1" a="1"/>
  <c r="CG87" i="2" s="1"/>
  <c r="CG88" i="2" s="1"/>
  <c r="CF76" i="2"/>
  <c r="CF66" i="2"/>
  <c r="CF55" i="2"/>
  <c r="CG55" i="2" s="1" a="1"/>
  <c r="CG55" i="2" s="1"/>
  <c r="CG56" i="2" s="1"/>
  <c r="CF44" i="2"/>
  <c r="CF34" i="2"/>
  <c r="CF24" i="2"/>
  <c r="CG24" i="2" s="1" a="1"/>
  <c r="CG24" i="2" s="1"/>
  <c r="CG25" i="2" s="1"/>
  <c r="CF14" i="2"/>
  <c r="CG14" i="2" s="1" a="1"/>
  <c r="CG14" i="2" s="1"/>
  <c r="CG15" i="2" s="1"/>
  <c r="CF163" i="2"/>
  <c r="CF146" i="2"/>
  <c r="CF131" i="2"/>
  <c r="CG131" i="2" s="1" a="1"/>
  <c r="CG131" i="2" s="1"/>
  <c r="CG132" i="2" s="1"/>
  <c r="CF114" i="2"/>
  <c r="CF96" i="2"/>
  <c r="CF80" i="2"/>
  <c r="CF63" i="2"/>
  <c r="CG63" i="2" s="1" a="1"/>
  <c r="CG63" i="2" s="1"/>
  <c r="CG64" i="2" s="1"/>
  <c r="CF48" i="2"/>
  <c r="CF31" i="2"/>
  <c r="CF12" i="2"/>
  <c r="CG12" i="2" s="1" a="1"/>
  <c r="CG12" i="2" s="1"/>
  <c r="CG13" i="2" s="1"/>
  <c r="CF162" i="2"/>
  <c r="CF145" i="2"/>
  <c r="CG145" i="2" s="1" a="1"/>
  <c r="CG145" i="2" s="1"/>
  <c r="CG146" i="2" s="1"/>
  <c r="CF127" i="2"/>
  <c r="CG127" i="2" s="1" a="1"/>
  <c r="CG127" i="2" s="1"/>
  <c r="CG128" i="2" s="1"/>
  <c r="CF112" i="2"/>
  <c r="CF95" i="2"/>
  <c r="CG95" i="2" s="1" a="1"/>
  <c r="CG95" i="2" s="1"/>
  <c r="CG96" i="2" s="1"/>
  <c r="CF79" i="2"/>
  <c r="CG79" i="2" s="1" a="1"/>
  <c r="CG79" i="2" s="1"/>
  <c r="CG80" i="2" s="1"/>
  <c r="CF62" i="2"/>
  <c r="CF43" i="2"/>
  <c r="CG43" i="2" s="1" a="1"/>
  <c r="CG43" i="2" s="1"/>
  <c r="CG44" i="2" s="1"/>
  <c r="CF27" i="2"/>
  <c r="CF11" i="2"/>
  <c r="CF158" i="2"/>
  <c r="CF142" i="2"/>
  <c r="CF124" i="2"/>
  <c r="CF106" i="2"/>
  <c r="CF90" i="2"/>
  <c r="CF73" i="2"/>
  <c r="CG73" i="2" s="1" a="1"/>
  <c r="CG73" i="2" s="1"/>
  <c r="CG74" i="2" s="1"/>
  <c r="CF58" i="2"/>
  <c r="CF41" i="2"/>
  <c r="CG41" i="2" s="1" a="1"/>
  <c r="CG41" i="2" s="1"/>
  <c r="CG42" i="2" s="1"/>
  <c r="CF23" i="2"/>
  <c r="CF7" i="2"/>
  <c r="CF152" i="2"/>
  <c r="CF135" i="2"/>
  <c r="CG135" i="2" s="1" a="1"/>
  <c r="CG135" i="2" s="1"/>
  <c r="CG136" i="2" s="1"/>
  <c r="CF116" i="2"/>
  <c r="CF100" i="2"/>
  <c r="CF84" i="2"/>
  <c r="CF68" i="2"/>
  <c r="CF51" i="2"/>
  <c r="CG51" i="2" s="1" a="1"/>
  <c r="CG51" i="2" s="1"/>
  <c r="CG52" i="2" s="1"/>
  <c r="CF33" i="2"/>
  <c r="CG33" i="2" s="1" a="1"/>
  <c r="CG33" i="2" s="1"/>
  <c r="CG34" i="2" s="1"/>
  <c r="CF17" i="2"/>
  <c r="CF155" i="2"/>
  <c r="CF137" i="2"/>
  <c r="CG137" i="2" s="1" a="1"/>
  <c r="CG137" i="2" s="1"/>
  <c r="CG138" i="2" s="1"/>
  <c r="CF122" i="2"/>
  <c r="CF105" i="2"/>
  <c r="CG105" i="2" s="1" a="1"/>
  <c r="CG105" i="2" s="1"/>
  <c r="CG106" i="2" s="1"/>
  <c r="CF89" i="2"/>
  <c r="CG89" i="2" s="1" a="1"/>
  <c r="CG89" i="2" s="1"/>
  <c r="CG90" i="2" s="1"/>
  <c r="CF72" i="2"/>
  <c r="CF54" i="2"/>
  <c r="CF39" i="2"/>
  <c r="CG39" i="2" s="1" a="1"/>
  <c r="CG39" i="2" s="1"/>
  <c r="CG40" i="2" s="1"/>
  <c r="CF22" i="2"/>
  <c r="CG22" i="2" s="1" a="1"/>
  <c r="CG22" i="2" s="1"/>
  <c r="CG23" i="2" s="1"/>
  <c r="CF153" i="2"/>
  <c r="CF136" i="2"/>
  <c r="CF121" i="2"/>
  <c r="CG121" i="2" s="1" a="1"/>
  <c r="CG121" i="2" s="1"/>
  <c r="CG122" i="2" s="1"/>
  <c r="CF104" i="2"/>
  <c r="CF86" i="2"/>
  <c r="CF70" i="2"/>
  <c r="CF52" i="2"/>
  <c r="CF36" i="2"/>
  <c r="CF20" i="2"/>
  <c r="CG20" i="2" s="1" a="1"/>
  <c r="CG20" i="2" s="1"/>
  <c r="CG21" i="2" s="1"/>
  <c r="CF126" i="2"/>
  <c r="CF59" i="2"/>
  <c r="CG59" i="2" s="1" a="1"/>
  <c r="CG59" i="2" s="1"/>
  <c r="CG60" i="2" s="1"/>
  <c r="CF99" i="2"/>
  <c r="CG99" i="2" s="1" a="1"/>
  <c r="CG99" i="2" s="1"/>
  <c r="CG100" i="2" s="1"/>
  <c r="CF32" i="2"/>
  <c r="CF115" i="2"/>
  <c r="CG115" i="2" s="1" a="1"/>
  <c r="CG115" i="2" s="1"/>
  <c r="CG116" i="2" s="1"/>
  <c r="CF49" i="2"/>
  <c r="CG49" i="2" s="1" a="1"/>
  <c r="CG49" i="2" s="1"/>
  <c r="CG50" i="2" s="1"/>
  <c r="CF110" i="2"/>
  <c r="CF42" i="2"/>
  <c r="CF159" i="2"/>
  <c r="CF94" i="2"/>
  <c r="CF26" i="2"/>
  <c r="CG26" i="2" s="1" a="1"/>
  <c r="CG26" i="2" s="1"/>
  <c r="CG27" i="2" s="1"/>
  <c r="CF143" i="2"/>
  <c r="CG143" i="2" s="1" a="1"/>
  <c r="CG143" i="2" s="1"/>
  <c r="CG144" i="2" s="1"/>
  <c r="CF75" i="2"/>
  <c r="CG75" i="2" s="1" a="1"/>
  <c r="CG75" i="2" s="1"/>
  <c r="CG76" i="2" s="1"/>
  <c r="CF9" i="2"/>
  <c r="CF132" i="2"/>
  <c r="CF64" i="2"/>
  <c r="CF148" i="2"/>
  <c r="CF82" i="2"/>
  <c r="CF16" i="2"/>
  <c r="CG16" i="2" s="1" a="1"/>
  <c r="CG16" i="2" s="1"/>
  <c r="CG17" i="2" s="1"/>
  <c r="T51" i="2"/>
  <c r="AN51" i="2"/>
  <c r="AN111" i="2"/>
  <c r="T111" i="2"/>
  <c r="CK6" i="2" a="1"/>
  <c r="AO12" i="2"/>
  <c r="AP12" i="2" s="1"/>
  <c r="V12" i="2"/>
  <c r="BZ93" i="2"/>
  <c r="BY94" i="2"/>
  <c r="BZ94" i="2" s="1"/>
  <c r="CT6" i="2" a="1"/>
  <c r="T6" i="2"/>
  <c r="AN6" i="2"/>
  <c r="V125" i="2"/>
  <c r="AO125" i="2"/>
  <c r="AP125" i="2" s="1"/>
  <c r="AG125" i="2" s="1"/>
  <c r="V141" i="2"/>
  <c r="AO141" i="2"/>
  <c r="AP141" i="2" s="1"/>
  <c r="AG141" i="2" s="1"/>
  <c r="AN22" i="2"/>
  <c r="T22" i="2"/>
  <c r="T109" i="2"/>
  <c r="AN109" i="2"/>
  <c r="AP137" i="2"/>
  <c r="AG137" i="2" s="1"/>
  <c r="BY48" i="2"/>
  <c r="BZ48" i="2" s="1"/>
  <c r="BZ47" i="2"/>
  <c r="BY120" i="2"/>
  <c r="BZ120" i="2" s="1"/>
  <c r="BZ119" i="2"/>
  <c r="BY50" i="2"/>
  <c r="BZ50" i="2" s="1"/>
  <c r="BZ49" i="2"/>
  <c r="BY104" i="2"/>
  <c r="BZ104" i="2" s="1"/>
  <c r="BZ103" i="2"/>
  <c r="BZ133" i="2"/>
  <c r="BY134" i="2"/>
  <c r="BZ134" i="2" s="1"/>
  <c r="BY72" i="2"/>
  <c r="BZ72" i="2" s="1"/>
  <c r="BZ71" i="2"/>
  <c r="BZ10" i="2"/>
  <c r="BY11" i="2"/>
  <c r="BZ11" i="2" s="1"/>
  <c r="BZ43" i="2"/>
  <c r="BY44" i="2"/>
  <c r="BZ44" i="2" s="1"/>
  <c r="BZ107" i="2"/>
  <c r="BY108" i="2"/>
  <c r="BZ108" i="2" s="1"/>
  <c r="BY15" i="2"/>
  <c r="BZ15" i="2" s="1"/>
  <c r="BZ14" i="2"/>
  <c r="X89" i="2"/>
  <c r="Z89" i="2"/>
  <c r="AN49" i="2"/>
  <c r="T49" i="2"/>
  <c r="AN41" i="2"/>
  <c r="T41" i="2"/>
  <c r="AO61" i="2"/>
  <c r="AP61" i="2" s="1"/>
  <c r="AG61" i="2" s="1"/>
  <c r="V61" i="2"/>
  <c r="T127" i="2"/>
  <c r="AN127" i="2"/>
  <c r="AN10" i="2"/>
  <c r="T10" i="2"/>
  <c r="AO77" i="2"/>
  <c r="V77" i="2"/>
  <c r="BO7" i="2"/>
  <c r="BP6" i="2" s="1" a="1"/>
  <c r="AO37" i="2"/>
  <c r="AP37" i="2" s="1"/>
  <c r="V37" i="2"/>
  <c r="AR37" i="2" s="1"/>
  <c r="AG37" i="2" s="1"/>
  <c r="AN123" i="2"/>
  <c r="T123" i="2"/>
  <c r="T20" i="2"/>
  <c r="AN20" i="2"/>
  <c r="T121" i="2"/>
  <c r="AN121" i="2"/>
  <c r="T135" i="2"/>
  <c r="AN135" i="2"/>
  <c r="BY98" i="2"/>
  <c r="BZ98" i="2" s="1"/>
  <c r="BZ97" i="2"/>
  <c r="BZ63" i="2"/>
  <c r="BY64" i="2"/>
  <c r="BZ64" i="2" s="1"/>
  <c r="BY62" i="2"/>
  <c r="BZ62" i="2" s="1"/>
  <c r="BZ61" i="2"/>
  <c r="BZ145" i="2"/>
  <c r="BY146" i="2"/>
  <c r="BZ146" i="2" s="1"/>
  <c r="BZ18" i="2"/>
  <c r="BY19" i="2"/>
  <c r="BZ19" i="2" s="1"/>
  <c r="BY52" i="2"/>
  <c r="BZ52" i="2" s="1"/>
  <c r="BZ51" i="2"/>
  <c r="BZ115" i="2"/>
  <c r="BY116" i="2"/>
  <c r="BZ116" i="2" s="1"/>
  <c r="BY23" i="2"/>
  <c r="BZ23" i="2" s="1"/>
  <c r="BZ22" i="2"/>
  <c r="AQ89" i="2"/>
  <c r="AN113" i="2"/>
  <c r="T113" i="2"/>
  <c r="AR33" i="2"/>
  <c r="AG33" i="2" s="1"/>
  <c r="AO93" i="2"/>
  <c r="AP93" i="2" s="1"/>
  <c r="AG93" i="2" s="1"/>
  <c r="V93" i="2"/>
  <c r="X18" i="2"/>
  <c r="Z18" i="2"/>
  <c r="AN119" i="2"/>
  <c r="T119" i="2"/>
  <c r="T95" i="2"/>
  <c r="AN95" i="2"/>
  <c r="AR12" i="2"/>
  <c r="AG12" i="2" s="1"/>
  <c r="AO101" i="2"/>
  <c r="AP101" i="2" s="1"/>
  <c r="AG101" i="2" s="1"/>
  <c r="V101" i="2"/>
  <c r="AN45" i="2"/>
  <c r="T45" i="2"/>
  <c r="AN129" i="2"/>
  <c r="T129" i="2"/>
  <c r="T24" i="2"/>
  <c r="AN24" i="2"/>
  <c r="AR18" i="2"/>
  <c r="AG18" i="2" s="1"/>
  <c r="AP77" i="2"/>
  <c r="AG77" i="2" s="1"/>
  <c r="AO85" i="2"/>
  <c r="AP85" i="2" s="1"/>
  <c r="AG85" i="2" s="1"/>
  <c r="V85" i="2"/>
  <c r="AP105" i="2"/>
  <c r="AG105" i="2" s="1"/>
  <c r="AR16" i="2"/>
  <c r="AN133" i="2"/>
  <c r="T133" i="2"/>
  <c r="T107" i="2"/>
  <c r="AN107" i="2"/>
  <c r="Z43" i="2"/>
  <c r="X43" i="2"/>
  <c r="BZ41" i="2"/>
  <c r="BY42" i="2"/>
  <c r="BZ42" i="2" s="1"/>
  <c r="BZ73" i="2"/>
  <c r="BY74" i="2"/>
  <c r="BZ74" i="2" s="1"/>
  <c r="BY118" i="2"/>
  <c r="BZ118" i="2" s="1"/>
  <c r="BZ117" i="2"/>
  <c r="BZ26" i="2"/>
  <c r="BY27" i="2"/>
  <c r="BZ27" i="2" s="1"/>
  <c r="BZ59" i="2"/>
  <c r="BY60" i="2"/>
  <c r="BZ60" i="2" s="1"/>
  <c r="BZ123" i="2"/>
  <c r="BY124" i="2"/>
  <c r="BZ124" i="2" s="1"/>
  <c r="BY31" i="2"/>
  <c r="BZ31" i="2" s="1"/>
  <c r="BZ30" i="2"/>
  <c r="AN83" i="2"/>
  <c r="T83" i="2"/>
  <c r="Z59" i="2"/>
  <c r="X59" i="2"/>
  <c r="AQ139" i="2"/>
  <c r="AQ85" i="2" l="1"/>
  <c r="AQ37" i="2"/>
  <c r="BP158" i="2"/>
  <c r="BP150" i="2"/>
  <c r="BP142" i="2"/>
  <c r="BP134" i="2"/>
  <c r="BP126" i="2"/>
  <c r="BP118" i="2"/>
  <c r="BP110" i="2"/>
  <c r="BP102" i="2"/>
  <c r="BP94" i="2"/>
  <c r="BP86" i="2"/>
  <c r="BP78" i="2"/>
  <c r="BP70" i="2"/>
  <c r="BP62" i="2"/>
  <c r="BP54" i="2"/>
  <c r="BP46" i="2"/>
  <c r="BP38" i="2"/>
  <c r="BP30" i="2"/>
  <c r="BP22" i="2"/>
  <c r="BP14" i="2"/>
  <c r="BP157" i="2"/>
  <c r="BP149" i="2"/>
  <c r="BP141" i="2"/>
  <c r="BP133" i="2"/>
  <c r="BP125" i="2"/>
  <c r="BP117" i="2"/>
  <c r="BP109" i="2"/>
  <c r="BP101" i="2"/>
  <c r="BP93" i="2"/>
  <c r="BP85" i="2"/>
  <c r="BP77" i="2"/>
  <c r="BP69" i="2"/>
  <c r="BP61" i="2"/>
  <c r="BP53" i="2"/>
  <c r="BP45" i="2"/>
  <c r="BP37" i="2"/>
  <c r="BP29" i="2"/>
  <c r="BP21" i="2"/>
  <c r="BP13" i="2"/>
  <c r="BP6" i="2"/>
  <c r="BP163" i="2"/>
  <c r="BP153" i="2"/>
  <c r="BP143" i="2"/>
  <c r="BP131" i="2"/>
  <c r="BP121" i="2"/>
  <c r="BP111" i="2"/>
  <c r="BP99" i="2"/>
  <c r="BP89" i="2"/>
  <c r="BP79" i="2"/>
  <c r="BP67" i="2"/>
  <c r="BP57" i="2"/>
  <c r="BP47" i="2"/>
  <c r="BP35" i="2"/>
  <c r="BP25" i="2"/>
  <c r="BP15" i="2"/>
  <c r="BP162" i="2"/>
  <c r="BP152" i="2"/>
  <c r="BP140" i="2"/>
  <c r="BP130" i="2"/>
  <c r="BP120" i="2"/>
  <c r="BP108" i="2"/>
  <c r="BP98" i="2"/>
  <c r="BP88" i="2"/>
  <c r="BP76" i="2"/>
  <c r="BP66" i="2"/>
  <c r="BP56" i="2"/>
  <c r="BP44" i="2"/>
  <c r="BP34" i="2"/>
  <c r="BP24" i="2"/>
  <c r="BP12" i="2"/>
  <c r="BP160" i="2"/>
  <c r="BP148" i="2"/>
  <c r="BP138" i="2"/>
  <c r="BP128" i="2"/>
  <c r="BP116" i="2"/>
  <c r="BP106" i="2"/>
  <c r="BP96" i="2"/>
  <c r="BP84" i="2"/>
  <c r="BP74" i="2"/>
  <c r="BP64" i="2"/>
  <c r="BP52" i="2"/>
  <c r="BP42" i="2"/>
  <c r="BP32" i="2"/>
  <c r="BP20" i="2"/>
  <c r="BP10" i="2"/>
  <c r="BP159" i="2"/>
  <c r="BP147" i="2"/>
  <c r="BP137" i="2"/>
  <c r="BP127" i="2"/>
  <c r="BP115" i="2"/>
  <c r="BP105" i="2"/>
  <c r="BP95" i="2"/>
  <c r="BP83" i="2"/>
  <c r="BP73" i="2"/>
  <c r="BP63" i="2"/>
  <c r="BP51" i="2"/>
  <c r="BP41" i="2"/>
  <c r="BP31" i="2"/>
  <c r="BP19" i="2"/>
  <c r="BP9" i="2"/>
  <c r="BP156" i="2"/>
  <c r="BP146" i="2"/>
  <c r="BP136" i="2"/>
  <c r="BP124" i="2"/>
  <c r="BP114" i="2"/>
  <c r="BP104" i="2"/>
  <c r="BP92" i="2"/>
  <c r="BP82" i="2"/>
  <c r="BP72" i="2"/>
  <c r="BP60" i="2"/>
  <c r="BP50" i="2"/>
  <c r="BP40" i="2"/>
  <c r="BP28" i="2"/>
  <c r="BP18" i="2"/>
  <c r="BP8" i="2"/>
  <c r="BP145" i="2"/>
  <c r="BP119" i="2"/>
  <c r="BP90" i="2"/>
  <c r="BP59" i="2"/>
  <c r="BP33" i="2"/>
  <c r="BP139" i="2"/>
  <c r="BP81" i="2"/>
  <c r="BP55" i="2"/>
  <c r="BP26" i="2"/>
  <c r="BP164" i="2"/>
  <c r="BP135" i="2"/>
  <c r="BP107" i="2"/>
  <c r="BP80" i="2"/>
  <c r="BP49" i="2"/>
  <c r="BP144" i="2"/>
  <c r="BP113" i="2"/>
  <c r="BP87" i="2"/>
  <c r="BP58" i="2"/>
  <c r="BP27" i="2"/>
  <c r="BP112" i="2"/>
  <c r="BP23" i="2"/>
  <c r="BP122" i="2"/>
  <c r="BP65" i="2"/>
  <c r="BP7" i="2"/>
  <c r="BP36" i="2"/>
  <c r="BP161" i="2"/>
  <c r="BP132" i="2"/>
  <c r="BP103" i="2"/>
  <c r="BP75" i="2"/>
  <c r="BP48" i="2"/>
  <c r="BP17" i="2"/>
  <c r="BP155" i="2"/>
  <c r="BP129" i="2"/>
  <c r="BP100" i="2"/>
  <c r="BP71" i="2"/>
  <c r="BP43" i="2"/>
  <c r="BP16" i="2"/>
  <c r="BP154" i="2"/>
  <c r="BP123" i="2"/>
  <c r="BP97" i="2"/>
  <c r="BP68" i="2"/>
  <c r="BP39" i="2"/>
  <c r="BP11" i="2"/>
  <c r="BP151" i="2"/>
  <c r="BP91" i="2"/>
  <c r="CK162" i="2"/>
  <c r="CK154" i="2"/>
  <c r="CK146" i="2"/>
  <c r="CK138" i="2"/>
  <c r="CK130" i="2"/>
  <c r="CK122" i="2"/>
  <c r="CK114" i="2"/>
  <c r="CK106" i="2"/>
  <c r="CK98" i="2"/>
  <c r="CK90" i="2"/>
  <c r="CK82" i="2"/>
  <c r="CK74" i="2"/>
  <c r="CK66" i="2"/>
  <c r="CK58" i="2"/>
  <c r="CK50" i="2"/>
  <c r="CK42" i="2"/>
  <c r="CK34" i="2"/>
  <c r="CK26" i="2"/>
  <c r="CL26" i="2" s="1" a="1"/>
  <c r="CL26" i="2" s="1"/>
  <c r="CL27" i="2" s="1"/>
  <c r="CK18" i="2"/>
  <c r="CL18" i="2" s="1" a="1"/>
  <c r="CL18" i="2" s="1"/>
  <c r="CL19" i="2" s="1"/>
  <c r="CK10" i="2"/>
  <c r="CL10" i="2" s="1" a="1"/>
  <c r="CL10" i="2" s="1"/>
  <c r="CL11" i="2" s="1"/>
  <c r="CK158" i="2"/>
  <c r="CK149" i="2"/>
  <c r="CK140" i="2"/>
  <c r="CK131" i="2"/>
  <c r="CL131" i="2" s="1" a="1"/>
  <c r="CL131" i="2" s="1"/>
  <c r="CL132" i="2" s="1"/>
  <c r="CK121" i="2"/>
  <c r="CL121" i="2" s="1" a="1"/>
  <c r="CL121" i="2" s="1"/>
  <c r="CL122" i="2" s="1"/>
  <c r="CK112" i="2"/>
  <c r="CK103" i="2"/>
  <c r="CL103" i="2" s="1" a="1"/>
  <c r="CL103" i="2" s="1"/>
  <c r="CL104" i="2" s="1"/>
  <c r="CK94" i="2"/>
  <c r="CK85" i="2"/>
  <c r="CL85" i="2" s="1" a="1"/>
  <c r="CL85" i="2" s="1"/>
  <c r="CL86" i="2" s="1"/>
  <c r="CK76" i="2"/>
  <c r="CK67" i="2"/>
  <c r="CL67" i="2" s="1" a="1"/>
  <c r="CL67" i="2" s="1"/>
  <c r="CL68" i="2" s="1"/>
  <c r="CK57" i="2"/>
  <c r="CL57" i="2" s="1" a="1"/>
  <c r="CL57" i="2" s="1"/>
  <c r="CL58" i="2" s="1"/>
  <c r="CK48" i="2"/>
  <c r="CK39" i="2"/>
  <c r="CL39" i="2" s="1" a="1"/>
  <c r="CL39" i="2" s="1"/>
  <c r="CL40" i="2" s="1"/>
  <c r="CK30" i="2"/>
  <c r="CL30" i="2" s="1" a="1"/>
  <c r="CL30" i="2" s="1"/>
  <c r="CL31" i="2" s="1"/>
  <c r="CK21" i="2"/>
  <c r="CK12" i="2"/>
  <c r="CL12" i="2" s="1" a="1"/>
  <c r="CL12" i="2" s="1"/>
  <c r="CL13" i="2" s="1"/>
  <c r="CK161" i="2"/>
  <c r="CK152" i="2"/>
  <c r="CK143" i="2"/>
  <c r="CL143" i="2" s="1" a="1"/>
  <c r="CL143" i="2" s="1"/>
  <c r="CL144" i="2" s="1"/>
  <c r="CK134" i="2"/>
  <c r="CK125" i="2"/>
  <c r="CL125" i="2" s="1" a="1"/>
  <c r="CL125" i="2" s="1"/>
  <c r="CL126" i="2" s="1"/>
  <c r="CK116" i="2"/>
  <c r="CK107" i="2"/>
  <c r="CL107" i="2" s="1" a="1"/>
  <c r="CL107" i="2" s="1"/>
  <c r="CL108" i="2" s="1"/>
  <c r="CK97" i="2"/>
  <c r="CL97" i="2" s="1" a="1"/>
  <c r="CL97" i="2" s="1"/>
  <c r="CL98" i="2" s="1"/>
  <c r="CK88" i="2"/>
  <c r="CK79" i="2"/>
  <c r="CL79" i="2" s="1" a="1"/>
  <c r="CL79" i="2" s="1"/>
  <c r="CL80" i="2" s="1"/>
  <c r="CK70" i="2"/>
  <c r="CK61" i="2"/>
  <c r="CL61" i="2" s="1" a="1"/>
  <c r="CL61" i="2" s="1"/>
  <c r="CL62" i="2" s="1"/>
  <c r="CK52" i="2"/>
  <c r="CK43" i="2"/>
  <c r="CL43" i="2" s="1" a="1"/>
  <c r="CL43" i="2" s="1"/>
  <c r="CL44" i="2" s="1"/>
  <c r="CK33" i="2"/>
  <c r="CL33" i="2" s="1" a="1"/>
  <c r="CL33" i="2" s="1"/>
  <c r="CL34" i="2" s="1"/>
  <c r="CK24" i="2"/>
  <c r="CL24" i="2" s="1" a="1"/>
  <c r="CL24" i="2" s="1"/>
  <c r="CL25" i="2" s="1"/>
  <c r="CK15" i="2"/>
  <c r="CK155" i="2"/>
  <c r="CK142" i="2"/>
  <c r="CK129" i="2"/>
  <c r="CL129" i="2" s="1" a="1"/>
  <c r="CL129" i="2" s="1"/>
  <c r="CL130" i="2" s="1"/>
  <c r="CK118" i="2"/>
  <c r="CK105" i="2"/>
  <c r="CL105" i="2" s="1" a="1"/>
  <c r="CL105" i="2" s="1"/>
  <c r="CL106" i="2" s="1"/>
  <c r="CK93" i="2"/>
  <c r="CL93" i="2" s="1" a="1"/>
  <c r="CL93" i="2" s="1"/>
  <c r="CL94" i="2" s="1"/>
  <c r="CK81" i="2"/>
  <c r="CL81" i="2" s="1" a="1"/>
  <c r="CL81" i="2" s="1"/>
  <c r="CL82" i="2" s="1"/>
  <c r="CK69" i="2"/>
  <c r="CL69" i="2" s="1" a="1"/>
  <c r="CL69" i="2" s="1"/>
  <c r="CL70" i="2" s="1"/>
  <c r="CK56" i="2"/>
  <c r="CK45" i="2"/>
  <c r="CL45" i="2" s="1" a="1"/>
  <c r="CL45" i="2" s="1"/>
  <c r="CL46" i="2" s="1"/>
  <c r="CK32" i="2"/>
  <c r="CK20" i="2"/>
  <c r="CL20" i="2" s="1" a="1"/>
  <c r="CL20" i="2" s="1"/>
  <c r="CL21" i="2" s="1"/>
  <c r="CK8" i="2"/>
  <c r="CL8" i="2" s="1" a="1"/>
  <c r="CL8" i="2" s="1"/>
  <c r="CL9" i="2" s="1"/>
  <c r="CK163" i="2"/>
  <c r="CK150" i="2"/>
  <c r="CK137" i="2"/>
  <c r="CL137" i="2" s="1" a="1"/>
  <c r="CL137" i="2" s="1"/>
  <c r="CL138" i="2" s="1"/>
  <c r="CK126" i="2"/>
  <c r="CK113" i="2"/>
  <c r="CL113" i="2" s="1" a="1"/>
  <c r="CL113" i="2" s="1"/>
  <c r="CL114" i="2" s="1"/>
  <c r="CK101" i="2"/>
  <c r="CL101" i="2" s="1" a="1"/>
  <c r="CL101" i="2" s="1"/>
  <c r="CL102" i="2" s="1"/>
  <c r="CK89" i="2"/>
  <c r="CL89" i="2" s="1" a="1"/>
  <c r="CL89" i="2" s="1"/>
  <c r="CL90" i="2" s="1"/>
  <c r="CK77" i="2"/>
  <c r="CL77" i="2" s="1" a="1"/>
  <c r="CL77" i="2" s="1"/>
  <c r="CL78" i="2" s="1"/>
  <c r="CK64" i="2"/>
  <c r="CK53" i="2"/>
  <c r="CL53" i="2" s="1" a="1"/>
  <c r="CL53" i="2" s="1"/>
  <c r="CL54" i="2" s="1"/>
  <c r="CK40" i="2"/>
  <c r="CK28" i="2"/>
  <c r="CL28" i="2" s="1" a="1"/>
  <c r="CL28" i="2" s="1"/>
  <c r="CL29" i="2" s="1"/>
  <c r="CK16" i="2"/>
  <c r="CL16" i="2" s="1" a="1"/>
  <c r="CL16" i="2" s="1"/>
  <c r="CL17" i="2" s="1"/>
  <c r="CK160" i="2"/>
  <c r="CK148" i="2"/>
  <c r="CK136" i="2"/>
  <c r="CK124" i="2"/>
  <c r="CK111" i="2"/>
  <c r="CL111" i="2" s="1" a="1"/>
  <c r="CL111" i="2" s="1"/>
  <c r="CL112" i="2" s="1"/>
  <c r="CK100" i="2"/>
  <c r="CK87" i="2"/>
  <c r="CL87" i="2" s="1" a="1"/>
  <c r="CL87" i="2" s="1"/>
  <c r="CL88" i="2" s="1"/>
  <c r="CK75" i="2"/>
  <c r="CL75" i="2" s="1" a="1"/>
  <c r="CL75" i="2" s="1"/>
  <c r="CL76" i="2" s="1"/>
  <c r="CK63" i="2"/>
  <c r="CL63" i="2" s="1" a="1"/>
  <c r="CL63" i="2" s="1"/>
  <c r="CL64" i="2" s="1"/>
  <c r="CK51" i="2"/>
  <c r="CL51" i="2" s="1" a="1"/>
  <c r="CL51" i="2" s="1"/>
  <c r="CL52" i="2" s="1"/>
  <c r="CK38" i="2"/>
  <c r="CK27" i="2"/>
  <c r="CK14" i="2"/>
  <c r="CL14" i="2" s="1" a="1"/>
  <c r="CL14" i="2" s="1"/>
  <c r="CL15" i="2" s="1"/>
  <c r="CK147" i="2"/>
  <c r="CL147" i="2" s="1" a="1"/>
  <c r="CL147" i="2" s="1"/>
  <c r="CK128" i="2"/>
  <c r="CK109" i="2"/>
  <c r="CL109" i="2" s="1" a="1"/>
  <c r="CL109" i="2" s="1"/>
  <c r="CL110" i="2" s="1"/>
  <c r="CK91" i="2"/>
  <c r="CL91" i="2" s="1" a="1"/>
  <c r="CL91" i="2" s="1"/>
  <c r="CL92" i="2" s="1"/>
  <c r="CK71" i="2"/>
  <c r="CL71" i="2" s="1" a="1"/>
  <c r="CL71" i="2" s="1"/>
  <c r="CL72" i="2" s="1"/>
  <c r="CK49" i="2"/>
  <c r="CL49" i="2" s="1" a="1"/>
  <c r="CL49" i="2" s="1"/>
  <c r="CL50" i="2" s="1"/>
  <c r="CK31" i="2"/>
  <c r="CK11" i="2"/>
  <c r="CK145" i="2"/>
  <c r="CL145" i="2" s="1" a="1"/>
  <c r="CL145" i="2" s="1"/>
  <c r="CL146" i="2" s="1"/>
  <c r="CK127" i="2"/>
  <c r="CL127" i="2" s="1" a="1"/>
  <c r="CL127" i="2" s="1"/>
  <c r="CL128" i="2" s="1"/>
  <c r="CK108" i="2"/>
  <c r="CK86" i="2"/>
  <c r="CK68" i="2"/>
  <c r="CK47" i="2"/>
  <c r="CL47" i="2" s="1" a="1"/>
  <c r="CL47" i="2" s="1"/>
  <c r="CL48" i="2" s="1"/>
  <c r="CK29" i="2"/>
  <c r="CK9" i="2"/>
  <c r="CK159" i="2"/>
  <c r="CK141" i="2"/>
  <c r="CL141" i="2" s="1" a="1"/>
  <c r="CL141" i="2" s="1"/>
  <c r="CL142" i="2" s="1"/>
  <c r="CK120" i="2"/>
  <c r="CK102" i="2"/>
  <c r="CK83" i="2"/>
  <c r="CL83" i="2" s="1" a="1"/>
  <c r="CL83" i="2" s="1"/>
  <c r="CL84" i="2" s="1"/>
  <c r="CK62" i="2"/>
  <c r="CK44" i="2"/>
  <c r="CK23" i="2"/>
  <c r="CK6" i="2"/>
  <c r="CL6" i="2" s="1" a="1"/>
  <c r="CL6" i="2" s="1"/>
  <c r="CK133" i="2"/>
  <c r="CL133" i="2" s="1" a="1"/>
  <c r="CL133" i="2" s="1"/>
  <c r="CL134" i="2" s="1"/>
  <c r="CK95" i="2"/>
  <c r="CL95" i="2" s="1" a="1"/>
  <c r="CL95" i="2" s="1"/>
  <c r="CL96" i="2" s="1"/>
  <c r="CK73" i="2"/>
  <c r="CL73" i="2" s="1" a="1"/>
  <c r="CL73" i="2" s="1"/>
  <c r="CL74" i="2" s="1"/>
  <c r="CK36" i="2"/>
  <c r="CK17" i="2"/>
  <c r="CK157" i="2"/>
  <c r="CK139" i="2"/>
  <c r="CL139" i="2" s="1" a="1"/>
  <c r="CL139" i="2" s="1"/>
  <c r="CL140" i="2" s="1"/>
  <c r="CK119" i="2"/>
  <c r="CL119" i="2" s="1" a="1"/>
  <c r="CL119" i="2" s="1"/>
  <c r="CL120" i="2" s="1"/>
  <c r="CK99" i="2"/>
  <c r="CL99" i="2" s="1" a="1"/>
  <c r="CL99" i="2" s="1"/>
  <c r="CL100" i="2" s="1"/>
  <c r="CK80" i="2"/>
  <c r="CK60" i="2"/>
  <c r="CK41" i="2"/>
  <c r="CL41" i="2" s="1" a="1"/>
  <c r="CL41" i="2" s="1"/>
  <c r="CL42" i="2" s="1"/>
  <c r="CK22" i="2"/>
  <c r="CL22" i="2" s="1" a="1"/>
  <c r="CL22" i="2" s="1"/>
  <c r="CL23" i="2" s="1"/>
  <c r="CK153" i="2"/>
  <c r="CK115" i="2"/>
  <c r="CL115" i="2" s="1" a="1"/>
  <c r="CL115" i="2" s="1"/>
  <c r="CL116" i="2" s="1"/>
  <c r="CK55" i="2"/>
  <c r="CL55" i="2" s="1" a="1"/>
  <c r="CL55" i="2" s="1"/>
  <c r="CL56" i="2" s="1"/>
  <c r="CK156" i="2"/>
  <c r="CK135" i="2"/>
  <c r="CL135" i="2" s="1" a="1"/>
  <c r="CL135" i="2" s="1"/>
  <c r="CL136" i="2" s="1"/>
  <c r="CK117" i="2"/>
  <c r="CL117" i="2" s="1" a="1"/>
  <c r="CL117" i="2" s="1"/>
  <c r="CL118" i="2" s="1"/>
  <c r="CK96" i="2"/>
  <c r="CK78" i="2"/>
  <c r="CK59" i="2"/>
  <c r="CL59" i="2" s="1" a="1"/>
  <c r="CL59" i="2" s="1"/>
  <c r="CL60" i="2" s="1"/>
  <c r="CK37" i="2"/>
  <c r="CL37" i="2" s="1" a="1"/>
  <c r="CL37" i="2" s="1"/>
  <c r="CL38" i="2" s="1"/>
  <c r="CK19" i="2"/>
  <c r="CK144" i="2"/>
  <c r="CK65" i="2"/>
  <c r="CL65" i="2" s="1" a="1"/>
  <c r="CL65" i="2" s="1"/>
  <c r="CL66" i="2" s="1"/>
  <c r="CK110" i="2"/>
  <c r="CK35" i="2"/>
  <c r="CL35" i="2" s="1" a="1"/>
  <c r="CL35" i="2" s="1"/>
  <c r="CL36" i="2" s="1"/>
  <c r="CK132" i="2"/>
  <c r="CK54" i="2"/>
  <c r="CK123" i="2"/>
  <c r="CL123" i="2" s="1" a="1"/>
  <c r="CL123" i="2" s="1"/>
  <c r="CL124" i="2" s="1"/>
  <c r="CK46" i="2"/>
  <c r="CK104" i="2"/>
  <c r="CK25" i="2"/>
  <c r="CK164" i="2"/>
  <c r="CK84" i="2"/>
  <c r="CK7" i="2"/>
  <c r="CK151" i="2"/>
  <c r="CK72" i="2"/>
  <c r="CK92" i="2"/>
  <c r="CK13" i="2"/>
  <c r="AO51" i="2"/>
  <c r="AP51" i="2" s="1"/>
  <c r="V51" i="2"/>
  <c r="AR51" i="2"/>
  <c r="AG51" i="2" s="1"/>
  <c r="AO81" i="2"/>
  <c r="AP81" i="2" s="1"/>
  <c r="AG81" i="2" s="1"/>
  <c r="V81" i="2"/>
  <c r="AQ43" i="2"/>
  <c r="AG30" i="2"/>
  <c r="CP6" i="2" a="1"/>
  <c r="V55" i="2"/>
  <c r="AO55" i="2"/>
  <c r="AX139" i="2"/>
  <c r="AB139" i="2"/>
  <c r="AQ143" i="2"/>
  <c r="AO79" i="2"/>
  <c r="AP79" i="2" s="1"/>
  <c r="AG79" i="2" s="1"/>
  <c r="V79" i="2"/>
  <c r="Z115" i="2"/>
  <c r="X115" i="2"/>
  <c r="V127" i="2"/>
  <c r="AO127" i="2"/>
  <c r="AP127" i="2" s="1"/>
  <c r="AG127" i="2" s="1"/>
  <c r="AQ33" i="2"/>
  <c r="AQ141" i="2"/>
  <c r="AQ137" i="2"/>
  <c r="X141" i="2"/>
  <c r="Z141" i="2"/>
  <c r="AX43" i="2"/>
  <c r="AB43" i="2"/>
  <c r="V113" i="2"/>
  <c r="AO113" i="2"/>
  <c r="AP113" i="2" s="1"/>
  <c r="AG113" i="2" s="1"/>
  <c r="V135" i="2"/>
  <c r="AO135" i="2"/>
  <c r="AP135" i="2" s="1"/>
  <c r="AG135" i="2" s="1"/>
  <c r="V123" i="2"/>
  <c r="AO123" i="2"/>
  <c r="AP123" i="2" s="1"/>
  <c r="AG123" i="2" s="1"/>
  <c r="AO41" i="2"/>
  <c r="AP41" i="2" s="1"/>
  <c r="V41" i="2"/>
  <c r="AO63" i="2"/>
  <c r="AP63" i="2" s="1"/>
  <c r="AG63" i="2" s="1"/>
  <c r="V63" i="2"/>
  <c r="AO65" i="2"/>
  <c r="AP65" i="2" s="1"/>
  <c r="AG65" i="2" s="1"/>
  <c r="V65" i="2"/>
  <c r="X117" i="2"/>
  <c r="Z117" i="2"/>
  <c r="V103" i="2"/>
  <c r="AO103" i="2"/>
  <c r="AP103" i="2" s="1"/>
  <c r="AG103" i="2" s="1"/>
  <c r="AQ115" i="2"/>
  <c r="Z101" i="2"/>
  <c r="X101" i="2"/>
  <c r="AO49" i="2"/>
  <c r="AP49" i="2" s="1"/>
  <c r="V49" i="2"/>
  <c r="AQ105" i="2"/>
  <c r="Z77" i="2"/>
  <c r="X77" i="2"/>
  <c r="AO129" i="2"/>
  <c r="AP129" i="2" s="1"/>
  <c r="AG129" i="2" s="1"/>
  <c r="V129" i="2"/>
  <c r="X85" i="2"/>
  <c r="Z85" i="2"/>
  <c r="AO95" i="2"/>
  <c r="AP95" i="2" s="1"/>
  <c r="AG95" i="2" s="1"/>
  <c r="V95" i="2"/>
  <c r="AO10" i="2"/>
  <c r="AP10" i="2" s="1"/>
  <c r="V10" i="2"/>
  <c r="AO109" i="2"/>
  <c r="AP109" i="2" s="1"/>
  <c r="AG109" i="2" s="1"/>
  <c r="V109" i="2"/>
  <c r="AQ125" i="2"/>
  <c r="AO99" i="2"/>
  <c r="AP99" i="2" s="1"/>
  <c r="AG99" i="2" s="1"/>
  <c r="V99" i="2"/>
  <c r="Z30" i="2"/>
  <c r="X30" i="2"/>
  <c r="AO39" i="2"/>
  <c r="AP39" i="2" s="1"/>
  <c r="V39" i="2"/>
  <c r="X33" i="2"/>
  <c r="Z33" i="2"/>
  <c r="AQ117" i="2"/>
  <c r="AO71" i="2"/>
  <c r="AP71" i="2" s="1"/>
  <c r="AG71" i="2" s="1"/>
  <c r="V71" i="2"/>
  <c r="AO87" i="2"/>
  <c r="AP87" i="2" s="1"/>
  <c r="AG87" i="2" s="1"/>
  <c r="V87" i="2"/>
  <c r="Z93" i="2"/>
  <c r="X93" i="2"/>
  <c r="AX18" i="2"/>
  <c r="AB18" i="2"/>
  <c r="AG16" i="2"/>
  <c r="V24" i="2"/>
  <c r="AO24" i="2"/>
  <c r="AP24" i="2" s="1"/>
  <c r="AO20" i="2"/>
  <c r="AP20" i="2" s="1"/>
  <c r="V20" i="2"/>
  <c r="AQ12" i="2"/>
  <c r="V83" i="2"/>
  <c r="AO83" i="2"/>
  <c r="AP83" i="2" s="1"/>
  <c r="AG83" i="2" s="1"/>
  <c r="AR45" i="2"/>
  <c r="AG45" i="2" s="1"/>
  <c r="AO119" i="2"/>
  <c r="AP119" i="2" s="1"/>
  <c r="AG119" i="2" s="1"/>
  <c r="V119" i="2"/>
  <c r="AO121" i="2"/>
  <c r="AP121" i="2" s="1"/>
  <c r="AG121" i="2" s="1"/>
  <c r="V121" i="2"/>
  <c r="AX89" i="2"/>
  <c r="AB89" i="2"/>
  <c r="Z125" i="2"/>
  <c r="X125" i="2"/>
  <c r="X137" i="2"/>
  <c r="Z137" i="2"/>
  <c r="AO28" i="2"/>
  <c r="AP28" i="2" s="1"/>
  <c r="V28" i="2"/>
  <c r="AQ147" i="2"/>
  <c r="X97" i="2"/>
  <c r="Z97" i="2"/>
  <c r="Z105" i="2"/>
  <c r="X105" i="2"/>
  <c r="AR24" i="2"/>
  <c r="AG24" i="2" s="1"/>
  <c r="AO133" i="2"/>
  <c r="AP133" i="2" s="1"/>
  <c r="AG133" i="2" s="1"/>
  <c r="V133" i="2"/>
  <c r="AO111" i="2"/>
  <c r="V111" i="2"/>
  <c r="AQ101" i="2"/>
  <c r="AQ61" i="2"/>
  <c r="AO107" i="2"/>
  <c r="AP107" i="2" s="1"/>
  <c r="AG107" i="2" s="1"/>
  <c r="V107" i="2"/>
  <c r="AQ77" i="2"/>
  <c r="AO45" i="2"/>
  <c r="AP45" i="2" s="1"/>
  <c r="V45" i="2"/>
  <c r="X37" i="2"/>
  <c r="Z37" i="2"/>
  <c r="AO22" i="2"/>
  <c r="AP22" i="2" s="1"/>
  <c r="V22" i="2"/>
  <c r="AR22" i="2"/>
  <c r="AG22" i="2" s="1"/>
  <c r="CG7" i="2"/>
  <c r="CH6" i="2" s="1" a="1"/>
  <c r="Z147" i="2"/>
  <c r="X147" i="2"/>
  <c r="AO145" i="2"/>
  <c r="AP145" i="2" s="1"/>
  <c r="AG145" i="2" s="1"/>
  <c r="V145" i="2"/>
  <c r="V53" i="2"/>
  <c r="AR53" i="2" s="1"/>
  <c r="AG53" i="2" s="1"/>
  <c r="AO53" i="2"/>
  <c r="AP53" i="2" s="1"/>
  <c r="X69" i="2"/>
  <c r="Z69" i="2"/>
  <c r="AO73" i="2"/>
  <c r="AP73" i="2" s="1"/>
  <c r="AG73" i="2" s="1"/>
  <c r="V73" i="2"/>
  <c r="AQ97" i="2"/>
  <c r="AO14" i="2"/>
  <c r="AP14" i="2" s="1"/>
  <c r="V14" i="2"/>
  <c r="AR14" i="2" s="1"/>
  <c r="AG14" i="2" s="1"/>
  <c r="AR28" i="2"/>
  <c r="AG28" i="2" s="1"/>
  <c r="AQ18" i="2"/>
  <c r="BU164" i="2"/>
  <c r="BU156" i="2"/>
  <c r="BU148" i="2"/>
  <c r="BU140" i="2"/>
  <c r="BU132" i="2"/>
  <c r="BU124" i="2"/>
  <c r="BU116" i="2"/>
  <c r="BU108" i="2"/>
  <c r="BU100" i="2"/>
  <c r="BU92" i="2"/>
  <c r="BU84" i="2"/>
  <c r="BU76" i="2"/>
  <c r="BU68" i="2"/>
  <c r="BU60" i="2"/>
  <c r="BU52" i="2"/>
  <c r="BU44" i="2"/>
  <c r="BU36" i="2"/>
  <c r="BU28" i="2"/>
  <c r="BU20" i="2"/>
  <c r="BU12" i="2"/>
  <c r="BU163" i="2"/>
  <c r="BU155" i="2"/>
  <c r="BU147" i="2"/>
  <c r="BU139" i="2"/>
  <c r="BU131" i="2"/>
  <c r="BU123" i="2"/>
  <c r="BU115" i="2"/>
  <c r="BU107" i="2"/>
  <c r="BU99" i="2"/>
  <c r="BU91" i="2"/>
  <c r="BU83" i="2"/>
  <c r="BU75" i="2"/>
  <c r="BU67" i="2"/>
  <c r="BU59" i="2"/>
  <c r="BU51" i="2"/>
  <c r="BU43" i="2"/>
  <c r="BU35" i="2"/>
  <c r="BU27" i="2"/>
  <c r="BU19" i="2"/>
  <c r="BU11" i="2"/>
  <c r="BU161" i="2"/>
  <c r="BU151" i="2"/>
  <c r="BU141" i="2"/>
  <c r="BU129" i="2"/>
  <c r="BU119" i="2"/>
  <c r="BU109" i="2"/>
  <c r="BU97" i="2"/>
  <c r="BU87" i="2"/>
  <c r="BU77" i="2"/>
  <c r="BU65" i="2"/>
  <c r="BU55" i="2"/>
  <c r="BU45" i="2"/>
  <c r="BU33" i="2"/>
  <c r="BU23" i="2"/>
  <c r="BU13" i="2"/>
  <c r="BU160" i="2"/>
  <c r="BU150" i="2"/>
  <c r="BU138" i="2"/>
  <c r="BU128" i="2"/>
  <c r="BU118" i="2"/>
  <c r="BU106" i="2"/>
  <c r="BU96" i="2"/>
  <c r="BU86" i="2"/>
  <c r="BU74" i="2"/>
  <c r="BU64" i="2"/>
  <c r="BU54" i="2"/>
  <c r="BU42" i="2"/>
  <c r="BU32" i="2"/>
  <c r="BU22" i="2"/>
  <c r="BU10" i="2"/>
  <c r="BU158" i="2"/>
  <c r="BU146" i="2"/>
  <c r="BU136" i="2"/>
  <c r="BU126" i="2"/>
  <c r="BU114" i="2"/>
  <c r="BU104" i="2"/>
  <c r="BU94" i="2"/>
  <c r="BU82" i="2"/>
  <c r="BU72" i="2"/>
  <c r="BU62" i="2"/>
  <c r="BU50" i="2"/>
  <c r="BU40" i="2"/>
  <c r="BU30" i="2"/>
  <c r="BU18" i="2"/>
  <c r="BU8" i="2"/>
  <c r="BU157" i="2"/>
  <c r="BU145" i="2"/>
  <c r="BU135" i="2"/>
  <c r="BU125" i="2"/>
  <c r="BU113" i="2"/>
  <c r="BU103" i="2"/>
  <c r="BU93" i="2"/>
  <c r="BU81" i="2"/>
  <c r="BU71" i="2"/>
  <c r="BU61" i="2"/>
  <c r="BU49" i="2"/>
  <c r="BU39" i="2"/>
  <c r="BU29" i="2"/>
  <c r="BU17" i="2"/>
  <c r="BU7" i="2"/>
  <c r="BU154" i="2"/>
  <c r="BU144" i="2"/>
  <c r="BU134" i="2"/>
  <c r="BU122" i="2"/>
  <c r="BU112" i="2"/>
  <c r="BU102" i="2"/>
  <c r="BU90" i="2"/>
  <c r="BU80" i="2"/>
  <c r="BU70" i="2"/>
  <c r="BU58" i="2"/>
  <c r="BU48" i="2"/>
  <c r="BU38" i="2"/>
  <c r="BU26" i="2"/>
  <c r="BU16" i="2"/>
  <c r="BU149" i="2"/>
  <c r="BU120" i="2"/>
  <c r="BU89" i="2"/>
  <c r="BU63" i="2"/>
  <c r="BU34" i="2"/>
  <c r="BU6" i="2"/>
  <c r="BU110" i="2"/>
  <c r="BU79" i="2"/>
  <c r="BU53" i="2"/>
  <c r="BU24" i="2"/>
  <c r="BU143" i="2"/>
  <c r="BU117" i="2"/>
  <c r="BU88" i="2"/>
  <c r="BU57" i="2"/>
  <c r="BU31" i="2"/>
  <c r="BU137" i="2"/>
  <c r="BU152" i="2"/>
  <c r="BU9" i="2"/>
  <c r="BU142" i="2"/>
  <c r="BU111" i="2"/>
  <c r="BU85" i="2"/>
  <c r="BU56" i="2"/>
  <c r="BU25" i="2"/>
  <c r="BU162" i="2"/>
  <c r="BU133" i="2"/>
  <c r="BU105" i="2"/>
  <c r="BU78" i="2"/>
  <c r="BU47" i="2"/>
  <c r="BU21" i="2"/>
  <c r="BU153" i="2"/>
  <c r="BU127" i="2"/>
  <c r="BU98" i="2"/>
  <c r="BU69" i="2"/>
  <c r="BU41" i="2"/>
  <c r="BU121" i="2"/>
  <c r="BU95" i="2"/>
  <c r="BU66" i="2"/>
  <c r="BU37" i="2"/>
  <c r="BU159" i="2"/>
  <c r="BU130" i="2"/>
  <c r="BU101" i="2"/>
  <c r="BU73" i="2"/>
  <c r="BU46" i="2"/>
  <c r="BU15" i="2"/>
  <c r="BU14" i="2"/>
  <c r="X26" i="2"/>
  <c r="Z26" i="2"/>
  <c r="AR55" i="2"/>
  <c r="AQ69" i="2"/>
  <c r="AR41" i="2"/>
  <c r="AG41" i="2" s="1"/>
  <c r="AX59" i="2"/>
  <c r="AB59" i="2"/>
  <c r="AQ93" i="2"/>
  <c r="Z61" i="2"/>
  <c r="X61" i="2"/>
  <c r="AR49" i="2"/>
  <c r="AG49" i="2" s="1"/>
  <c r="DD6" i="2" a="1"/>
  <c r="CY6" i="2" a="1"/>
  <c r="AO6" i="2"/>
  <c r="AP6" i="2" s="1"/>
  <c r="V6" i="2"/>
  <c r="AR6" i="2" s="1"/>
  <c r="AG6" i="2" s="1"/>
  <c r="Z12" i="2"/>
  <c r="X12" i="2"/>
  <c r="AP111" i="2"/>
  <c r="AG111" i="2" s="1"/>
  <c r="AO47" i="2"/>
  <c r="AP47" i="2" s="1"/>
  <c r="V47" i="2"/>
  <c r="Z35" i="2"/>
  <c r="X35" i="2"/>
  <c r="AR35" i="2"/>
  <c r="AG35" i="2" s="1"/>
  <c r="AO67" i="2"/>
  <c r="AP67" i="2" s="1"/>
  <c r="AG67" i="2" s="1"/>
  <c r="V67" i="2"/>
  <c r="AO75" i="2"/>
  <c r="AP75" i="2" s="1"/>
  <c r="AG75" i="2" s="1"/>
  <c r="V75" i="2"/>
  <c r="V8" i="2"/>
  <c r="AO8" i="2"/>
  <c r="AP8" i="2" s="1"/>
  <c r="AR10" i="2"/>
  <c r="AG10" i="2" s="1"/>
  <c r="CT164" i="2"/>
  <c r="CT156" i="2"/>
  <c r="CT148" i="2"/>
  <c r="CT140" i="2"/>
  <c r="CT132" i="2"/>
  <c r="CT124" i="2"/>
  <c r="CT116" i="2"/>
  <c r="CT108" i="2"/>
  <c r="CT100" i="2"/>
  <c r="CT92" i="2"/>
  <c r="CT84" i="2"/>
  <c r="CT76" i="2"/>
  <c r="CT68" i="2"/>
  <c r="CT60" i="2"/>
  <c r="CT52" i="2"/>
  <c r="CT44" i="2"/>
  <c r="CT36" i="2"/>
  <c r="CT28" i="2"/>
  <c r="CT20" i="2"/>
  <c r="CT12" i="2"/>
  <c r="CT157" i="2"/>
  <c r="CT147" i="2"/>
  <c r="CT138" i="2"/>
  <c r="CT129" i="2"/>
  <c r="CT120" i="2"/>
  <c r="CT111" i="2"/>
  <c r="CT102" i="2"/>
  <c r="CT93" i="2"/>
  <c r="CT83" i="2"/>
  <c r="CT74" i="2"/>
  <c r="CT65" i="2"/>
  <c r="CT56" i="2"/>
  <c r="CT47" i="2"/>
  <c r="CT38" i="2"/>
  <c r="CT29" i="2"/>
  <c r="CT19" i="2"/>
  <c r="CT10" i="2"/>
  <c r="CT155" i="2"/>
  <c r="CT146" i="2"/>
  <c r="CT137" i="2"/>
  <c r="CT128" i="2"/>
  <c r="CT119" i="2"/>
  <c r="CT110" i="2"/>
  <c r="CT101" i="2"/>
  <c r="CT91" i="2"/>
  <c r="CT82" i="2"/>
  <c r="CT73" i="2"/>
  <c r="CT64" i="2"/>
  <c r="CT55" i="2"/>
  <c r="CT46" i="2"/>
  <c r="CT37" i="2"/>
  <c r="CT27" i="2"/>
  <c r="CT18" i="2"/>
  <c r="CT9" i="2"/>
  <c r="CT162" i="2"/>
  <c r="CT153" i="2"/>
  <c r="CT144" i="2"/>
  <c r="CT135" i="2"/>
  <c r="CT126" i="2"/>
  <c r="CT117" i="2"/>
  <c r="CT107" i="2"/>
  <c r="CT98" i="2"/>
  <c r="CT89" i="2"/>
  <c r="CT80" i="2"/>
  <c r="CT71" i="2"/>
  <c r="CT62" i="2"/>
  <c r="CT53" i="2"/>
  <c r="CT43" i="2"/>
  <c r="CT34" i="2"/>
  <c r="CT25" i="2"/>
  <c r="CT16" i="2"/>
  <c r="CT7" i="2"/>
  <c r="CT160" i="2"/>
  <c r="CT151" i="2"/>
  <c r="CT142" i="2"/>
  <c r="CT133" i="2"/>
  <c r="CT123" i="2"/>
  <c r="CT114" i="2"/>
  <c r="CT105" i="2"/>
  <c r="CT96" i="2"/>
  <c r="CT87" i="2"/>
  <c r="CT78" i="2"/>
  <c r="CT69" i="2"/>
  <c r="CT59" i="2"/>
  <c r="CT50" i="2"/>
  <c r="CT41" i="2"/>
  <c r="CT32" i="2"/>
  <c r="CT23" i="2"/>
  <c r="CT14" i="2"/>
  <c r="CT6" i="2"/>
  <c r="CT152" i="2"/>
  <c r="CT134" i="2"/>
  <c r="CT115" i="2"/>
  <c r="CT97" i="2"/>
  <c r="CT79" i="2"/>
  <c r="CT61" i="2"/>
  <c r="CT42" i="2"/>
  <c r="CT24" i="2"/>
  <c r="CT150" i="2"/>
  <c r="CT131" i="2"/>
  <c r="CT113" i="2"/>
  <c r="CT95" i="2"/>
  <c r="CT77" i="2"/>
  <c r="CT58" i="2"/>
  <c r="CT40" i="2"/>
  <c r="CT22" i="2"/>
  <c r="CT161" i="2"/>
  <c r="CT143" i="2"/>
  <c r="CT125" i="2"/>
  <c r="CT106" i="2"/>
  <c r="CT88" i="2"/>
  <c r="CT70" i="2"/>
  <c r="CT51" i="2"/>
  <c r="CT33" i="2"/>
  <c r="CT15" i="2"/>
  <c r="CT159" i="2"/>
  <c r="CT141" i="2"/>
  <c r="CT122" i="2"/>
  <c r="CT104" i="2"/>
  <c r="CT86" i="2"/>
  <c r="CT67" i="2"/>
  <c r="CT49" i="2"/>
  <c r="CT31" i="2"/>
  <c r="CT13" i="2"/>
  <c r="CT145" i="2"/>
  <c r="CT109" i="2"/>
  <c r="CT72" i="2"/>
  <c r="CT35" i="2"/>
  <c r="CT139" i="2"/>
  <c r="CT103" i="2"/>
  <c r="CT66" i="2"/>
  <c r="CT30" i="2"/>
  <c r="CT136" i="2"/>
  <c r="CT99" i="2"/>
  <c r="CT63" i="2"/>
  <c r="CT26" i="2"/>
  <c r="CT130" i="2"/>
  <c r="CT94" i="2"/>
  <c r="CT57" i="2"/>
  <c r="CT21" i="2"/>
  <c r="CT118" i="2"/>
  <c r="CT81" i="2"/>
  <c r="CT8" i="2"/>
  <c r="CT163" i="2"/>
  <c r="CT127" i="2"/>
  <c r="CT90" i="2"/>
  <c r="CT54" i="2"/>
  <c r="CT17" i="2"/>
  <c r="CT154" i="2"/>
  <c r="CT45" i="2"/>
  <c r="CT158" i="2"/>
  <c r="CT121" i="2"/>
  <c r="CT85" i="2"/>
  <c r="CT48" i="2"/>
  <c r="CT11" i="2"/>
  <c r="CT149" i="2"/>
  <c r="CT112" i="2"/>
  <c r="CT39" i="2"/>
  <c r="CT75" i="2"/>
  <c r="V57" i="2"/>
  <c r="AO57" i="2"/>
  <c r="AP57" i="2" s="1"/>
  <c r="Z16" i="2"/>
  <c r="X16" i="2"/>
  <c r="AO131" i="2"/>
  <c r="AP131" i="2" s="1"/>
  <c r="AG131" i="2" s="1"/>
  <c r="V131" i="2"/>
  <c r="AP55" i="2"/>
  <c r="Z143" i="2"/>
  <c r="X143" i="2"/>
  <c r="AO91" i="2"/>
  <c r="AP91" i="2" s="1"/>
  <c r="AG91" i="2" s="1"/>
  <c r="V91" i="2"/>
  <c r="AR26" i="2"/>
  <c r="AG26" i="2" s="1"/>
  <c r="AQ14" i="2" l="1"/>
  <c r="AQ6" i="2"/>
  <c r="AQ53" i="2"/>
  <c r="CH163" i="2"/>
  <c r="CH155" i="2"/>
  <c r="CH147" i="2"/>
  <c r="CH139" i="2"/>
  <c r="CH131" i="2"/>
  <c r="CH123" i="2"/>
  <c r="CH115" i="2"/>
  <c r="CH107" i="2"/>
  <c r="CH99" i="2"/>
  <c r="CH91" i="2"/>
  <c r="CH83" i="2"/>
  <c r="CH75" i="2"/>
  <c r="CH67" i="2"/>
  <c r="CH59" i="2"/>
  <c r="CH51" i="2"/>
  <c r="CH43" i="2"/>
  <c r="CH35" i="2"/>
  <c r="CH27" i="2"/>
  <c r="CH19" i="2"/>
  <c r="CH11" i="2"/>
  <c r="CH159" i="2"/>
  <c r="CH150" i="2"/>
  <c r="CH141" i="2"/>
  <c r="CH132" i="2"/>
  <c r="CH122" i="2"/>
  <c r="CH113" i="2"/>
  <c r="CH104" i="2"/>
  <c r="CH95" i="2"/>
  <c r="CH86" i="2"/>
  <c r="CH77" i="2"/>
  <c r="CH68" i="2"/>
  <c r="CH58" i="2"/>
  <c r="CH49" i="2"/>
  <c r="CH40" i="2"/>
  <c r="CH31" i="2"/>
  <c r="CH22" i="2"/>
  <c r="CH13" i="2"/>
  <c r="CH160" i="2"/>
  <c r="CH149" i="2"/>
  <c r="CH138" i="2"/>
  <c r="CH128" i="2"/>
  <c r="CH118" i="2"/>
  <c r="CH108" i="2"/>
  <c r="CH97" i="2"/>
  <c r="CH87" i="2"/>
  <c r="CH76" i="2"/>
  <c r="CH65" i="2"/>
  <c r="CH55" i="2"/>
  <c r="CH45" i="2"/>
  <c r="CH34" i="2"/>
  <c r="CH24" i="2"/>
  <c r="CH14" i="2"/>
  <c r="CH156" i="2"/>
  <c r="CH145" i="2"/>
  <c r="CH135" i="2"/>
  <c r="CH125" i="2"/>
  <c r="CH114" i="2"/>
  <c r="CH103" i="2"/>
  <c r="CH93" i="2"/>
  <c r="CH82" i="2"/>
  <c r="CH72" i="2"/>
  <c r="CH62" i="2"/>
  <c r="CH52" i="2"/>
  <c r="CH41" i="2"/>
  <c r="CH30" i="2"/>
  <c r="CH20" i="2"/>
  <c r="CH9" i="2"/>
  <c r="CH154" i="2"/>
  <c r="CH144" i="2"/>
  <c r="CH134" i="2"/>
  <c r="CH124" i="2"/>
  <c r="CH112" i="2"/>
  <c r="CH102" i="2"/>
  <c r="CH92" i="2"/>
  <c r="CH81" i="2"/>
  <c r="CH71" i="2"/>
  <c r="CH61" i="2"/>
  <c r="CH50" i="2"/>
  <c r="CH39" i="2"/>
  <c r="CH29" i="2"/>
  <c r="CH18" i="2"/>
  <c r="CH8" i="2"/>
  <c r="CH152" i="2"/>
  <c r="CH136" i="2"/>
  <c r="CH119" i="2"/>
  <c r="CH101" i="2"/>
  <c r="CH85" i="2"/>
  <c r="CH69" i="2"/>
  <c r="CH53" i="2"/>
  <c r="CH36" i="2"/>
  <c r="CH17" i="2"/>
  <c r="CH151" i="2"/>
  <c r="CH133" i="2"/>
  <c r="CH117" i="2"/>
  <c r="CH100" i="2"/>
  <c r="CH84" i="2"/>
  <c r="CH66" i="2"/>
  <c r="CH48" i="2"/>
  <c r="CH33" i="2"/>
  <c r="CH16" i="2"/>
  <c r="CH162" i="2"/>
  <c r="CH146" i="2"/>
  <c r="CH129" i="2"/>
  <c r="CH111" i="2"/>
  <c r="CH96" i="2"/>
  <c r="CH79" i="2"/>
  <c r="CH63" i="2"/>
  <c r="CH46" i="2"/>
  <c r="CH28" i="2"/>
  <c r="CH12" i="2"/>
  <c r="CH140" i="2"/>
  <c r="CH121" i="2"/>
  <c r="CH89" i="2"/>
  <c r="CH56" i="2"/>
  <c r="CH161" i="2"/>
  <c r="CH143" i="2"/>
  <c r="CH127" i="2"/>
  <c r="CH110" i="2"/>
  <c r="CH94" i="2"/>
  <c r="CH78" i="2"/>
  <c r="CH60" i="2"/>
  <c r="CH44" i="2"/>
  <c r="CH26" i="2"/>
  <c r="CH10" i="2"/>
  <c r="CH157" i="2"/>
  <c r="CH106" i="2"/>
  <c r="CH73" i="2"/>
  <c r="CH38" i="2"/>
  <c r="CH23" i="2"/>
  <c r="CH158" i="2"/>
  <c r="CH142" i="2"/>
  <c r="CH126" i="2"/>
  <c r="CH109" i="2"/>
  <c r="CH90" i="2"/>
  <c r="CH74" i="2"/>
  <c r="CH57" i="2"/>
  <c r="CH42" i="2"/>
  <c r="CH25" i="2"/>
  <c r="CH7" i="2"/>
  <c r="CH164" i="2"/>
  <c r="CH98" i="2"/>
  <c r="CH32" i="2"/>
  <c r="CH137" i="2"/>
  <c r="CH70" i="2"/>
  <c r="CH6" i="2"/>
  <c r="CH153" i="2"/>
  <c r="CH88" i="2"/>
  <c r="CH21" i="2"/>
  <c r="CH148" i="2"/>
  <c r="CH80" i="2"/>
  <c r="CH15" i="2"/>
  <c r="CH130" i="2"/>
  <c r="CH64" i="2"/>
  <c r="CH116" i="2"/>
  <c r="CH47" i="2"/>
  <c r="CH105" i="2"/>
  <c r="CH37" i="2"/>
  <c r="CH120" i="2"/>
  <c r="CH54" i="2"/>
  <c r="Z47" i="2"/>
  <c r="X47" i="2"/>
  <c r="Z57" i="2"/>
  <c r="X57" i="2"/>
  <c r="AR57" i="2"/>
  <c r="AG57" i="2" s="1"/>
  <c r="Z133" i="2"/>
  <c r="X133" i="2"/>
  <c r="AX137" i="2"/>
  <c r="AB137" i="2"/>
  <c r="Z119" i="2"/>
  <c r="X119" i="2"/>
  <c r="Z20" i="2"/>
  <c r="X20" i="2"/>
  <c r="AR20" i="2"/>
  <c r="AG20" i="2" s="1"/>
  <c r="AX93" i="2"/>
  <c r="AB93" i="2"/>
  <c r="AX85" i="2"/>
  <c r="AB85" i="2"/>
  <c r="AQ65" i="2"/>
  <c r="X135" i="2"/>
  <c r="Z135" i="2"/>
  <c r="AQ127" i="2"/>
  <c r="AQ91" i="2"/>
  <c r="Z75" i="2"/>
  <c r="X75" i="2"/>
  <c r="AQ111" i="2"/>
  <c r="X109" i="2"/>
  <c r="Z109" i="2"/>
  <c r="Z129" i="2"/>
  <c r="X129" i="2"/>
  <c r="Z49" i="2"/>
  <c r="X49" i="2"/>
  <c r="AQ113" i="2"/>
  <c r="X127" i="2"/>
  <c r="Z127" i="2"/>
  <c r="CP159" i="2"/>
  <c r="CP151" i="2"/>
  <c r="CP143" i="2"/>
  <c r="CQ143" i="2" s="1" a="1"/>
  <c r="CQ143" i="2" s="1"/>
  <c r="CQ144" i="2" s="1"/>
  <c r="CP135" i="2"/>
  <c r="CQ135" i="2" s="1" a="1"/>
  <c r="CQ135" i="2" s="1"/>
  <c r="CQ136" i="2" s="1"/>
  <c r="CP127" i="2"/>
  <c r="CQ127" i="2" s="1" a="1"/>
  <c r="CQ127" i="2" s="1"/>
  <c r="CQ128" i="2" s="1"/>
  <c r="CP119" i="2"/>
  <c r="CQ119" i="2" s="1" a="1"/>
  <c r="CQ119" i="2" s="1"/>
  <c r="CQ120" i="2" s="1"/>
  <c r="CP111" i="2"/>
  <c r="CQ111" i="2" s="1" a="1"/>
  <c r="CQ111" i="2" s="1"/>
  <c r="CQ112" i="2" s="1"/>
  <c r="CP103" i="2"/>
  <c r="CQ103" i="2" s="1" a="1"/>
  <c r="CQ103" i="2" s="1"/>
  <c r="CQ104" i="2" s="1"/>
  <c r="CP95" i="2"/>
  <c r="CQ95" i="2" s="1" a="1"/>
  <c r="CQ95" i="2" s="1"/>
  <c r="CQ96" i="2" s="1"/>
  <c r="CP87" i="2"/>
  <c r="CQ87" i="2" s="1" a="1"/>
  <c r="CQ87" i="2" s="1"/>
  <c r="CQ88" i="2" s="1"/>
  <c r="CP79" i="2"/>
  <c r="CQ79" i="2" s="1" a="1"/>
  <c r="CQ79" i="2" s="1"/>
  <c r="CQ80" i="2" s="1"/>
  <c r="CP71" i="2"/>
  <c r="CQ71" i="2" s="1" a="1"/>
  <c r="CQ71" i="2" s="1"/>
  <c r="CQ72" i="2" s="1"/>
  <c r="CP63" i="2"/>
  <c r="CQ63" i="2" s="1" a="1"/>
  <c r="CQ63" i="2" s="1"/>
  <c r="CQ64" i="2" s="1"/>
  <c r="CP55" i="2"/>
  <c r="CQ55" i="2" s="1" a="1"/>
  <c r="CQ55" i="2" s="1"/>
  <c r="CQ56" i="2" s="1"/>
  <c r="CP47" i="2"/>
  <c r="CQ47" i="2" s="1" a="1"/>
  <c r="CQ47" i="2" s="1"/>
  <c r="CQ48" i="2" s="1"/>
  <c r="CP39" i="2"/>
  <c r="CQ39" i="2" s="1" a="1"/>
  <c r="CQ39" i="2" s="1"/>
  <c r="CQ40" i="2" s="1"/>
  <c r="CP31" i="2"/>
  <c r="CP23" i="2"/>
  <c r="CP15" i="2"/>
  <c r="CP7" i="2"/>
  <c r="CP160" i="2"/>
  <c r="CP150" i="2"/>
  <c r="CP141" i="2"/>
  <c r="CQ141" i="2" s="1" a="1"/>
  <c r="CQ141" i="2" s="1"/>
  <c r="CQ142" i="2" s="1"/>
  <c r="CP132" i="2"/>
  <c r="CP123" i="2"/>
  <c r="CQ123" i="2" s="1" a="1"/>
  <c r="CQ123" i="2" s="1"/>
  <c r="CQ124" i="2" s="1"/>
  <c r="CP114" i="2"/>
  <c r="CP105" i="2"/>
  <c r="CQ105" i="2" s="1" a="1"/>
  <c r="CQ105" i="2" s="1"/>
  <c r="CQ106" i="2" s="1"/>
  <c r="CP96" i="2"/>
  <c r="CP86" i="2"/>
  <c r="CP77" i="2"/>
  <c r="CQ77" i="2" s="1" a="1"/>
  <c r="CQ77" i="2" s="1"/>
  <c r="CQ78" i="2" s="1"/>
  <c r="CP68" i="2"/>
  <c r="CP59" i="2"/>
  <c r="CQ59" i="2" s="1" a="1"/>
  <c r="CQ59" i="2" s="1"/>
  <c r="CQ60" i="2" s="1"/>
  <c r="CP50" i="2"/>
  <c r="CP41" i="2"/>
  <c r="CQ41" i="2" s="1" a="1"/>
  <c r="CQ41" i="2" s="1"/>
  <c r="CQ42" i="2" s="1"/>
  <c r="CP32" i="2"/>
  <c r="CP22" i="2"/>
  <c r="CQ22" i="2" s="1" a="1"/>
  <c r="CQ22" i="2" s="1"/>
  <c r="CQ23" i="2" s="1"/>
  <c r="CP13" i="2"/>
  <c r="CP156" i="2"/>
  <c r="CP147" i="2"/>
  <c r="CQ147" i="2" s="1" a="1"/>
  <c r="CQ147" i="2" s="1"/>
  <c r="CP138" i="2"/>
  <c r="CP129" i="2"/>
  <c r="CQ129" i="2" s="1" a="1"/>
  <c r="CQ129" i="2" s="1"/>
  <c r="CQ130" i="2" s="1"/>
  <c r="CP120" i="2"/>
  <c r="CP110" i="2"/>
  <c r="CP101" i="2"/>
  <c r="CQ101" i="2" s="1" a="1"/>
  <c r="CQ101" i="2" s="1"/>
  <c r="CQ102" i="2" s="1"/>
  <c r="CP92" i="2"/>
  <c r="CP83" i="2"/>
  <c r="CQ83" i="2" s="1" a="1"/>
  <c r="CQ83" i="2" s="1"/>
  <c r="CQ84" i="2" s="1"/>
  <c r="CP74" i="2"/>
  <c r="CP65" i="2"/>
  <c r="CQ65" i="2" s="1" a="1"/>
  <c r="CQ65" i="2" s="1"/>
  <c r="CQ66" i="2" s="1"/>
  <c r="CP56" i="2"/>
  <c r="CP46" i="2"/>
  <c r="CP37" i="2"/>
  <c r="CQ37" i="2" s="1" a="1"/>
  <c r="CQ37" i="2" s="1"/>
  <c r="CQ38" i="2" s="1"/>
  <c r="CP28" i="2"/>
  <c r="CQ28" i="2" s="1" a="1"/>
  <c r="CQ28" i="2" s="1"/>
  <c r="CQ29" i="2" s="1"/>
  <c r="CP19" i="2"/>
  <c r="CP10" i="2"/>
  <c r="CQ10" i="2" s="1" a="1"/>
  <c r="CQ10" i="2" s="1"/>
  <c r="CQ11" i="2" s="1"/>
  <c r="CP163" i="2"/>
  <c r="CP154" i="2"/>
  <c r="CP145" i="2"/>
  <c r="CQ145" i="2" s="1" a="1"/>
  <c r="CQ145" i="2" s="1"/>
  <c r="CQ146" i="2" s="1"/>
  <c r="CP136" i="2"/>
  <c r="CP126" i="2"/>
  <c r="CP117" i="2"/>
  <c r="CQ117" i="2" s="1" a="1"/>
  <c r="CQ117" i="2" s="1"/>
  <c r="CQ118" i="2" s="1"/>
  <c r="CP108" i="2"/>
  <c r="CP99" i="2"/>
  <c r="CQ99" i="2" s="1" a="1"/>
  <c r="CQ99" i="2" s="1"/>
  <c r="CQ100" i="2" s="1"/>
  <c r="CP90" i="2"/>
  <c r="CP81" i="2"/>
  <c r="CQ81" i="2" s="1" a="1"/>
  <c r="CQ81" i="2" s="1"/>
  <c r="CQ82" i="2" s="1"/>
  <c r="CP72" i="2"/>
  <c r="CP62" i="2"/>
  <c r="CP53" i="2"/>
  <c r="CQ53" i="2" s="1" a="1"/>
  <c r="CQ53" i="2" s="1"/>
  <c r="CQ54" i="2" s="1"/>
  <c r="CP44" i="2"/>
  <c r="CP35" i="2"/>
  <c r="CQ35" i="2" s="1" a="1"/>
  <c r="CQ35" i="2" s="1"/>
  <c r="CQ36" i="2" s="1"/>
  <c r="CP26" i="2"/>
  <c r="CQ26" i="2" s="1" a="1"/>
  <c r="CQ26" i="2" s="1"/>
  <c r="CQ27" i="2" s="1"/>
  <c r="CP17" i="2"/>
  <c r="CP8" i="2"/>
  <c r="CQ8" i="2" s="1" a="1"/>
  <c r="CQ8" i="2" s="1"/>
  <c r="CQ9" i="2" s="1"/>
  <c r="CP162" i="2"/>
  <c r="CP148" i="2"/>
  <c r="CP133" i="2"/>
  <c r="CQ133" i="2" s="1" a="1"/>
  <c r="CQ133" i="2" s="1"/>
  <c r="CQ134" i="2" s="1"/>
  <c r="CP118" i="2"/>
  <c r="CP104" i="2"/>
  <c r="CP89" i="2"/>
  <c r="CQ89" i="2" s="1" a="1"/>
  <c r="CQ89" i="2" s="1"/>
  <c r="CQ90" i="2" s="1"/>
  <c r="CP75" i="2"/>
  <c r="CQ75" i="2" s="1" a="1"/>
  <c r="CQ75" i="2" s="1"/>
  <c r="CQ76" i="2" s="1"/>
  <c r="CP60" i="2"/>
  <c r="CP45" i="2"/>
  <c r="CQ45" i="2" s="1" a="1"/>
  <c r="CQ45" i="2" s="1"/>
  <c r="CQ46" i="2" s="1"/>
  <c r="CP30" i="2"/>
  <c r="CQ30" i="2" s="1" a="1"/>
  <c r="CQ30" i="2" s="1"/>
  <c r="CQ31" i="2" s="1"/>
  <c r="CP16" i="2"/>
  <c r="CQ16" i="2" s="1" a="1"/>
  <c r="CQ16" i="2" s="1"/>
  <c r="CQ17" i="2" s="1"/>
  <c r="CP157" i="2"/>
  <c r="CP142" i="2"/>
  <c r="CP128" i="2"/>
  <c r="CP113" i="2"/>
  <c r="CQ113" i="2" s="1" a="1"/>
  <c r="CQ113" i="2" s="1"/>
  <c r="CQ114" i="2" s="1"/>
  <c r="CP98" i="2"/>
  <c r="CP84" i="2"/>
  <c r="CP69" i="2"/>
  <c r="CQ69" i="2" s="1" a="1"/>
  <c r="CQ69" i="2" s="1"/>
  <c r="CQ70" i="2" s="1"/>
  <c r="CP54" i="2"/>
  <c r="CP40" i="2"/>
  <c r="CP25" i="2"/>
  <c r="CP11" i="2"/>
  <c r="CP155" i="2"/>
  <c r="CP140" i="2"/>
  <c r="CP125" i="2"/>
  <c r="CQ125" i="2" s="1" a="1"/>
  <c r="CQ125" i="2" s="1"/>
  <c r="CQ126" i="2" s="1"/>
  <c r="CP112" i="2"/>
  <c r="CP97" i="2"/>
  <c r="CQ97" i="2" s="1" a="1"/>
  <c r="CQ97" i="2" s="1"/>
  <c r="CQ98" i="2" s="1"/>
  <c r="CP82" i="2"/>
  <c r="CP67" i="2"/>
  <c r="CQ67" i="2" s="1" a="1"/>
  <c r="CQ67" i="2" s="1"/>
  <c r="CQ68" i="2" s="1"/>
  <c r="CP52" i="2"/>
  <c r="CP38" i="2"/>
  <c r="CP24" i="2"/>
  <c r="CQ24" i="2" s="1" a="1"/>
  <c r="CQ24" i="2" s="1"/>
  <c r="CQ25" i="2" s="1"/>
  <c r="CP9" i="2"/>
  <c r="CP149" i="2"/>
  <c r="CP124" i="2"/>
  <c r="CP102" i="2"/>
  <c r="CP78" i="2"/>
  <c r="CP57" i="2"/>
  <c r="CQ57" i="2" s="1" a="1"/>
  <c r="CQ57" i="2" s="1"/>
  <c r="CQ58" i="2" s="1"/>
  <c r="CP33" i="2"/>
  <c r="CQ33" i="2" s="1" a="1"/>
  <c r="CQ33" i="2" s="1"/>
  <c r="CQ34" i="2" s="1"/>
  <c r="CP146" i="2"/>
  <c r="CP122" i="2"/>
  <c r="CP100" i="2"/>
  <c r="CP76" i="2"/>
  <c r="CP51" i="2"/>
  <c r="CQ51" i="2" s="1" a="1"/>
  <c r="CQ51" i="2" s="1"/>
  <c r="CQ52" i="2" s="1"/>
  <c r="CP29" i="2"/>
  <c r="CP6" i="2"/>
  <c r="CQ6" i="2" s="1" a="1"/>
  <c r="CQ6" i="2" s="1"/>
  <c r="CP164" i="2"/>
  <c r="CP139" i="2"/>
  <c r="CQ139" i="2" s="1" a="1"/>
  <c r="CQ139" i="2" s="1"/>
  <c r="CQ140" i="2" s="1"/>
  <c r="CP116" i="2"/>
  <c r="CP93" i="2"/>
  <c r="CQ93" i="2" s="1" a="1"/>
  <c r="CQ93" i="2" s="1"/>
  <c r="CQ94" i="2" s="1"/>
  <c r="CP70" i="2"/>
  <c r="CP48" i="2"/>
  <c r="CP21" i="2"/>
  <c r="CP153" i="2"/>
  <c r="CP107" i="2"/>
  <c r="CQ107" i="2" s="1" a="1"/>
  <c r="CQ107" i="2" s="1"/>
  <c r="CQ108" i="2" s="1"/>
  <c r="CP61" i="2"/>
  <c r="CQ61" i="2" s="1" a="1"/>
  <c r="CQ61" i="2" s="1"/>
  <c r="CQ62" i="2" s="1"/>
  <c r="CP14" i="2"/>
  <c r="CQ14" i="2" s="1" a="1"/>
  <c r="CQ14" i="2" s="1"/>
  <c r="CQ15" i="2" s="1"/>
  <c r="CP161" i="2"/>
  <c r="CP137" i="2"/>
  <c r="CQ137" i="2" s="1" a="1"/>
  <c r="CQ137" i="2" s="1"/>
  <c r="CQ138" i="2" s="1"/>
  <c r="CP115" i="2"/>
  <c r="CQ115" i="2" s="1" a="1"/>
  <c r="CQ115" i="2" s="1"/>
  <c r="CQ116" i="2" s="1"/>
  <c r="CP91" i="2"/>
  <c r="CQ91" i="2" s="1" a="1"/>
  <c r="CQ91" i="2" s="1"/>
  <c r="CQ92" i="2" s="1"/>
  <c r="CP66" i="2"/>
  <c r="CP43" i="2"/>
  <c r="CQ43" i="2" s="1" a="1"/>
  <c r="CQ43" i="2" s="1"/>
  <c r="CQ44" i="2" s="1"/>
  <c r="CP20" i="2"/>
  <c r="CQ20" i="2" s="1" a="1"/>
  <c r="CQ20" i="2" s="1"/>
  <c r="CQ21" i="2" s="1"/>
  <c r="CP131" i="2"/>
  <c r="CQ131" i="2" s="1" a="1"/>
  <c r="CQ131" i="2" s="1"/>
  <c r="CQ132" i="2" s="1"/>
  <c r="CP85" i="2"/>
  <c r="CQ85" i="2" s="1" a="1"/>
  <c r="CQ85" i="2" s="1"/>
  <c r="CQ86" i="2" s="1"/>
  <c r="CP36" i="2"/>
  <c r="CP158" i="2"/>
  <c r="CP134" i="2"/>
  <c r="CP109" i="2"/>
  <c r="CQ109" i="2" s="1" a="1"/>
  <c r="CQ109" i="2" s="1"/>
  <c r="CQ110" i="2" s="1"/>
  <c r="CP88" i="2"/>
  <c r="CP64" i="2"/>
  <c r="CP42" i="2"/>
  <c r="CP18" i="2"/>
  <c r="CQ18" i="2" s="1" a="1"/>
  <c r="CQ18" i="2" s="1"/>
  <c r="CQ19" i="2" s="1"/>
  <c r="CP121" i="2"/>
  <c r="CQ121" i="2" s="1" a="1"/>
  <c r="CQ121" i="2" s="1"/>
  <c r="CQ122" i="2" s="1"/>
  <c r="CP27" i="2"/>
  <c r="CP80" i="2"/>
  <c r="CP130" i="2"/>
  <c r="CP34" i="2"/>
  <c r="CP106" i="2"/>
  <c r="CP12" i="2"/>
  <c r="CQ12" i="2" s="1" a="1"/>
  <c r="CQ12" i="2" s="1"/>
  <c r="CQ13" i="2" s="1"/>
  <c r="CP94" i="2"/>
  <c r="CP73" i="2"/>
  <c r="CQ73" i="2" s="1" a="1"/>
  <c r="CQ73" i="2" s="1"/>
  <c r="CQ74" i="2" s="1"/>
  <c r="CP144" i="2"/>
  <c r="CP49" i="2"/>
  <c r="CQ49" i="2" s="1" a="1"/>
  <c r="CQ49" i="2" s="1"/>
  <c r="CQ50" i="2" s="1"/>
  <c r="CP152" i="2"/>
  <c r="CP58" i="2"/>
  <c r="CL7" i="2"/>
  <c r="CM6" i="2" s="1" a="1"/>
  <c r="AQ75" i="2"/>
  <c r="AX26" i="2"/>
  <c r="AB26" i="2"/>
  <c r="AQ35" i="2"/>
  <c r="AX61" i="2"/>
  <c r="AB61" i="2"/>
  <c r="AQ41" i="2"/>
  <c r="AQ22" i="2"/>
  <c r="AQ24" i="2"/>
  <c r="AQ45" i="2"/>
  <c r="AX30" i="2"/>
  <c r="AB30" i="2"/>
  <c r="AQ109" i="2"/>
  <c r="AQ129" i="2"/>
  <c r="AQ103" i="2"/>
  <c r="AQ63" i="2"/>
  <c r="Z113" i="2"/>
  <c r="X113" i="2"/>
  <c r="AX115" i="2"/>
  <c r="AB115" i="2"/>
  <c r="Z81" i="2"/>
  <c r="X81" i="2"/>
  <c r="AQ67" i="2"/>
  <c r="AQ119" i="2"/>
  <c r="AQ10" i="2"/>
  <c r="AX12" i="2"/>
  <c r="AB12" i="2"/>
  <c r="Z131" i="2"/>
  <c r="X131" i="2"/>
  <c r="AX35" i="2"/>
  <c r="AB35" i="2"/>
  <c r="Z53" i="2"/>
  <c r="X53" i="2"/>
  <c r="X22" i="2"/>
  <c r="Z22" i="2"/>
  <c r="AQ83" i="2"/>
  <c r="Z87" i="2"/>
  <c r="X87" i="2"/>
  <c r="AX33" i="2"/>
  <c r="AB33" i="2"/>
  <c r="X10" i="2"/>
  <c r="Z10" i="2"/>
  <c r="AX77" i="2"/>
  <c r="AB77" i="2"/>
  <c r="AX101" i="2"/>
  <c r="AB101" i="2"/>
  <c r="Z103" i="2"/>
  <c r="X103" i="2"/>
  <c r="Z41" i="2"/>
  <c r="X41" i="2"/>
  <c r="AQ81" i="2"/>
  <c r="AQ49" i="2"/>
  <c r="AX125" i="2"/>
  <c r="AB125" i="2"/>
  <c r="X63" i="2"/>
  <c r="Z63" i="2"/>
  <c r="AQ131" i="2"/>
  <c r="Z73" i="2"/>
  <c r="X73" i="2"/>
  <c r="Z145" i="2"/>
  <c r="X145" i="2"/>
  <c r="X107" i="2"/>
  <c r="Z107" i="2"/>
  <c r="AX105" i="2"/>
  <c r="AB105" i="2"/>
  <c r="Z83" i="2"/>
  <c r="X83" i="2"/>
  <c r="Z24" i="2"/>
  <c r="X24" i="2"/>
  <c r="AQ87" i="2"/>
  <c r="Z39" i="2"/>
  <c r="X39" i="2"/>
  <c r="AR39" i="2"/>
  <c r="AG39" i="2" s="1"/>
  <c r="X99" i="2"/>
  <c r="Z99" i="2"/>
  <c r="Z79" i="2"/>
  <c r="X79" i="2"/>
  <c r="X55" i="2"/>
  <c r="Z55" i="2"/>
  <c r="AX143" i="2"/>
  <c r="AB143" i="2"/>
  <c r="Z67" i="2"/>
  <c r="X67" i="2"/>
  <c r="AX16" i="2"/>
  <c r="AB16" i="2"/>
  <c r="BA7" i="2" a="1"/>
  <c r="BA7" i="2" s="1"/>
  <c r="AZ7" i="2" a="1"/>
  <c r="AZ7" i="2" s="1"/>
  <c r="AZ6" i="2" a="1"/>
  <c r="AZ6" i="2" s="1"/>
  <c r="Z6" i="2"/>
  <c r="BA6" i="2" a="1"/>
  <c r="BA6" i="2" s="1"/>
  <c r="X6" i="2"/>
  <c r="AQ28" i="2"/>
  <c r="AQ73" i="2"/>
  <c r="AS145" i="2"/>
  <c r="AQ145" i="2"/>
  <c r="AQ107" i="2"/>
  <c r="Z111" i="2"/>
  <c r="X111" i="2"/>
  <c r="Z28" i="2"/>
  <c r="X28" i="2"/>
  <c r="AQ16" i="2"/>
  <c r="Z71" i="2"/>
  <c r="X71" i="2"/>
  <c r="AQ99" i="2"/>
  <c r="AS99" i="2"/>
  <c r="Z95" i="2"/>
  <c r="X95" i="2"/>
  <c r="AX117" i="2"/>
  <c r="AB117" i="2"/>
  <c r="AQ123" i="2"/>
  <c r="AF79" i="2"/>
  <c r="AD79" i="2" s="1"/>
  <c r="AE79" i="2" s="1"/>
  <c r="AQ79" i="2"/>
  <c r="AQ51" i="2"/>
  <c r="DD157" i="2"/>
  <c r="DD149" i="2"/>
  <c r="DD141" i="2"/>
  <c r="DD133" i="2"/>
  <c r="DD125" i="2"/>
  <c r="DD117" i="2"/>
  <c r="DD109" i="2"/>
  <c r="DD101" i="2"/>
  <c r="DD93" i="2"/>
  <c r="DD85" i="2"/>
  <c r="DD77" i="2"/>
  <c r="DD69" i="2"/>
  <c r="DD61" i="2"/>
  <c r="DD53" i="2"/>
  <c r="DD45" i="2"/>
  <c r="DD37" i="2"/>
  <c r="DD29" i="2"/>
  <c r="DD21" i="2"/>
  <c r="DD13" i="2"/>
  <c r="DD6" i="2"/>
  <c r="DD164" i="2"/>
  <c r="DD156" i="2"/>
  <c r="DD148" i="2"/>
  <c r="DD140" i="2"/>
  <c r="DD132" i="2"/>
  <c r="DD124" i="2"/>
  <c r="DD116" i="2"/>
  <c r="DD108" i="2"/>
  <c r="DD100" i="2"/>
  <c r="DD92" i="2"/>
  <c r="DD84" i="2"/>
  <c r="DD76" i="2"/>
  <c r="DD68" i="2"/>
  <c r="DD60" i="2"/>
  <c r="DD52" i="2"/>
  <c r="DD44" i="2"/>
  <c r="DD36" i="2"/>
  <c r="DD28" i="2"/>
  <c r="DD20" i="2"/>
  <c r="DD12" i="2"/>
  <c r="DD159" i="2"/>
  <c r="DD147" i="2"/>
  <c r="DD137" i="2"/>
  <c r="DD127" i="2"/>
  <c r="DD115" i="2"/>
  <c r="DD105" i="2"/>
  <c r="DD95" i="2"/>
  <c r="DD83" i="2"/>
  <c r="DD73" i="2"/>
  <c r="DD63" i="2"/>
  <c r="DD51" i="2"/>
  <c r="DD41" i="2"/>
  <c r="DD31" i="2"/>
  <c r="DD19" i="2"/>
  <c r="DD9" i="2"/>
  <c r="DD158" i="2"/>
  <c r="DD146" i="2"/>
  <c r="DD136" i="2"/>
  <c r="DD126" i="2"/>
  <c r="DD114" i="2"/>
  <c r="DD104" i="2"/>
  <c r="DD94" i="2"/>
  <c r="DD82" i="2"/>
  <c r="DD72" i="2"/>
  <c r="DD62" i="2"/>
  <c r="DD50" i="2"/>
  <c r="DD40" i="2"/>
  <c r="DD30" i="2"/>
  <c r="DD18" i="2"/>
  <c r="DD8" i="2"/>
  <c r="DD155" i="2"/>
  <c r="DD145" i="2"/>
  <c r="DD135" i="2"/>
  <c r="DD123" i="2"/>
  <c r="DD113" i="2"/>
  <c r="DD103" i="2"/>
  <c r="DD91" i="2"/>
  <c r="DD81" i="2"/>
  <c r="DD71" i="2"/>
  <c r="DD59" i="2"/>
  <c r="DD49" i="2"/>
  <c r="DD39" i="2"/>
  <c r="DD27" i="2"/>
  <c r="DD17" i="2"/>
  <c r="DD7" i="2"/>
  <c r="DD154" i="2"/>
  <c r="DD144" i="2"/>
  <c r="DD134" i="2"/>
  <c r="DD122" i="2"/>
  <c r="DD112" i="2"/>
  <c r="DD102" i="2"/>
  <c r="DD90" i="2"/>
  <c r="DD80" i="2"/>
  <c r="DD70" i="2"/>
  <c r="DD58" i="2"/>
  <c r="DD48" i="2"/>
  <c r="DD38" i="2"/>
  <c r="DD26" i="2"/>
  <c r="DD16" i="2"/>
  <c r="DD163" i="2"/>
  <c r="DD153" i="2"/>
  <c r="DD143" i="2"/>
  <c r="DD131" i="2"/>
  <c r="DD121" i="2"/>
  <c r="DD111" i="2"/>
  <c r="DD99" i="2"/>
  <c r="DD89" i="2"/>
  <c r="DD79" i="2"/>
  <c r="DD67" i="2"/>
  <c r="DD57" i="2"/>
  <c r="DD47" i="2"/>
  <c r="DD35" i="2"/>
  <c r="DD25" i="2"/>
  <c r="DD15" i="2"/>
  <c r="DD161" i="2"/>
  <c r="DD130" i="2"/>
  <c r="DD106" i="2"/>
  <c r="DD75" i="2"/>
  <c r="DD46" i="2"/>
  <c r="DD22" i="2"/>
  <c r="DD160" i="2"/>
  <c r="DD129" i="2"/>
  <c r="DD98" i="2"/>
  <c r="DD74" i="2"/>
  <c r="DD43" i="2"/>
  <c r="DD14" i="2"/>
  <c r="DD152" i="2"/>
  <c r="DD128" i="2"/>
  <c r="DD97" i="2"/>
  <c r="DD66" i="2"/>
  <c r="DD42" i="2"/>
  <c r="DD11" i="2"/>
  <c r="DD151" i="2"/>
  <c r="DD120" i="2"/>
  <c r="DD96" i="2"/>
  <c r="DD65" i="2"/>
  <c r="DD34" i="2"/>
  <c r="DD10" i="2"/>
  <c r="DD150" i="2"/>
  <c r="DD119" i="2"/>
  <c r="DD88" i="2"/>
  <c r="DD64" i="2"/>
  <c r="DD33" i="2"/>
  <c r="DD142" i="2"/>
  <c r="DD118" i="2"/>
  <c r="DD87" i="2"/>
  <c r="DD56" i="2"/>
  <c r="DD32" i="2"/>
  <c r="DD139" i="2"/>
  <c r="DD24" i="2"/>
  <c r="DD138" i="2"/>
  <c r="DD23" i="2"/>
  <c r="DD86" i="2"/>
  <c r="DD55" i="2"/>
  <c r="DD78" i="2"/>
  <c r="DD107" i="2"/>
  <c r="DD162" i="2"/>
  <c r="DD110" i="2"/>
  <c r="DD54" i="2"/>
  <c r="AQ133" i="2"/>
  <c r="AQ26" i="2"/>
  <c r="Z91" i="2"/>
  <c r="X91" i="2"/>
  <c r="CU6" i="2" a="1"/>
  <c r="X8" i="2"/>
  <c r="Z8" i="2"/>
  <c r="AR47" i="2"/>
  <c r="AG47" i="2" s="1"/>
  <c r="AG55" i="2"/>
  <c r="Z14" i="2"/>
  <c r="X14" i="2"/>
  <c r="AX147" i="2"/>
  <c r="AB147" i="2"/>
  <c r="AX37" i="2"/>
  <c r="AB37" i="2"/>
  <c r="Z121" i="2"/>
  <c r="X121" i="2"/>
  <c r="AF71" i="2"/>
  <c r="AD71" i="2" s="1"/>
  <c r="AE71" i="2" s="1"/>
  <c r="AQ71" i="2"/>
  <c r="AQ95" i="2"/>
  <c r="Z123" i="2"/>
  <c r="X123" i="2"/>
  <c r="AX141" i="2"/>
  <c r="AB141" i="2"/>
  <c r="AQ30" i="2"/>
  <c r="Z51" i="2"/>
  <c r="X51" i="2"/>
  <c r="AR8" i="2"/>
  <c r="AG8" i="2" s="1"/>
  <c r="AF59" i="2" s="1"/>
  <c r="AD59" i="2" s="1"/>
  <c r="AE59" i="2" s="1"/>
  <c r="CY159" i="2"/>
  <c r="CY157" i="2"/>
  <c r="CY149" i="2"/>
  <c r="CY141" i="2"/>
  <c r="CY133" i="2"/>
  <c r="CY125" i="2"/>
  <c r="CY117" i="2"/>
  <c r="CY109" i="2"/>
  <c r="CY101" i="2"/>
  <c r="CY93" i="2"/>
  <c r="CY85" i="2"/>
  <c r="CY77" i="2"/>
  <c r="CY69" i="2"/>
  <c r="CY61" i="2"/>
  <c r="CY53" i="2"/>
  <c r="CY45" i="2"/>
  <c r="CY37" i="2"/>
  <c r="CY29" i="2"/>
  <c r="CY21" i="2"/>
  <c r="CY13" i="2"/>
  <c r="CY6" i="2"/>
  <c r="CY156" i="2"/>
  <c r="CY148" i="2"/>
  <c r="CY140" i="2"/>
  <c r="CY132" i="2"/>
  <c r="CY124" i="2"/>
  <c r="CY116" i="2"/>
  <c r="CY108" i="2"/>
  <c r="CY100" i="2"/>
  <c r="CY92" i="2"/>
  <c r="CY84" i="2"/>
  <c r="CY76" i="2"/>
  <c r="CY162" i="2"/>
  <c r="CY153" i="2"/>
  <c r="CY145" i="2"/>
  <c r="CY137" i="2"/>
  <c r="CY129" i="2"/>
  <c r="CY121" i="2"/>
  <c r="CY113" i="2"/>
  <c r="CY105" i="2"/>
  <c r="CY97" i="2"/>
  <c r="CY89" i="2"/>
  <c r="CY81" i="2"/>
  <c r="CY73" i="2"/>
  <c r="CY65" i="2"/>
  <c r="CY57" i="2"/>
  <c r="CY49" i="2"/>
  <c r="CY41" i="2"/>
  <c r="CY33" i="2"/>
  <c r="CY25" i="2"/>
  <c r="CY17" i="2"/>
  <c r="CY9" i="2"/>
  <c r="CY152" i="2"/>
  <c r="CY139" i="2"/>
  <c r="CY127" i="2"/>
  <c r="CY114" i="2"/>
  <c r="CY102" i="2"/>
  <c r="CY88" i="2"/>
  <c r="CY75" i="2"/>
  <c r="CY64" i="2"/>
  <c r="CY54" i="2"/>
  <c r="CY43" i="2"/>
  <c r="CY32" i="2"/>
  <c r="CY22" i="2"/>
  <c r="CY11" i="2"/>
  <c r="CY164" i="2"/>
  <c r="CY151" i="2"/>
  <c r="CY138" i="2"/>
  <c r="CY126" i="2"/>
  <c r="CY112" i="2"/>
  <c r="CY99" i="2"/>
  <c r="CY87" i="2"/>
  <c r="CY74" i="2"/>
  <c r="CY63" i="2"/>
  <c r="CY52" i="2"/>
  <c r="CY42" i="2"/>
  <c r="CY31" i="2"/>
  <c r="CY20" i="2"/>
  <c r="CY10" i="2"/>
  <c r="CY163" i="2"/>
  <c r="CY150" i="2"/>
  <c r="CY136" i="2"/>
  <c r="CY123" i="2"/>
  <c r="CY111" i="2"/>
  <c r="CY98" i="2"/>
  <c r="CY86" i="2"/>
  <c r="CY72" i="2"/>
  <c r="CY62" i="2"/>
  <c r="CY51" i="2"/>
  <c r="CY40" i="2"/>
  <c r="CY30" i="2"/>
  <c r="CY19" i="2"/>
  <c r="CY8" i="2"/>
  <c r="CY161" i="2"/>
  <c r="CY147" i="2"/>
  <c r="CY135" i="2"/>
  <c r="CY122" i="2"/>
  <c r="CY110" i="2"/>
  <c r="CY96" i="2"/>
  <c r="CY83" i="2"/>
  <c r="CY71" i="2"/>
  <c r="CY60" i="2"/>
  <c r="CY50" i="2"/>
  <c r="CY39" i="2"/>
  <c r="CY28" i="2"/>
  <c r="CY18" i="2"/>
  <c r="CY7" i="2"/>
  <c r="CY160" i="2"/>
  <c r="CY146" i="2"/>
  <c r="CY134" i="2"/>
  <c r="CY120" i="2"/>
  <c r="CY107" i="2"/>
  <c r="CY95" i="2"/>
  <c r="CY82" i="2"/>
  <c r="CY70" i="2"/>
  <c r="CY59" i="2"/>
  <c r="CY48" i="2"/>
  <c r="CY38" i="2"/>
  <c r="CY27" i="2"/>
  <c r="CY16" i="2"/>
  <c r="CY158" i="2"/>
  <c r="CY144" i="2"/>
  <c r="CY131" i="2"/>
  <c r="CY119" i="2"/>
  <c r="CY106" i="2"/>
  <c r="CY94" i="2"/>
  <c r="CY80" i="2"/>
  <c r="CY68" i="2"/>
  <c r="CY58" i="2"/>
  <c r="CY47" i="2"/>
  <c r="CY36" i="2"/>
  <c r="CY26" i="2"/>
  <c r="CY15" i="2"/>
  <c r="CY155" i="2"/>
  <c r="CY104" i="2"/>
  <c r="CY56" i="2"/>
  <c r="CY14" i="2"/>
  <c r="CY154" i="2"/>
  <c r="CY103" i="2"/>
  <c r="CY55" i="2"/>
  <c r="CY12" i="2"/>
  <c r="CY130" i="2"/>
  <c r="CY79" i="2"/>
  <c r="CY35" i="2"/>
  <c r="CY118" i="2"/>
  <c r="CY67" i="2"/>
  <c r="CY24" i="2"/>
  <c r="CY128" i="2"/>
  <c r="CY78" i="2"/>
  <c r="CY34" i="2"/>
  <c r="CY142" i="2"/>
  <c r="CY115" i="2"/>
  <c r="CY91" i="2"/>
  <c r="CY90" i="2"/>
  <c r="CY44" i="2"/>
  <c r="CY66" i="2"/>
  <c r="CY46" i="2"/>
  <c r="CY23" i="2"/>
  <c r="CY143" i="2"/>
  <c r="AX69" i="2"/>
  <c r="AB69" i="2"/>
  <c r="X45" i="2"/>
  <c r="Z45" i="2"/>
  <c r="AX97" i="2"/>
  <c r="AB97" i="2"/>
  <c r="AQ121" i="2"/>
  <c r="Z65" i="2"/>
  <c r="X65" i="2"/>
  <c r="AQ135" i="2"/>
  <c r="CM160" i="2" l="1"/>
  <c r="CM152" i="2"/>
  <c r="CM144" i="2"/>
  <c r="CM136" i="2"/>
  <c r="CM128" i="2"/>
  <c r="CM120" i="2"/>
  <c r="CM112" i="2"/>
  <c r="CM104" i="2"/>
  <c r="CM96" i="2"/>
  <c r="CM88" i="2"/>
  <c r="CM80" i="2"/>
  <c r="CM72" i="2"/>
  <c r="CM64" i="2"/>
  <c r="CM56" i="2"/>
  <c r="CM48" i="2"/>
  <c r="CM40" i="2"/>
  <c r="CM32" i="2"/>
  <c r="CM24" i="2"/>
  <c r="CM16" i="2"/>
  <c r="CM8" i="2"/>
  <c r="CM161" i="2"/>
  <c r="CM151" i="2"/>
  <c r="CM142" i="2"/>
  <c r="CM133" i="2"/>
  <c r="CM124" i="2"/>
  <c r="CM115" i="2"/>
  <c r="CM106" i="2"/>
  <c r="CM97" i="2"/>
  <c r="CM87" i="2"/>
  <c r="CM78" i="2"/>
  <c r="CM69" i="2"/>
  <c r="CM60" i="2"/>
  <c r="CM51" i="2"/>
  <c r="CM42" i="2"/>
  <c r="CM33" i="2"/>
  <c r="CM23" i="2"/>
  <c r="CM14" i="2"/>
  <c r="CM6" i="2"/>
  <c r="CM157" i="2"/>
  <c r="CM148" i="2"/>
  <c r="CM139" i="2"/>
  <c r="CM130" i="2"/>
  <c r="CM121" i="2"/>
  <c r="CM111" i="2"/>
  <c r="CM102" i="2"/>
  <c r="CM93" i="2"/>
  <c r="CM84" i="2"/>
  <c r="CM75" i="2"/>
  <c r="CM66" i="2"/>
  <c r="CM57" i="2"/>
  <c r="CM47" i="2"/>
  <c r="CM38" i="2"/>
  <c r="CM29" i="2"/>
  <c r="CM164" i="2"/>
  <c r="CM155" i="2"/>
  <c r="CM146" i="2"/>
  <c r="CM137" i="2"/>
  <c r="CM127" i="2"/>
  <c r="CM118" i="2"/>
  <c r="CM109" i="2"/>
  <c r="CM100" i="2"/>
  <c r="CM91" i="2"/>
  <c r="CM82" i="2"/>
  <c r="CM73" i="2"/>
  <c r="CM63" i="2"/>
  <c r="CM54" i="2"/>
  <c r="CM45" i="2"/>
  <c r="CM36" i="2"/>
  <c r="CM27" i="2"/>
  <c r="CM18" i="2"/>
  <c r="CM9" i="2"/>
  <c r="CM162" i="2"/>
  <c r="CM147" i="2"/>
  <c r="CM132" i="2"/>
  <c r="CM117" i="2"/>
  <c r="CM103" i="2"/>
  <c r="CM89" i="2"/>
  <c r="CM74" i="2"/>
  <c r="CM59" i="2"/>
  <c r="CM44" i="2"/>
  <c r="CM30" i="2"/>
  <c r="CM17" i="2"/>
  <c r="CM156" i="2"/>
  <c r="CM141" i="2"/>
  <c r="CM126" i="2"/>
  <c r="CM113" i="2"/>
  <c r="CM98" i="2"/>
  <c r="CM83" i="2"/>
  <c r="CM68" i="2"/>
  <c r="CM53" i="2"/>
  <c r="CM39" i="2"/>
  <c r="CM25" i="2"/>
  <c r="CM12" i="2"/>
  <c r="CM154" i="2"/>
  <c r="CM140" i="2"/>
  <c r="CM125" i="2"/>
  <c r="CM110" i="2"/>
  <c r="CM95" i="2"/>
  <c r="CM81" i="2"/>
  <c r="CM67" i="2"/>
  <c r="CM52" i="2"/>
  <c r="CM37" i="2"/>
  <c r="CM22" i="2"/>
  <c r="CM11" i="2"/>
  <c r="CM143" i="2"/>
  <c r="CM119" i="2"/>
  <c r="CM94" i="2"/>
  <c r="CM71" i="2"/>
  <c r="CM49" i="2"/>
  <c r="CM26" i="2"/>
  <c r="CM163" i="2"/>
  <c r="CM138" i="2"/>
  <c r="CM116" i="2"/>
  <c r="CM92" i="2"/>
  <c r="CM70" i="2"/>
  <c r="CM46" i="2"/>
  <c r="CM21" i="2"/>
  <c r="CM158" i="2"/>
  <c r="CM134" i="2"/>
  <c r="CM108" i="2"/>
  <c r="CM86" i="2"/>
  <c r="CM62" i="2"/>
  <c r="CM41" i="2"/>
  <c r="CM19" i="2"/>
  <c r="CM149" i="2"/>
  <c r="CM101" i="2"/>
  <c r="CM55" i="2"/>
  <c r="CM10" i="2"/>
  <c r="CM153" i="2"/>
  <c r="CM131" i="2"/>
  <c r="CM107" i="2"/>
  <c r="CM85" i="2"/>
  <c r="CM61" i="2"/>
  <c r="CM35" i="2"/>
  <c r="CM15" i="2"/>
  <c r="CM123" i="2"/>
  <c r="CM77" i="2"/>
  <c r="CM31" i="2"/>
  <c r="CM150" i="2"/>
  <c r="CM129" i="2"/>
  <c r="CM105" i="2"/>
  <c r="CM79" i="2"/>
  <c r="CM58" i="2"/>
  <c r="CM34" i="2"/>
  <c r="CM13" i="2"/>
  <c r="CM159" i="2"/>
  <c r="CM65" i="2"/>
  <c r="CM122" i="2"/>
  <c r="CM28" i="2"/>
  <c r="CM145" i="2"/>
  <c r="CM50" i="2"/>
  <c r="CM135" i="2"/>
  <c r="CM43" i="2"/>
  <c r="CM114" i="2"/>
  <c r="CM20" i="2"/>
  <c r="CM90" i="2"/>
  <c r="CM99" i="2"/>
  <c r="CM7" i="2"/>
  <c r="CM76" i="2"/>
  <c r="AF39" i="2"/>
  <c r="AD39" i="2" s="1"/>
  <c r="AE39" i="2" s="1"/>
  <c r="AS39" i="2"/>
  <c r="AQ39" i="2"/>
  <c r="AX83" i="2"/>
  <c r="AB83" i="2"/>
  <c r="AX53" i="2"/>
  <c r="AB53" i="2"/>
  <c r="AS103" i="2"/>
  <c r="AS22" i="2"/>
  <c r="AS35" i="2"/>
  <c r="AX129" i="2"/>
  <c r="AB129" i="2"/>
  <c r="AF65" i="2"/>
  <c r="AD65" i="2" s="1"/>
  <c r="AE65" i="2" s="1"/>
  <c r="AS143" i="2"/>
  <c r="AF77" i="2"/>
  <c r="AD77" i="2" s="1"/>
  <c r="AE77" i="2" s="1"/>
  <c r="AF69" i="2"/>
  <c r="AD69" i="2" s="1"/>
  <c r="AE69" i="2" s="1"/>
  <c r="AS37" i="2"/>
  <c r="AF115" i="2"/>
  <c r="AD115" i="2" s="1"/>
  <c r="AE115" i="2" s="1"/>
  <c r="AS8" i="2"/>
  <c r="AQ8" i="2"/>
  <c r="AF8" i="2"/>
  <c r="AD8" i="2" s="1"/>
  <c r="AE8" i="2" s="1"/>
  <c r="AX123" i="2"/>
  <c r="AB123" i="2"/>
  <c r="AX121" i="2"/>
  <c r="AB121" i="2"/>
  <c r="AS55" i="2"/>
  <c r="AQ55" i="2"/>
  <c r="AF55" i="2"/>
  <c r="AD55" i="2" s="1"/>
  <c r="AE55" i="2" s="1"/>
  <c r="AF99" i="2"/>
  <c r="AD99" i="2" s="1"/>
  <c r="AE99" i="2" s="1"/>
  <c r="AF145" i="2"/>
  <c r="AD145" i="2" s="1"/>
  <c r="AE145" i="2" s="1"/>
  <c r="B17" i="3"/>
  <c r="BD6" i="2"/>
  <c r="BB7" i="2" s="1"/>
  <c r="B29" i="3" s="1"/>
  <c r="AX39" i="2"/>
  <c r="AB39" i="2"/>
  <c r="AX73" i="2"/>
  <c r="AB73" i="2"/>
  <c r="AX87" i="2"/>
  <c r="AB87" i="2"/>
  <c r="AS119" i="2"/>
  <c r="AF103" i="2"/>
  <c r="AD103" i="2" s="1"/>
  <c r="AE103" i="2" s="1"/>
  <c r="AF35" i="2"/>
  <c r="AD35" i="2" s="1"/>
  <c r="AE35" i="2" s="1"/>
  <c r="AS91" i="2"/>
  <c r="AX119" i="2"/>
  <c r="AB119" i="2"/>
  <c r="AQ57" i="2"/>
  <c r="AS57" i="2"/>
  <c r="AF57" i="2"/>
  <c r="AD57" i="2" s="1"/>
  <c r="AE57" i="2" s="1"/>
  <c r="AF53" i="2"/>
  <c r="AD53" i="2" s="1"/>
  <c r="AE53" i="2" s="1"/>
  <c r="AS43" i="2"/>
  <c r="AF85" i="2"/>
  <c r="AD85" i="2" s="1"/>
  <c r="AE85" i="2" s="1"/>
  <c r="AF147" i="2"/>
  <c r="AD147" i="2" s="1"/>
  <c r="AE147" i="2" s="1"/>
  <c r="AF61" i="2"/>
  <c r="AD61" i="2" s="1"/>
  <c r="AE61" i="2" s="1"/>
  <c r="AS33" i="2"/>
  <c r="AS59" i="2"/>
  <c r="CU164" i="2"/>
  <c r="CU156" i="2"/>
  <c r="CU148" i="2"/>
  <c r="CU140" i="2"/>
  <c r="CU132" i="2"/>
  <c r="CU124" i="2"/>
  <c r="CU116" i="2"/>
  <c r="CU108" i="2"/>
  <c r="CU100" i="2"/>
  <c r="CU92" i="2"/>
  <c r="CU84" i="2"/>
  <c r="CU76" i="2"/>
  <c r="CU68" i="2"/>
  <c r="CU60" i="2"/>
  <c r="CU52" i="2"/>
  <c r="CU44" i="2"/>
  <c r="CU36" i="2"/>
  <c r="CU28" i="2"/>
  <c r="CV28" i="2" s="1" a="1"/>
  <c r="CV28" i="2" s="1"/>
  <c r="CV29" i="2" s="1"/>
  <c r="CU20" i="2"/>
  <c r="CV20" i="2" s="1" a="1"/>
  <c r="CV20" i="2" s="1"/>
  <c r="CV21" i="2" s="1"/>
  <c r="CU12" i="2"/>
  <c r="CV12" i="2" s="1" a="1"/>
  <c r="CV12" i="2" s="1"/>
  <c r="CV13" i="2" s="1"/>
  <c r="CU161" i="2"/>
  <c r="CU152" i="2"/>
  <c r="CU143" i="2"/>
  <c r="CV143" i="2" s="1" a="1"/>
  <c r="CV143" i="2" s="1"/>
  <c r="CV144" i="2" s="1"/>
  <c r="CU134" i="2"/>
  <c r="CU125" i="2"/>
  <c r="CV125" i="2" s="1" a="1"/>
  <c r="CV125" i="2" s="1"/>
  <c r="CV126" i="2" s="1"/>
  <c r="CU115" i="2"/>
  <c r="CV115" i="2" s="1" a="1"/>
  <c r="CV115" i="2" s="1"/>
  <c r="CV116" i="2" s="1"/>
  <c r="CU106" i="2"/>
  <c r="CU97" i="2"/>
  <c r="CV97" i="2" s="1" a="1"/>
  <c r="CV97" i="2" s="1"/>
  <c r="CV98" i="2" s="1"/>
  <c r="CU88" i="2"/>
  <c r="CU79" i="2"/>
  <c r="CV79" i="2" s="1" a="1"/>
  <c r="CV79" i="2" s="1"/>
  <c r="CV80" i="2" s="1"/>
  <c r="CU70" i="2"/>
  <c r="CU61" i="2"/>
  <c r="CV61" i="2" s="1" a="1"/>
  <c r="CV61" i="2" s="1"/>
  <c r="CV62" i="2" s="1"/>
  <c r="CU51" i="2"/>
  <c r="CV51" i="2" s="1" a="1"/>
  <c r="CV51" i="2" s="1"/>
  <c r="CV52" i="2" s="1"/>
  <c r="CU42" i="2"/>
  <c r="CU33" i="2"/>
  <c r="CV33" i="2" s="1" a="1"/>
  <c r="CV33" i="2" s="1"/>
  <c r="CV34" i="2" s="1"/>
  <c r="CU24" i="2"/>
  <c r="CV24" i="2" s="1" a="1"/>
  <c r="CV24" i="2" s="1"/>
  <c r="CV25" i="2" s="1"/>
  <c r="CU15" i="2"/>
  <c r="CU160" i="2"/>
  <c r="CU151" i="2"/>
  <c r="CU142" i="2"/>
  <c r="CU133" i="2"/>
  <c r="CV133" i="2" s="1" a="1"/>
  <c r="CV133" i="2" s="1"/>
  <c r="CV134" i="2" s="1"/>
  <c r="CU123" i="2"/>
  <c r="CV123" i="2" s="1" a="1"/>
  <c r="CV123" i="2" s="1"/>
  <c r="CV124" i="2" s="1"/>
  <c r="CU114" i="2"/>
  <c r="CU105" i="2"/>
  <c r="CV105" i="2" s="1" a="1"/>
  <c r="CV105" i="2" s="1"/>
  <c r="CV106" i="2" s="1"/>
  <c r="CU96" i="2"/>
  <c r="CU87" i="2"/>
  <c r="CV87" i="2" s="1" a="1"/>
  <c r="CV87" i="2" s="1"/>
  <c r="CV88" i="2" s="1"/>
  <c r="CU78" i="2"/>
  <c r="CU69" i="2"/>
  <c r="CV69" i="2" s="1" a="1"/>
  <c r="CV69" i="2" s="1"/>
  <c r="CV70" i="2" s="1"/>
  <c r="CU59" i="2"/>
  <c r="CV59" i="2" s="1" a="1"/>
  <c r="CV59" i="2" s="1"/>
  <c r="CV60" i="2" s="1"/>
  <c r="CU50" i="2"/>
  <c r="CU41" i="2"/>
  <c r="CV41" i="2" s="1" a="1"/>
  <c r="CV41" i="2" s="1"/>
  <c r="CV42" i="2" s="1"/>
  <c r="CU32" i="2"/>
  <c r="CU23" i="2"/>
  <c r="CU14" i="2"/>
  <c r="CV14" i="2" s="1" a="1"/>
  <c r="CV14" i="2" s="1"/>
  <c r="CV15" i="2" s="1"/>
  <c r="CU6" i="2"/>
  <c r="CV6" i="2" s="1" a="1"/>
  <c r="CV6" i="2" s="1"/>
  <c r="CU158" i="2"/>
  <c r="CU149" i="2"/>
  <c r="CU139" i="2"/>
  <c r="CV139" i="2" s="1" a="1"/>
  <c r="CV139" i="2" s="1"/>
  <c r="CV140" i="2" s="1"/>
  <c r="CU130" i="2"/>
  <c r="CU121" i="2"/>
  <c r="CV121" i="2" s="1" a="1"/>
  <c r="CV121" i="2" s="1"/>
  <c r="CV122" i="2" s="1"/>
  <c r="CU112" i="2"/>
  <c r="CU103" i="2"/>
  <c r="CV103" i="2" s="1" a="1"/>
  <c r="CV103" i="2" s="1"/>
  <c r="CV104" i="2" s="1"/>
  <c r="CU94" i="2"/>
  <c r="CU85" i="2"/>
  <c r="CV85" i="2" s="1" a="1"/>
  <c r="CV85" i="2" s="1"/>
  <c r="CV86" i="2" s="1"/>
  <c r="CU75" i="2"/>
  <c r="CV75" i="2" s="1" a="1"/>
  <c r="CV75" i="2" s="1"/>
  <c r="CV76" i="2" s="1"/>
  <c r="CU66" i="2"/>
  <c r="CU57" i="2"/>
  <c r="CV57" i="2" s="1" a="1"/>
  <c r="CV57" i="2" s="1"/>
  <c r="CV58" i="2" s="1"/>
  <c r="CU48" i="2"/>
  <c r="CU39" i="2"/>
  <c r="CV39" i="2" s="1" a="1"/>
  <c r="CV39" i="2" s="1"/>
  <c r="CV40" i="2" s="1"/>
  <c r="CU30" i="2"/>
  <c r="CV30" i="2" s="1" a="1"/>
  <c r="CV30" i="2" s="1"/>
  <c r="CV31" i="2" s="1"/>
  <c r="CU21" i="2"/>
  <c r="CU11" i="2"/>
  <c r="CU155" i="2"/>
  <c r="CU146" i="2"/>
  <c r="CU137" i="2"/>
  <c r="CV137" i="2" s="1" a="1"/>
  <c r="CV137" i="2" s="1"/>
  <c r="CV138" i="2" s="1"/>
  <c r="CU128" i="2"/>
  <c r="CU119" i="2"/>
  <c r="CV119" i="2" s="1" a="1"/>
  <c r="CV119" i="2" s="1"/>
  <c r="CV120" i="2" s="1"/>
  <c r="CU110" i="2"/>
  <c r="CU101" i="2"/>
  <c r="CV101" i="2" s="1" a="1"/>
  <c r="CV101" i="2" s="1"/>
  <c r="CV102" i="2" s="1"/>
  <c r="CU91" i="2"/>
  <c r="CV91" i="2" s="1" a="1"/>
  <c r="CV91" i="2" s="1"/>
  <c r="CV92" i="2" s="1"/>
  <c r="CU82" i="2"/>
  <c r="CU73" i="2"/>
  <c r="CV73" i="2" s="1" a="1"/>
  <c r="CV73" i="2" s="1"/>
  <c r="CV74" i="2" s="1"/>
  <c r="CU64" i="2"/>
  <c r="CU55" i="2"/>
  <c r="CV55" i="2" s="1" a="1"/>
  <c r="CV55" i="2" s="1"/>
  <c r="CV56" i="2" s="1"/>
  <c r="CU46" i="2"/>
  <c r="CU37" i="2"/>
  <c r="CV37" i="2" s="1" a="1"/>
  <c r="CV37" i="2" s="1"/>
  <c r="CV38" i="2" s="1"/>
  <c r="CU27" i="2"/>
  <c r="CU18" i="2"/>
  <c r="CV18" i="2" s="1" a="1"/>
  <c r="CV18" i="2" s="1"/>
  <c r="CV19" i="2" s="1"/>
  <c r="CU9" i="2"/>
  <c r="CU157" i="2"/>
  <c r="CU138" i="2"/>
  <c r="CU120" i="2"/>
  <c r="CU102" i="2"/>
  <c r="CU83" i="2"/>
  <c r="CV83" i="2" s="1" a="1"/>
  <c r="CV83" i="2" s="1"/>
  <c r="CV84" i="2" s="1"/>
  <c r="CU65" i="2"/>
  <c r="CV65" i="2" s="1" a="1"/>
  <c r="CV65" i="2" s="1"/>
  <c r="CV66" i="2" s="1"/>
  <c r="CU47" i="2"/>
  <c r="CV47" i="2" s="1" a="1"/>
  <c r="CV47" i="2" s="1"/>
  <c r="CV48" i="2" s="1"/>
  <c r="CU29" i="2"/>
  <c r="CU10" i="2"/>
  <c r="CV10" i="2" s="1" a="1"/>
  <c r="CV10" i="2" s="1"/>
  <c r="CV11" i="2" s="1"/>
  <c r="CU154" i="2"/>
  <c r="CU136" i="2"/>
  <c r="CU118" i="2"/>
  <c r="CU99" i="2"/>
  <c r="CV99" i="2" s="1" a="1"/>
  <c r="CV99" i="2" s="1"/>
  <c r="CV100" i="2" s="1"/>
  <c r="CU81" i="2"/>
  <c r="CV81" i="2" s="1" a="1"/>
  <c r="CV81" i="2" s="1"/>
  <c r="CV82" i="2" s="1"/>
  <c r="CU63" i="2"/>
  <c r="CV63" i="2" s="1" a="1"/>
  <c r="CV63" i="2" s="1"/>
  <c r="CV64" i="2" s="1"/>
  <c r="CU45" i="2"/>
  <c r="CV45" i="2" s="1" a="1"/>
  <c r="CV45" i="2" s="1"/>
  <c r="CV46" i="2" s="1"/>
  <c r="CU26" i="2"/>
  <c r="CV26" i="2" s="1" a="1"/>
  <c r="CV26" i="2" s="1"/>
  <c r="CV27" i="2" s="1"/>
  <c r="CU8" i="2"/>
  <c r="CV8" i="2" s="1" a="1"/>
  <c r="CV8" i="2" s="1"/>
  <c r="CV9" i="2" s="1"/>
  <c r="CU147" i="2"/>
  <c r="CV147" i="2" s="1" a="1"/>
  <c r="CV147" i="2" s="1"/>
  <c r="CU129" i="2"/>
  <c r="CV129" i="2" s="1" a="1"/>
  <c r="CV129" i="2" s="1"/>
  <c r="CV130" i="2" s="1"/>
  <c r="CU111" i="2"/>
  <c r="CV111" i="2" s="1" a="1"/>
  <c r="CV111" i="2" s="1"/>
  <c r="CV112" i="2" s="1"/>
  <c r="CU93" i="2"/>
  <c r="CV93" i="2" s="1" a="1"/>
  <c r="CV93" i="2" s="1"/>
  <c r="CV94" i="2" s="1"/>
  <c r="CU74" i="2"/>
  <c r="CU56" i="2"/>
  <c r="CU38" i="2"/>
  <c r="CU19" i="2"/>
  <c r="CU163" i="2"/>
  <c r="CU145" i="2"/>
  <c r="CV145" i="2" s="1" a="1"/>
  <c r="CV145" i="2" s="1"/>
  <c r="CV146" i="2" s="1"/>
  <c r="CU127" i="2"/>
  <c r="CV127" i="2" s="1" a="1"/>
  <c r="CV127" i="2" s="1"/>
  <c r="CV128" i="2" s="1"/>
  <c r="CU109" i="2"/>
  <c r="CV109" i="2" s="1" a="1"/>
  <c r="CV109" i="2" s="1"/>
  <c r="CV110" i="2" s="1"/>
  <c r="CU90" i="2"/>
  <c r="CU72" i="2"/>
  <c r="CU54" i="2"/>
  <c r="CU35" i="2"/>
  <c r="CV35" i="2" s="1" a="1"/>
  <c r="CV35" i="2" s="1"/>
  <c r="CV36" i="2" s="1"/>
  <c r="CU17" i="2"/>
  <c r="CU131" i="2"/>
  <c r="CV131" i="2" s="1" a="1"/>
  <c r="CV131" i="2" s="1"/>
  <c r="CV132" i="2" s="1"/>
  <c r="CU95" i="2"/>
  <c r="CV95" i="2" s="1" a="1"/>
  <c r="CV95" i="2" s="1"/>
  <c r="CV96" i="2" s="1"/>
  <c r="CU58" i="2"/>
  <c r="CU22" i="2"/>
  <c r="CV22" i="2" s="1" a="1"/>
  <c r="CV22" i="2" s="1"/>
  <c r="CV23" i="2" s="1"/>
  <c r="CU162" i="2"/>
  <c r="CU126" i="2"/>
  <c r="CU89" i="2"/>
  <c r="CV89" i="2" s="1" a="1"/>
  <c r="CV89" i="2" s="1"/>
  <c r="CV90" i="2" s="1"/>
  <c r="CU53" i="2"/>
  <c r="CV53" i="2" s="1" a="1"/>
  <c r="CV53" i="2" s="1"/>
  <c r="CV54" i="2" s="1"/>
  <c r="CU16" i="2"/>
  <c r="CV16" i="2" s="1" a="1"/>
  <c r="CV16" i="2" s="1"/>
  <c r="CV17" i="2" s="1"/>
  <c r="CU159" i="2"/>
  <c r="CU122" i="2"/>
  <c r="CU86" i="2"/>
  <c r="CU49" i="2"/>
  <c r="CV49" i="2" s="1" a="1"/>
  <c r="CV49" i="2" s="1"/>
  <c r="CV50" i="2" s="1"/>
  <c r="CU13" i="2"/>
  <c r="CU153" i="2"/>
  <c r="CU117" i="2"/>
  <c r="CV117" i="2" s="1" a="1"/>
  <c r="CV117" i="2" s="1"/>
  <c r="CV118" i="2" s="1"/>
  <c r="CU80" i="2"/>
  <c r="CU43" i="2"/>
  <c r="CV43" i="2" s="1" a="1"/>
  <c r="CV43" i="2" s="1"/>
  <c r="CV44" i="2" s="1"/>
  <c r="CU7" i="2"/>
  <c r="CU141" i="2"/>
  <c r="CV141" i="2" s="1" a="1"/>
  <c r="CV141" i="2" s="1"/>
  <c r="CV142" i="2" s="1"/>
  <c r="CU67" i="2"/>
  <c r="CV67" i="2" s="1" a="1"/>
  <c r="CV67" i="2" s="1"/>
  <c r="CV68" i="2" s="1"/>
  <c r="CU31" i="2"/>
  <c r="CU150" i="2"/>
  <c r="CU113" i="2"/>
  <c r="CV113" i="2" s="1" a="1"/>
  <c r="CV113" i="2" s="1"/>
  <c r="CV114" i="2" s="1"/>
  <c r="CU77" i="2"/>
  <c r="CV77" i="2" s="1" a="1"/>
  <c r="CV77" i="2" s="1"/>
  <c r="CV78" i="2" s="1"/>
  <c r="CU40" i="2"/>
  <c r="CU104" i="2"/>
  <c r="CU144" i="2"/>
  <c r="CU107" i="2"/>
  <c r="CV107" i="2" s="1" a="1"/>
  <c r="CV107" i="2" s="1"/>
  <c r="CV108" i="2" s="1"/>
  <c r="CU71" i="2"/>
  <c r="CV71" i="2" s="1" a="1"/>
  <c r="CV71" i="2" s="1"/>
  <c r="CV72" i="2" s="1"/>
  <c r="CU34" i="2"/>
  <c r="CU98" i="2"/>
  <c r="CU135" i="2"/>
  <c r="CV135" i="2" s="1" a="1"/>
  <c r="CV135" i="2" s="1"/>
  <c r="CV136" i="2" s="1"/>
  <c r="CU62" i="2"/>
  <c r="CU25" i="2"/>
  <c r="AS123" i="2"/>
  <c r="AX111" i="2"/>
  <c r="AB111" i="2"/>
  <c r="AX55" i="2"/>
  <c r="AB55" i="2"/>
  <c r="AX63" i="2"/>
  <c r="AB63" i="2"/>
  <c r="AS81" i="2"/>
  <c r="AS67" i="2"/>
  <c r="AX113" i="2"/>
  <c r="AB113" i="2"/>
  <c r="AF45" i="2"/>
  <c r="AD45" i="2" s="1"/>
  <c r="AE45" i="2" s="1"/>
  <c r="AF22" i="2"/>
  <c r="AD22" i="2" s="1"/>
  <c r="AE22" i="2" s="1"/>
  <c r="AX127" i="2"/>
  <c r="AB127" i="2"/>
  <c r="AX57" i="2"/>
  <c r="AB57" i="2"/>
  <c r="AF18" i="2"/>
  <c r="AD18" i="2" s="1"/>
  <c r="AE18" i="2" s="1"/>
  <c r="AS18" i="2"/>
  <c r="AS141" i="2"/>
  <c r="AF12" i="2"/>
  <c r="AD12" i="2" s="1"/>
  <c r="AE12" i="2" s="1"/>
  <c r="AF143" i="2"/>
  <c r="AD143" i="2" s="1"/>
  <c r="AE143" i="2" s="1"/>
  <c r="AF6" i="2"/>
  <c r="AD6" i="2" s="1"/>
  <c r="AE6" i="2" s="1"/>
  <c r="AX51" i="2"/>
  <c r="AB51" i="2"/>
  <c r="AF135" i="2"/>
  <c r="AD135" i="2" s="1"/>
  <c r="AE135" i="2" s="1"/>
  <c r="AS121" i="2"/>
  <c r="AF95" i="2"/>
  <c r="AD95" i="2" s="1"/>
  <c r="AE95" i="2" s="1"/>
  <c r="AS26" i="2"/>
  <c r="AS51" i="2"/>
  <c r="AF123" i="2"/>
  <c r="AD123" i="2" s="1"/>
  <c r="AE123" i="2" s="1"/>
  <c r="AX71" i="2"/>
  <c r="AB71" i="2"/>
  <c r="AS73" i="2"/>
  <c r="B6" i="3"/>
  <c r="BC6" i="2" a="1"/>
  <c r="BC6" i="2" s="1"/>
  <c r="BB6" i="2" s="1"/>
  <c r="B28" i="3" s="1"/>
  <c r="AX79" i="2"/>
  <c r="AB79" i="2"/>
  <c r="AF81" i="2"/>
  <c r="AD81" i="2" s="1"/>
  <c r="AE81" i="2" s="1"/>
  <c r="AF83" i="2"/>
  <c r="AD83" i="2" s="1"/>
  <c r="AE83" i="2" s="1"/>
  <c r="AF10" i="2"/>
  <c r="AD10" i="2" s="1"/>
  <c r="AE10" i="2" s="1"/>
  <c r="AF67" i="2"/>
  <c r="AD67" i="2" s="1"/>
  <c r="AE67" i="2" s="1"/>
  <c r="AF129" i="2"/>
  <c r="AD129" i="2" s="1"/>
  <c r="AE129" i="2" s="1"/>
  <c r="AS41" i="2"/>
  <c r="CQ7" i="2"/>
  <c r="CR6" i="2" s="1" a="1"/>
  <c r="AS113" i="2"/>
  <c r="AX109" i="2"/>
  <c r="AB109" i="2"/>
  <c r="AF127" i="2"/>
  <c r="AD127" i="2" s="1"/>
  <c r="AE127" i="2" s="1"/>
  <c r="AS53" i="2"/>
  <c r="AF101" i="2"/>
  <c r="AD101" i="2" s="1"/>
  <c r="AE101" i="2" s="1"/>
  <c r="AS77" i="2"/>
  <c r="AF37" i="2"/>
  <c r="AD37" i="2" s="1"/>
  <c r="AE37" i="2" s="1"/>
  <c r="AF125" i="2"/>
  <c r="AD125" i="2" s="1"/>
  <c r="AE125" i="2" s="1"/>
  <c r="AF43" i="2"/>
  <c r="AD43" i="2" s="1"/>
  <c r="AE43" i="2" s="1"/>
  <c r="AX91" i="2"/>
  <c r="AB91" i="2"/>
  <c r="AF121" i="2"/>
  <c r="AD121" i="2" s="1"/>
  <c r="AE121" i="2" s="1"/>
  <c r="AS47" i="2"/>
  <c r="AQ47" i="2"/>
  <c r="AF47" i="2"/>
  <c r="AD47" i="2" s="1"/>
  <c r="AE47" i="2" s="1"/>
  <c r="CZ6" i="2" a="1"/>
  <c r="AF30" i="2"/>
  <c r="AD30" i="2" s="1"/>
  <c r="AE30" i="2" s="1"/>
  <c r="AS95" i="2"/>
  <c r="AX8" i="2"/>
  <c r="AB8" i="2"/>
  <c r="AF26" i="2"/>
  <c r="AD26" i="2" s="1"/>
  <c r="AE26" i="2" s="1"/>
  <c r="AF51" i="2"/>
  <c r="AD51" i="2" s="1"/>
  <c r="AE51" i="2" s="1"/>
  <c r="AS107" i="2"/>
  <c r="AF73" i="2"/>
  <c r="AD73" i="2" s="1"/>
  <c r="AE73" i="2" s="1"/>
  <c r="B7" i="3"/>
  <c r="BC7" i="2" a="1"/>
  <c r="BC7" i="2" s="1"/>
  <c r="AS87" i="2"/>
  <c r="AS83" i="2"/>
  <c r="AS129" i="2"/>
  <c r="AS45" i="2"/>
  <c r="AS75" i="2"/>
  <c r="AF113" i="2"/>
  <c r="AD113" i="2" s="1"/>
  <c r="AE113" i="2" s="1"/>
  <c r="AS127" i="2"/>
  <c r="AX47" i="2"/>
  <c r="AB47" i="2"/>
  <c r="AS97" i="2"/>
  <c r="AS117" i="2"/>
  <c r="AS101" i="2"/>
  <c r="AF93" i="2"/>
  <c r="AD93" i="2" s="1"/>
  <c r="AE93" i="2" s="1"/>
  <c r="AS105" i="2"/>
  <c r="AS89" i="2"/>
  <c r="AS6" i="2"/>
  <c r="AX6" i="2"/>
  <c r="AW33" i="2" s="1"/>
  <c r="AB6" i="2"/>
  <c r="AS30" i="2"/>
  <c r="AS133" i="2"/>
  <c r="AF16" i="2"/>
  <c r="AD16" i="2" s="1"/>
  <c r="AE16" i="2" s="1"/>
  <c r="AF107" i="2"/>
  <c r="AD107" i="2" s="1"/>
  <c r="AE107" i="2" s="1"/>
  <c r="AS28" i="2"/>
  <c r="B18" i="3"/>
  <c r="BD7" i="2"/>
  <c r="AF87" i="2"/>
  <c r="AD87" i="2" s="1"/>
  <c r="AE87" i="2" s="1"/>
  <c r="AS131" i="2"/>
  <c r="AS49" i="2"/>
  <c r="AX41" i="2"/>
  <c r="AB41" i="2"/>
  <c r="AS10" i="2"/>
  <c r="AX81" i="2"/>
  <c r="AB81" i="2"/>
  <c r="AF63" i="2"/>
  <c r="AD63" i="2" s="1"/>
  <c r="AE63" i="2" s="1"/>
  <c r="AF24" i="2"/>
  <c r="AD24" i="2" s="1"/>
  <c r="AE24" i="2" s="1"/>
  <c r="AF41" i="2"/>
  <c r="AD41" i="2" s="1"/>
  <c r="AE41" i="2" s="1"/>
  <c r="AF75" i="2"/>
  <c r="AD75" i="2" s="1"/>
  <c r="AE75" i="2" s="1"/>
  <c r="AS111" i="2"/>
  <c r="AX75" i="2"/>
  <c r="AB75" i="2"/>
  <c r="AX133" i="2"/>
  <c r="AB133" i="2"/>
  <c r="AS61" i="2"/>
  <c r="AF137" i="2"/>
  <c r="AD137" i="2" s="1"/>
  <c r="AE137" i="2" s="1"/>
  <c r="AS147" i="2"/>
  <c r="AS69" i="2"/>
  <c r="AS115" i="2"/>
  <c r="AF139" i="2"/>
  <c r="AD139" i="2" s="1"/>
  <c r="AE139" i="2" s="1"/>
  <c r="AS14" i="2"/>
  <c r="AS135" i="2"/>
  <c r="AF133" i="2"/>
  <c r="AD133" i="2" s="1"/>
  <c r="AE133" i="2" s="1"/>
  <c r="AX95" i="2"/>
  <c r="AB95" i="2"/>
  <c r="AS16" i="2"/>
  <c r="AX67" i="2"/>
  <c r="AB67" i="2"/>
  <c r="AX24" i="2"/>
  <c r="AB24" i="2"/>
  <c r="AX107" i="2"/>
  <c r="AB107" i="2"/>
  <c r="AF49" i="2"/>
  <c r="AD49" i="2" s="1"/>
  <c r="AE49" i="2" s="1"/>
  <c r="AX10" i="2"/>
  <c r="AW97" i="2" s="1"/>
  <c r="AB10" i="2"/>
  <c r="AS63" i="2"/>
  <c r="AF109" i="2"/>
  <c r="AD109" i="2" s="1"/>
  <c r="AE109" i="2" s="1"/>
  <c r="AX49" i="2"/>
  <c r="AB49" i="2"/>
  <c r="AF111" i="2"/>
  <c r="AD111" i="2" s="1"/>
  <c r="AE111" i="2" s="1"/>
  <c r="AX135" i="2"/>
  <c r="AB135" i="2"/>
  <c r="AS20" i="2"/>
  <c r="AF20" i="2"/>
  <c r="AD20" i="2" s="1"/>
  <c r="AE20" i="2" s="1"/>
  <c r="AQ20" i="2"/>
  <c r="AF117" i="2"/>
  <c r="AD117" i="2" s="1"/>
  <c r="AE117" i="2" s="1"/>
  <c r="AS85" i="2"/>
  <c r="AF141" i="2"/>
  <c r="AD141" i="2" s="1"/>
  <c r="AE141" i="2" s="1"/>
  <c r="AF105" i="2"/>
  <c r="AD105" i="2" s="1"/>
  <c r="AE105" i="2" s="1"/>
  <c r="AS12" i="2"/>
  <c r="AF89" i="2"/>
  <c r="AD89" i="2" s="1"/>
  <c r="AE89" i="2" s="1"/>
  <c r="AX28" i="2"/>
  <c r="AB28" i="2"/>
  <c r="AX65" i="2"/>
  <c r="AB65" i="2"/>
  <c r="AX45" i="2"/>
  <c r="AB45" i="2"/>
  <c r="AS71" i="2"/>
  <c r="AX14" i="2"/>
  <c r="AW14" i="2" s="1"/>
  <c r="AB14" i="2"/>
  <c r="AS79" i="2"/>
  <c r="AF28" i="2"/>
  <c r="AD28" i="2" s="1"/>
  <c r="AE28" i="2" s="1"/>
  <c r="AX99" i="2"/>
  <c r="AB99" i="2"/>
  <c r="AX145" i="2"/>
  <c r="AB145" i="2"/>
  <c r="AF131" i="2"/>
  <c r="AD131" i="2" s="1"/>
  <c r="AE131" i="2" s="1"/>
  <c r="AX103" i="2"/>
  <c r="AW103" i="2" s="1"/>
  <c r="AB103" i="2"/>
  <c r="AX22" i="2"/>
  <c r="AB22" i="2"/>
  <c r="AX131" i="2"/>
  <c r="AB131" i="2"/>
  <c r="AF119" i="2"/>
  <c r="AD119" i="2" s="1"/>
  <c r="AE119" i="2" s="1"/>
  <c r="AS109" i="2"/>
  <c r="AS24" i="2"/>
  <c r="AF91" i="2"/>
  <c r="AD91" i="2" s="1"/>
  <c r="AE91" i="2" s="1"/>
  <c r="AS65" i="2"/>
  <c r="AX20" i="2"/>
  <c r="AB20" i="2"/>
  <c r="AS137" i="2"/>
  <c r="AF97" i="2"/>
  <c r="AD97" i="2" s="1"/>
  <c r="AE97" i="2" s="1"/>
  <c r="AS93" i="2"/>
  <c r="AF33" i="2"/>
  <c r="AD33" i="2" s="1"/>
  <c r="AE33" i="2" s="1"/>
  <c r="AS125" i="2"/>
  <c r="AS139" i="2"/>
  <c r="AF14" i="2"/>
  <c r="AD14" i="2" s="1"/>
  <c r="AE14" i="2" s="1"/>
  <c r="CR157" i="2" l="1"/>
  <c r="CR149" i="2"/>
  <c r="CR141" i="2"/>
  <c r="CR133" i="2"/>
  <c r="CR125" i="2"/>
  <c r="CR117" i="2"/>
  <c r="CR109" i="2"/>
  <c r="CR101" i="2"/>
  <c r="CR93" i="2"/>
  <c r="CR85" i="2"/>
  <c r="CR77" i="2"/>
  <c r="CR69" i="2"/>
  <c r="CR61" i="2"/>
  <c r="CR53" i="2"/>
  <c r="CR45" i="2"/>
  <c r="CR37" i="2"/>
  <c r="CR29" i="2"/>
  <c r="CR21" i="2"/>
  <c r="CR13" i="2"/>
  <c r="CR6" i="2"/>
  <c r="CR162" i="2"/>
  <c r="CR153" i="2"/>
  <c r="CR144" i="2"/>
  <c r="CR135" i="2"/>
  <c r="CR126" i="2"/>
  <c r="CR116" i="2"/>
  <c r="CR107" i="2"/>
  <c r="CR98" i="2"/>
  <c r="CR89" i="2"/>
  <c r="CR80" i="2"/>
  <c r="CR71" i="2"/>
  <c r="CR62" i="2"/>
  <c r="CR52" i="2"/>
  <c r="CR43" i="2"/>
  <c r="CR34" i="2"/>
  <c r="CR25" i="2"/>
  <c r="CR16" i="2"/>
  <c r="CR7" i="2"/>
  <c r="CR161" i="2"/>
  <c r="CR152" i="2"/>
  <c r="CR143" i="2"/>
  <c r="CR134" i="2"/>
  <c r="CR124" i="2"/>
  <c r="CR115" i="2"/>
  <c r="CR106" i="2"/>
  <c r="CR97" i="2"/>
  <c r="CR88" i="2"/>
  <c r="CR79" i="2"/>
  <c r="CR70" i="2"/>
  <c r="CR60" i="2"/>
  <c r="CR51" i="2"/>
  <c r="CR42" i="2"/>
  <c r="CR33" i="2"/>
  <c r="CR24" i="2"/>
  <c r="CR15" i="2"/>
  <c r="CR159" i="2"/>
  <c r="CR150" i="2"/>
  <c r="CR140" i="2"/>
  <c r="CR131" i="2"/>
  <c r="CR122" i="2"/>
  <c r="CR113" i="2"/>
  <c r="CR104" i="2"/>
  <c r="CR95" i="2"/>
  <c r="CR86" i="2"/>
  <c r="CR76" i="2"/>
  <c r="CR67" i="2"/>
  <c r="CR58" i="2"/>
  <c r="CR49" i="2"/>
  <c r="CR40" i="2"/>
  <c r="CR31" i="2"/>
  <c r="CR22" i="2"/>
  <c r="CR12" i="2"/>
  <c r="CR156" i="2"/>
  <c r="CR147" i="2"/>
  <c r="CR138" i="2"/>
  <c r="CR129" i="2"/>
  <c r="CR120" i="2"/>
  <c r="CR111" i="2"/>
  <c r="CR102" i="2"/>
  <c r="CR92" i="2"/>
  <c r="CR83" i="2"/>
  <c r="CR74" i="2"/>
  <c r="CR65" i="2"/>
  <c r="CR56" i="2"/>
  <c r="CR47" i="2"/>
  <c r="CR38" i="2"/>
  <c r="CR28" i="2"/>
  <c r="CR19" i="2"/>
  <c r="CR10" i="2"/>
  <c r="CR164" i="2"/>
  <c r="CR146" i="2"/>
  <c r="CR128" i="2"/>
  <c r="CR110" i="2"/>
  <c r="CR91" i="2"/>
  <c r="CR73" i="2"/>
  <c r="CR55" i="2"/>
  <c r="CR36" i="2"/>
  <c r="CR18" i="2"/>
  <c r="CR158" i="2"/>
  <c r="CR139" i="2"/>
  <c r="CR121" i="2"/>
  <c r="CR103" i="2"/>
  <c r="CR84" i="2"/>
  <c r="CR66" i="2"/>
  <c r="CR48" i="2"/>
  <c r="CR30" i="2"/>
  <c r="CR11" i="2"/>
  <c r="CR155" i="2"/>
  <c r="CR137" i="2"/>
  <c r="CR119" i="2"/>
  <c r="CR100" i="2"/>
  <c r="CR82" i="2"/>
  <c r="CR64" i="2"/>
  <c r="CR46" i="2"/>
  <c r="CR27" i="2"/>
  <c r="CR9" i="2"/>
  <c r="CR160" i="2"/>
  <c r="CR130" i="2"/>
  <c r="CR99" i="2"/>
  <c r="CR72" i="2"/>
  <c r="CR41" i="2"/>
  <c r="CR14" i="2"/>
  <c r="CR154" i="2"/>
  <c r="CR127" i="2"/>
  <c r="CR96" i="2"/>
  <c r="CR68" i="2"/>
  <c r="CR39" i="2"/>
  <c r="CR8" i="2"/>
  <c r="CR151" i="2"/>
  <c r="CR123" i="2"/>
  <c r="CR94" i="2"/>
  <c r="CR63" i="2"/>
  <c r="CR35" i="2"/>
  <c r="CR148" i="2"/>
  <c r="CR118" i="2"/>
  <c r="CR90" i="2"/>
  <c r="CR59" i="2"/>
  <c r="CR32" i="2"/>
  <c r="CR136" i="2"/>
  <c r="CR78" i="2"/>
  <c r="CR20" i="2"/>
  <c r="CR145" i="2"/>
  <c r="CR114" i="2"/>
  <c r="CR87" i="2"/>
  <c r="CR57" i="2"/>
  <c r="CR26" i="2"/>
  <c r="CR108" i="2"/>
  <c r="CR50" i="2"/>
  <c r="CR142" i="2"/>
  <c r="CR112" i="2"/>
  <c r="CR81" i="2"/>
  <c r="CR54" i="2"/>
  <c r="CR23" i="2"/>
  <c r="CR132" i="2"/>
  <c r="CR44" i="2"/>
  <c r="CR105" i="2"/>
  <c r="CR75" i="2"/>
  <c r="CR17" i="2"/>
  <c r="CR163" i="2"/>
  <c r="AW135" i="2"/>
  <c r="AW47" i="2"/>
  <c r="AW77" i="2"/>
  <c r="C6" i="3"/>
  <c r="D6" i="3"/>
  <c r="F6" i="3"/>
  <c r="E6" i="3"/>
  <c r="AW41" i="2"/>
  <c r="AW137" i="2"/>
  <c r="AW125" i="2"/>
  <c r="CZ159" i="2"/>
  <c r="CZ151" i="2"/>
  <c r="CZ143" i="2"/>
  <c r="DA143" i="2" s="1" a="1"/>
  <c r="DA143" i="2" s="1"/>
  <c r="DA144" i="2" s="1"/>
  <c r="CZ135" i="2"/>
  <c r="DA135" i="2" s="1" a="1"/>
  <c r="DA135" i="2" s="1"/>
  <c r="DA136" i="2" s="1"/>
  <c r="CZ127" i="2"/>
  <c r="DA127" i="2" s="1" a="1"/>
  <c r="DA127" i="2" s="1"/>
  <c r="DA128" i="2" s="1"/>
  <c r="CZ119" i="2"/>
  <c r="DA119" i="2" s="1" a="1"/>
  <c r="DA119" i="2" s="1"/>
  <c r="DA120" i="2" s="1"/>
  <c r="CZ111" i="2"/>
  <c r="DA111" i="2" s="1" a="1"/>
  <c r="DA111" i="2" s="1"/>
  <c r="DA112" i="2" s="1"/>
  <c r="CZ103" i="2"/>
  <c r="DA103" i="2" s="1" a="1"/>
  <c r="DA103" i="2" s="1"/>
  <c r="DA104" i="2" s="1"/>
  <c r="CZ95" i="2"/>
  <c r="DA95" i="2" s="1" a="1"/>
  <c r="DA95" i="2" s="1"/>
  <c r="DA96" i="2" s="1"/>
  <c r="CZ87" i="2"/>
  <c r="DA87" i="2" s="1" a="1"/>
  <c r="DA87" i="2" s="1"/>
  <c r="DA88" i="2" s="1"/>
  <c r="CZ79" i="2"/>
  <c r="DA79" i="2" s="1" a="1"/>
  <c r="DA79" i="2" s="1"/>
  <c r="DA80" i="2" s="1"/>
  <c r="CZ71" i="2"/>
  <c r="DA71" i="2" s="1" a="1"/>
  <c r="DA71" i="2" s="1"/>
  <c r="DA72" i="2" s="1"/>
  <c r="CZ63" i="2"/>
  <c r="DA63" i="2" s="1" a="1"/>
  <c r="DA63" i="2" s="1"/>
  <c r="DA64" i="2" s="1"/>
  <c r="CZ55" i="2"/>
  <c r="DA55" i="2" s="1" a="1"/>
  <c r="DA55" i="2" s="1"/>
  <c r="DA56" i="2" s="1"/>
  <c r="CZ47" i="2"/>
  <c r="DA47" i="2" s="1" a="1"/>
  <c r="DA47" i="2" s="1"/>
  <c r="DA48" i="2" s="1"/>
  <c r="CZ39" i="2"/>
  <c r="DA39" i="2" s="1" a="1"/>
  <c r="DA39" i="2" s="1"/>
  <c r="DA40" i="2" s="1"/>
  <c r="CZ31" i="2"/>
  <c r="CZ23" i="2"/>
  <c r="CZ15" i="2"/>
  <c r="CZ7" i="2"/>
  <c r="CZ162" i="2"/>
  <c r="CZ153" i="2"/>
  <c r="CZ144" i="2"/>
  <c r="CZ134" i="2"/>
  <c r="CZ125" i="2"/>
  <c r="DA125" i="2" s="1" a="1"/>
  <c r="DA125" i="2" s="1"/>
  <c r="DA126" i="2" s="1"/>
  <c r="CZ116" i="2"/>
  <c r="CZ107" i="2"/>
  <c r="DA107" i="2" s="1" a="1"/>
  <c r="DA107" i="2" s="1"/>
  <c r="DA108" i="2" s="1"/>
  <c r="CZ98" i="2"/>
  <c r="CZ89" i="2"/>
  <c r="DA89" i="2" s="1" a="1"/>
  <c r="DA89" i="2" s="1"/>
  <c r="DA90" i="2" s="1"/>
  <c r="CZ80" i="2"/>
  <c r="CZ70" i="2"/>
  <c r="CZ61" i="2"/>
  <c r="DA61" i="2" s="1" a="1"/>
  <c r="DA61" i="2" s="1"/>
  <c r="DA62" i="2" s="1"/>
  <c r="CZ52" i="2"/>
  <c r="CZ43" i="2"/>
  <c r="DA43" i="2" s="1" a="1"/>
  <c r="DA43" i="2" s="1"/>
  <c r="DA44" i="2" s="1"/>
  <c r="CZ34" i="2"/>
  <c r="CZ25" i="2"/>
  <c r="CZ16" i="2"/>
  <c r="DA16" i="2" s="1" a="1"/>
  <c r="DA16" i="2" s="1"/>
  <c r="DA17" i="2" s="1"/>
  <c r="CZ161" i="2"/>
  <c r="CZ152" i="2"/>
  <c r="CZ142" i="2"/>
  <c r="CZ133" i="2"/>
  <c r="DA133" i="2" s="1" a="1"/>
  <c r="DA133" i="2" s="1"/>
  <c r="DA134" i="2" s="1"/>
  <c r="CZ124" i="2"/>
  <c r="CZ115" i="2"/>
  <c r="DA115" i="2" s="1" a="1"/>
  <c r="DA115" i="2" s="1"/>
  <c r="DA116" i="2" s="1"/>
  <c r="CZ106" i="2"/>
  <c r="CZ97" i="2"/>
  <c r="DA97" i="2" s="1" a="1"/>
  <c r="DA97" i="2" s="1"/>
  <c r="DA98" i="2" s="1"/>
  <c r="CZ88" i="2"/>
  <c r="CZ78" i="2"/>
  <c r="CZ69" i="2"/>
  <c r="DA69" i="2" s="1" a="1"/>
  <c r="DA69" i="2" s="1"/>
  <c r="DA70" i="2" s="1"/>
  <c r="CZ60" i="2"/>
  <c r="CZ51" i="2"/>
  <c r="DA51" i="2" s="1" a="1"/>
  <c r="DA51" i="2" s="1"/>
  <c r="DA52" i="2" s="1"/>
  <c r="CZ42" i="2"/>
  <c r="CZ33" i="2"/>
  <c r="DA33" i="2" s="1" a="1"/>
  <c r="DA33" i="2" s="1"/>
  <c r="DA34" i="2" s="1"/>
  <c r="CZ24" i="2"/>
  <c r="DA24" i="2" s="1" a="1"/>
  <c r="DA24" i="2" s="1"/>
  <c r="DA25" i="2" s="1"/>
  <c r="CZ14" i="2"/>
  <c r="DA14" i="2" s="1" a="1"/>
  <c r="DA14" i="2" s="1"/>
  <c r="DA15" i="2" s="1"/>
  <c r="CZ6" i="2"/>
  <c r="DA6" i="2" s="1" a="1"/>
  <c r="DA6" i="2" s="1"/>
  <c r="CZ157" i="2"/>
  <c r="CZ148" i="2"/>
  <c r="CZ139" i="2"/>
  <c r="DA139" i="2" s="1" a="1"/>
  <c r="DA139" i="2" s="1"/>
  <c r="DA140" i="2" s="1"/>
  <c r="CZ130" i="2"/>
  <c r="CZ121" i="2"/>
  <c r="DA121" i="2" s="1" a="1"/>
  <c r="DA121" i="2" s="1"/>
  <c r="DA122" i="2" s="1"/>
  <c r="CZ112" i="2"/>
  <c r="CZ102" i="2"/>
  <c r="CZ93" i="2"/>
  <c r="DA93" i="2" s="1" a="1"/>
  <c r="DA93" i="2" s="1"/>
  <c r="DA94" i="2" s="1"/>
  <c r="CZ84" i="2"/>
  <c r="CZ75" i="2"/>
  <c r="DA75" i="2" s="1" a="1"/>
  <c r="DA75" i="2" s="1"/>
  <c r="DA76" i="2" s="1"/>
  <c r="CZ66" i="2"/>
  <c r="CZ57" i="2"/>
  <c r="DA57" i="2" s="1" a="1"/>
  <c r="DA57" i="2" s="1"/>
  <c r="DA58" i="2" s="1"/>
  <c r="CZ48" i="2"/>
  <c r="CZ38" i="2"/>
  <c r="CZ29" i="2"/>
  <c r="CZ20" i="2"/>
  <c r="DA20" i="2" s="1" a="1"/>
  <c r="DA20" i="2" s="1"/>
  <c r="DA21" i="2" s="1"/>
  <c r="CZ11" i="2"/>
  <c r="CZ154" i="2"/>
  <c r="CZ138" i="2"/>
  <c r="CZ123" i="2"/>
  <c r="DA123" i="2" s="1" a="1"/>
  <c r="DA123" i="2" s="1"/>
  <c r="DA124" i="2" s="1"/>
  <c r="CZ109" i="2"/>
  <c r="DA109" i="2" s="1" a="1"/>
  <c r="DA109" i="2" s="1"/>
  <c r="DA110" i="2" s="1"/>
  <c r="CZ94" i="2"/>
  <c r="CZ81" i="2"/>
  <c r="DA81" i="2" s="1" a="1"/>
  <c r="DA81" i="2" s="1"/>
  <c r="DA82" i="2" s="1"/>
  <c r="CZ65" i="2"/>
  <c r="DA65" i="2" s="1" a="1"/>
  <c r="DA65" i="2" s="1"/>
  <c r="DA66" i="2" s="1"/>
  <c r="CZ50" i="2"/>
  <c r="CZ36" i="2"/>
  <c r="CZ21" i="2"/>
  <c r="CZ8" i="2"/>
  <c r="DA8" i="2" s="1" a="1"/>
  <c r="DA8" i="2" s="1"/>
  <c r="DA9" i="2" s="1"/>
  <c r="CZ150" i="2"/>
  <c r="CZ137" i="2"/>
  <c r="DA137" i="2" s="1" a="1"/>
  <c r="DA137" i="2" s="1"/>
  <c r="DA138" i="2" s="1"/>
  <c r="CZ122" i="2"/>
  <c r="CZ108" i="2"/>
  <c r="CZ92" i="2"/>
  <c r="CZ77" i="2"/>
  <c r="DA77" i="2" s="1" a="1"/>
  <c r="DA77" i="2" s="1"/>
  <c r="DA78" i="2" s="1"/>
  <c r="CZ64" i="2"/>
  <c r="CZ49" i="2"/>
  <c r="DA49" i="2" s="1" a="1"/>
  <c r="DA49" i="2" s="1"/>
  <c r="DA50" i="2" s="1"/>
  <c r="CZ35" i="2"/>
  <c r="DA35" i="2" s="1" a="1"/>
  <c r="DA35" i="2" s="1"/>
  <c r="DA36" i="2" s="1"/>
  <c r="CZ19" i="2"/>
  <c r="CZ164" i="2"/>
  <c r="CZ149" i="2"/>
  <c r="CZ136" i="2"/>
  <c r="CZ120" i="2"/>
  <c r="CZ105" i="2"/>
  <c r="DA105" i="2" s="1" a="1"/>
  <c r="DA105" i="2" s="1"/>
  <c r="DA106" i="2" s="1"/>
  <c r="CZ91" i="2"/>
  <c r="DA91" i="2" s="1" a="1"/>
  <c r="DA91" i="2" s="1"/>
  <c r="DA92" i="2" s="1"/>
  <c r="CZ76" i="2"/>
  <c r="CZ62" i="2"/>
  <c r="CZ46" i="2"/>
  <c r="CZ32" i="2"/>
  <c r="CZ18" i="2"/>
  <c r="DA18" i="2" s="1" a="1"/>
  <c r="DA18" i="2" s="1"/>
  <c r="DA19" i="2" s="1"/>
  <c r="CZ163" i="2"/>
  <c r="CZ147" i="2"/>
  <c r="DA147" i="2" s="1" a="1"/>
  <c r="DA147" i="2" s="1"/>
  <c r="CZ132" i="2"/>
  <c r="CZ118" i="2"/>
  <c r="CZ104" i="2"/>
  <c r="CZ90" i="2"/>
  <c r="CZ74" i="2"/>
  <c r="CZ59" i="2"/>
  <c r="DA59" i="2" s="1" a="1"/>
  <c r="DA59" i="2" s="1"/>
  <c r="DA60" i="2" s="1"/>
  <c r="CZ45" i="2"/>
  <c r="DA45" i="2" s="1" a="1"/>
  <c r="DA45" i="2" s="1"/>
  <c r="DA46" i="2" s="1"/>
  <c r="CZ30" i="2"/>
  <c r="DA30" i="2" s="1" a="1"/>
  <c r="DA30" i="2" s="1"/>
  <c r="DA31" i="2" s="1"/>
  <c r="CZ17" i="2"/>
  <c r="CZ160" i="2"/>
  <c r="CZ146" i="2"/>
  <c r="CZ131" i="2"/>
  <c r="DA131" i="2" s="1" a="1"/>
  <c r="DA131" i="2" s="1"/>
  <c r="DA132" i="2" s="1"/>
  <c r="CZ117" i="2"/>
  <c r="DA117" i="2" s="1" a="1"/>
  <c r="DA117" i="2" s="1"/>
  <c r="DA118" i="2" s="1"/>
  <c r="CZ101" i="2"/>
  <c r="DA101" i="2" s="1" a="1"/>
  <c r="DA101" i="2" s="1"/>
  <c r="DA102" i="2" s="1"/>
  <c r="CZ86" i="2"/>
  <c r="CZ73" i="2"/>
  <c r="DA73" i="2" s="1" a="1"/>
  <c r="DA73" i="2" s="1"/>
  <c r="DA74" i="2" s="1"/>
  <c r="CZ58" i="2"/>
  <c r="CZ44" i="2"/>
  <c r="CZ28" i="2"/>
  <c r="DA28" i="2" s="1" a="1"/>
  <c r="DA28" i="2" s="1"/>
  <c r="DA29" i="2" s="1"/>
  <c r="CZ13" i="2"/>
  <c r="CZ158" i="2"/>
  <c r="CZ145" i="2"/>
  <c r="DA145" i="2" s="1" a="1"/>
  <c r="DA145" i="2" s="1"/>
  <c r="DA146" i="2" s="1"/>
  <c r="CZ129" i="2"/>
  <c r="DA129" i="2" s="1" a="1"/>
  <c r="DA129" i="2" s="1"/>
  <c r="DA130" i="2" s="1"/>
  <c r="CZ114" i="2"/>
  <c r="CZ100" i="2"/>
  <c r="CZ85" i="2"/>
  <c r="DA85" i="2" s="1" a="1"/>
  <c r="DA85" i="2" s="1"/>
  <c r="DA86" i="2" s="1"/>
  <c r="CZ72" i="2"/>
  <c r="CZ56" i="2"/>
  <c r="CZ41" i="2"/>
  <c r="DA41" i="2" s="1" a="1"/>
  <c r="DA41" i="2" s="1"/>
  <c r="DA42" i="2" s="1"/>
  <c r="CZ27" i="2"/>
  <c r="CZ12" i="2"/>
  <c r="DA12" i="2" s="1" a="1"/>
  <c r="DA12" i="2" s="1"/>
  <c r="DA13" i="2" s="1"/>
  <c r="CZ113" i="2"/>
  <c r="DA113" i="2" s="1" a="1"/>
  <c r="DA113" i="2" s="1"/>
  <c r="DA114" i="2" s="1"/>
  <c r="CZ54" i="2"/>
  <c r="CZ110" i="2"/>
  <c r="CZ53" i="2"/>
  <c r="DA53" i="2" s="1" a="1"/>
  <c r="DA53" i="2" s="1"/>
  <c r="DA54" i="2" s="1"/>
  <c r="CZ141" i="2"/>
  <c r="DA141" i="2" s="1" a="1"/>
  <c r="DA141" i="2" s="1"/>
  <c r="DA142" i="2" s="1"/>
  <c r="CZ83" i="2"/>
  <c r="DA83" i="2" s="1" a="1"/>
  <c r="DA83" i="2" s="1"/>
  <c r="DA84" i="2" s="1"/>
  <c r="CZ26" i="2"/>
  <c r="DA26" i="2" s="1" a="1"/>
  <c r="DA26" i="2" s="1"/>
  <c r="DA27" i="2" s="1"/>
  <c r="CZ128" i="2"/>
  <c r="CZ68" i="2"/>
  <c r="CZ10" i="2"/>
  <c r="DA10" i="2" s="1" a="1"/>
  <c r="DA10" i="2" s="1"/>
  <c r="DA11" i="2" s="1"/>
  <c r="CZ140" i="2"/>
  <c r="CZ82" i="2"/>
  <c r="CZ22" i="2"/>
  <c r="DA22" i="2" s="1" a="1"/>
  <c r="DA22" i="2" s="1"/>
  <c r="DA23" i="2" s="1"/>
  <c r="CZ126" i="2"/>
  <c r="CZ99" i="2"/>
  <c r="DA99" i="2" s="1" a="1"/>
  <c r="DA99" i="2" s="1"/>
  <c r="DA100" i="2" s="1"/>
  <c r="CZ96" i="2"/>
  <c r="CZ67" i="2"/>
  <c r="DA67" i="2" s="1" a="1"/>
  <c r="DA67" i="2" s="1"/>
  <c r="DA68" i="2" s="1"/>
  <c r="CZ9" i="2"/>
  <c r="CZ40" i="2"/>
  <c r="CZ156" i="2"/>
  <c r="CZ37" i="2"/>
  <c r="DA37" i="2" s="1" a="1"/>
  <c r="DA37" i="2" s="1"/>
  <c r="DA38" i="2" s="1"/>
  <c r="CZ155" i="2"/>
  <c r="AW109" i="2"/>
  <c r="AW113" i="2"/>
  <c r="AW55" i="2"/>
  <c r="AW73" i="2"/>
  <c r="AW145" i="2"/>
  <c r="AW107" i="2"/>
  <c r="AW105" i="2"/>
  <c r="AW91" i="2"/>
  <c r="AW35" i="2"/>
  <c r="AW51" i="2"/>
  <c r="AW30" i="2"/>
  <c r="AW53" i="2"/>
  <c r="AW20" i="2"/>
  <c r="AW131" i="2"/>
  <c r="AW28" i="2"/>
  <c r="AW49" i="2"/>
  <c r="AW147" i="2"/>
  <c r="AW117" i="2"/>
  <c r="AW71" i="2"/>
  <c r="AW57" i="2"/>
  <c r="AW12" i="2"/>
  <c r="AW111" i="2"/>
  <c r="AW39" i="2"/>
  <c r="AW95" i="2"/>
  <c r="AW99" i="2"/>
  <c r="AW65" i="2"/>
  <c r="AW141" i="2"/>
  <c r="AW24" i="2"/>
  <c r="AW133" i="2"/>
  <c r="AW6" i="2"/>
  <c r="AV97" i="2" s="1"/>
  <c r="AW139" i="2"/>
  <c r="AW43" i="2"/>
  <c r="AW18" i="2"/>
  <c r="AW59" i="2"/>
  <c r="AW89" i="2"/>
  <c r="AW16" i="2"/>
  <c r="AW8" i="2"/>
  <c r="B76" i="4" a="1"/>
  <c r="B76" i="4" s="1"/>
  <c r="B75" i="4" a="1"/>
  <c r="B75" i="4" s="1"/>
  <c r="B71" i="4" a="1"/>
  <c r="B71" i="4" s="1"/>
  <c r="B67" i="4" a="1"/>
  <c r="B67" i="4" s="1"/>
  <c r="B63" i="4" a="1"/>
  <c r="B63" i="4" s="1"/>
  <c r="B72" i="4" a="1"/>
  <c r="B72" i="4" s="1"/>
  <c r="B68" i="4" a="1"/>
  <c r="B68" i="4" s="1"/>
  <c r="B73" i="4" a="1"/>
  <c r="B73" i="4" s="1"/>
  <c r="B69" i="4" a="1"/>
  <c r="B69" i="4" s="1"/>
  <c r="B65" i="4" a="1"/>
  <c r="B65" i="4" s="1"/>
  <c r="B61" i="4" a="1"/>
  <c r="B61" i="4" s="1"/>
  <c r="B57" i="4" a="1"/>
  <c r="B57" i="4" s="1"/>
  <c r="B53" i="4" a="1"/>
  <c r="B53" i="4" s="1"/>
  <c r="B49" i="4" a="1"/>
  <c r="B49" i="4" s="1"/>
  <c r="B60" i="4" a="1"/>
  <c r="B60" i="4" s="1"/>
  <c r="B44" i="4" a="1"/>
  <c r="B44" i="4" s="1"/>
  <c r="B40" i="4" a="1"/>
  <c r="B40" i="4" s="1"/>
  <c r="B36" i="4" a="1"/>
  <c r="B36" i="4" s="1"/>
  <c r="B32" i="4" a="1"/>
  <c r="B32" i="4" s="1"/>
  <c r="B28" i="4" a="1"/>
  <c r="B28" i="4" s="1"/>
  <c r="B24" i="4" a="1"/>
  <c r="B24" i="4" s="1"/>
  <c r="B20" i="4" a="1"/>
  <c r="B20" i="4" s="1"/>
  <c r="B16" i="4" a="1"/>
  <c r="B16" i="4" s="1"/>
  <c r="B12" i="4" a="1"/>
  <c r="B12" i="4" s="1"/>
  <c r="B8" i="4" a="1"/>
  <c r="B8" i="4" s="1"/>
  <c r="B62" i="4" a="1"/>
  <c r="B62" i="4" s="1"/>
  <c r="B51" i="4" a="1"/>
  <c r="B51" i="4" s="1"/>
  <c r="B47" i="4" a="1"/>
  <c r="B47" i="4" s="1"/>
  <c r="B74" i="4" a="1"/>
  <c r="B74" i="4" s="1"/>
  <c r="B55" i="4" a="1"/>
  <c r="B55" i="4" s="1"/>
  <c r="B45" i="4" a="1"/>
  <c r="B45" i="4" s="1"/>
  <c r="B41" i="4" a="1"/>
  <c r="B41" i="4" s="1"/>
  <c r="B37" i="4" a="1"/>
  <c r="B37" i="4" s="1"/>
  <c r="B33" i="4" a="1"/>
  <c r="B33" i="4" s="1"/>
  <c r="B29" i="4" a="1"/>
  <c r="B29" i="4" s="1"/>
  <c r="B25" i="4" a="1"/>
  <c r="B25" i="4" s="1"/>
  <c r="B21" i="4" a="1"/>
  <c r="B21" i="4" s="1"/>
  <c r="B17" i="4" a="1"/>
  <c r="B17" i="4" s="1"/>
  <c r="B13" i="4" a="1"/>
  <c r="B13" i="4" s="1"/>
  <c r="B9" i="4" a="1"/>
  <c r="B9" i="4" s="1"/>
  <c r="B70" i="4" a="1"/>
  <c r="B70" i="4" s="1"/>
  <c r="B64" i="4" a="1"/>
  <c r="B64" i="4" s="1"/>
  <c r="B59" i="4" a="1"/>
  <c r="B59" i="4" s="1"/>
  <c r="B50" i="4" a="1"/>
  <c r="B50" i="4" s="1"/>
  <c r="B48" i="4" a="1"/>
  <c r="B48" i="4" s="1"/>
  <c r="B42" i="4" a="1"/>
  <c r="B42" i="4" s="1"/>
  <c r="B38" i="4" a="1"/>
  <c r="B38" i="4" s="1"/>
  <c r="B34" i="4" a="1"/>
  <c r="B34" i="4" s="1"/>
  <c r="B30" i="4" a="1"/>
  <c r="B30" i="4" s="1"/>
  <c r="B26" i="4" a="1"/>
  <c r="B26" i="4" s="1"/>
  <c r="B22" i="4" a="1"/>
  <c r="B22" i="4" s="1"/>
  <c r="B18" i="4" a="1"/>
  <c r="B18" i="4" s="1"/>
  <c r="B14" i="4" a="1"/>
  <c r="B14" i="4" s="1"/>
  <c r="B10" i="4" a="1"/>
  <c r="B10" i="4" s="1"/>
  <c r="B6" i="4" a="1"/>
  <c r="B6" i="4" s="1"/>
  <c r="B54" i="4" a="1"/>
  <c r="B54" i="4" s="1"/>
  <c r="B46" i="4" a="1"/>
  <c r="B46" i="4" s="1"/>
  <c r="B35" i="4" a="1"/>
  <c r="B35" i="4" s="1"/>
  <c r="B19" i="4" a="1"/>
  <c r="B19" i="4" s="1"/>
  <c r="B52" i="4" a="1"/>
  <c r="B52" i="4" s="1"/>
  <c r="B58" i="4" a="1"/>
  <c r="B58" i="4" s="1"/>
  <c r="B43" i="4" a="1"/>
  <c r="B43" i="4" s="1"/>
  <c r="B27" i="4" a="1"/>
  <c r="B27" i="4" s="1"/>
  <c r="B11" i="4" a="1"/>
  <c r="B11" i="4" s="1"/>
  <c r="B66" i="4" a="1"/>
  <c r="B66" i="4" s="1"/>
  <c r="B31" i="4" a="1"/>
  <c r="B31" i="4" s="1"/>
  <c r="B39" i="4" a="1"/>
  <c r="B39" i="4" s="1"/>
  <c r="B7" i="4" a="1"/>
  <c r="B7" i="4" s="1"/>
  <c r="B23" i="4" a="1"/>
  <c r="B23" i="4" s="1"/>
  <c r="B56" i="4" a="1"/>
  <c r="B56" i="4" s="1"/>
  <c r="B15" i="4" a="1"/>
  <c r="B15" i="4" s="1"/>
  <c r="AW101" i="2"/>
  <c r="AW115" i="2"/>
  <c r="F29" i="3"/>
  <c r="E29" i="3"/>
  <c r="D29" i="3"/>
  <c r="C29" i="3"/>
  <c r="AW121" i="2"/>
  <c r="AW45" i="2"/>
  <c r="AW69" i="2"/>
  <c r="AW22" i="2"/>
  <c r="AW93" i="2"/>
  <c r="AW143" i="2"/>
  <c r="AW37" i="2"/>
  <c r="AW26" i="2"/>
  <c r="AW127" i="2"/>
  <c r="CV7" i="2"/>
  <c r="CW6" i="2" a="1"/>
  <c r="C17" i="3"/>
  <c r="F17" i="3"/>
  <c r="E17" i="3"/>
  <c r="D17" i="3"/>
  <c r="AW129" i="2"/>
  <c r="AW83" i="2"/>
  <c r="AV83" i="2" s="1"/>
  <c r="AW61" i="2"/>
  <c r="AW67" i="2"/>
  <c r="AW81" i="2"/>
  <c r="F7" i="3"/>
  <c r="E7" i="3"/>
  <c r="D7" i="3"/>
  <c r="C7" i="3"/>
  <c r="AW85" i="2"/>
  <c r="AV85" i="2" s="1"/>
  <c r="AW79" i="2"/>
  <c r="AW123" i="2"/>
  <c r="AW10" i="2"/>
  <c r="AW75" i="2"/>
  <c r="F18" i="3"/>
  <c r="E18" i="3"/>
  <c r="D18" i="3"/>
  <c r="C18" i="3"/>
  <c r="C28" i="3"/>
  <c r="F28" i="3"/>
  <c r="E28" i="3"/>
  <c r="D28" i="3"/>
  <c r="AW63" i="2"/>
  <c r="AW119" i="2"/>
  <c r="AW87" i="2"/>
  <c r="AV87" i="2" s="1"/>
  <c r="AV123" i="2" l="1"/>
  <c r="AV67" i="2"/>
  <c r="AV101" i="2"/>
  <c r="H54" i="4"/>
  <c r="C54" i="4"/>
  <c r="E54" i="4"/>
  <c r="D54" i="4"/>
  <c r="G54" i="4"/>
  <c r="F54" i="4"/>
  <c r="E34" i="4"/>
  <c r="H34" i="4"/>
  <c r="G34" i="4"/>
  <c r="F34" i="4"/>
  <c r="D34" i="4"/>
  <c r="C34" i="4"/>
  <c r="J21" i="6"/>
  <c r="E9" i="4"/>
  <c r="F9" i="4"/>
  <c r="D9" i="4"/>
  <c r="C9" i="4"/>
  <c r="H9" i="4"/>
  <c r="G9" i="4"/>
  <c r="E41" i="4"/>
  <c r="F41" i="4"/>
  <c r="D41" i="4"/>
  <c r="C41" i="4"/>
  <c r="G41" i="4"/>
  <c r="H41" i="4"/>
  <c r="E12" i="4"/>
  <c r="C12" i="4"/>
  <c r="H12" i="4"/>
  <c r="G12" i="4"/>
  <c r="F12" i="4"/>
  <c r="D12" i="4"/>
  <c r="E44" i="4"/>
  <c r="C44" i="4"/>
  <c r="H44" i="4"/>
  <c r="G44" i="4"/>
  <c r="F44" i="4"/>
  <c r="D44" i="4"/>
  <c r="H73" i="4"/>
  <c r="C73" i="4"/>
  <c r="G73" i="4"/>
  <c r="F73" i="4"/>
  <c r="E73" i="4"/>
  <c r="D73" i="4"/>
  <c r="AV8" i="2"/>
  <c r="AV133" i="2"/>
  <c r="AV12" i="2"/>
  <c r="AV20" i="2"/>
  <c r="AV145" i="2"/>
  <c r="AV121" i="2"/>
  <c r="E10" i="4"/>
  <c r="H10" i="4"/>
  <c r="G10" i="4"/>
  <c r="F10" i="4"/>
  <c r="D10" i="4"/>
  <c r="C10" i="4"/>
  <c r="H49" i="4"/>
  <c r="C49" i="4"/>
  <c r="F49" i="4"/>
  <c r="E49" i="4"/>
  <c r="D49" i="4"/>
  <c r="G49" i="4"/>
  <c r="CW158" i="2"/>
  <c r="CW150" i="2"/>
  <c r="CW142" i="2"/>
  <c r="CW134" i="2"/>
  <c r="CW126" i="2"/>
  <c r="CW118" i="2"/>
  <c r="CW162" i="2"/>
  <c r="CW154" i="2"/>
  <c r="CW146" i="2"/>
  <c r="CW138" i="2"/>
  <c r="CW130" i="2"/>
  <c r="CW122" i="2"/>
  <c r="CW114" i="2"/>
  <c r="CW106" i="2"/>
  <c r="CW98" i="2"/>
  <c r="CW90" i="2"/>
  <c r="CW82" i="2"/>
  <c r="CW74" i="2"/>
  <c r="CW66" i="2"/>
  <c r="CW58" i="2"/>
  <c r="CW50" i="2"/>
  <c r="CW42" i="2"/>
  <c r="CW34" i="2"/>
  <c r="CW26" i="2"/>
  <c r="CW18" i="2"/>
  <c r="CW10" i="2"/>
  <c r="CW161" i="2"/>
  <c r="CW151" i="2"/>
  <c r="CW140" i="2"/>
  <c r="CW129" i="2"/>
  <c r="CW119" i="2"/>
  <c r="CW109" i="2"/>
  <c r="CW100" i="2"/>
  <c r="CW91" i="2"/>
  <c r="CW81" i="2"/>
  <c r="CW72" i="2"/>
  <c r="CW63" i="2"/>
  <c r="CW54" i="2"/>
  <c r="CW45" i="2"/>
  <c r="CW36" i="2"/>
  <c r="CW27" i="2"/>
  <c r="CW17" i="2"/>
  <c r="CW8" i="2"/>
  <c r="CW160" i="2"/>
  <c r="CW149" i="2"/>
  <c r="CW139" i="2"/>
  <c r="CW128" i="2"/>
  <c r="CW117" i="2"/>
  <c r="CW108" i="2"/>
  <c r="CW99" i="2"/>
  <c r="CW89" i="2"/>
  <c r="CW80" i="2"/>
  <c r="CW71" i="2"/>
  <c r="CW62" i="2"/>
  <c r="CW53" i="2"/>
  <c r="CW44" i="2"/>
  <c r="CW35" i="2"/>
  <c r="CW25" i="2"/>
  <c r="CW16" i="2"/>
  <c r="CW7" i="2"/>
  <c r="CW159" i="2"/>
  <c r="CW148" i="2"/>
  <c r="CW137" i="2"/>
  <c r="CW127" i="2"/>
  <c r="CW116" i="2"/>
  <c r="CW107" i="2"/>
  <c r="CW97" i="2"/>
  <c r="CW88" i="2"/>
  <c r="CW79" i="2"/>
  <c r="CW70" i="2"/>
  <c r="CW61" i="2"/>
  <c r="CW52" i="2"/>
  <c r="CW43" i="2"/>
  <c r="CW33" i="2"/>
  <c r="CW24" i="2"/>
  <c r="CW15" i="2"/>
  <c r="CW157" i="2"/>
  <c r="CW147" i="2"/>
  <c r="CW136" i="2"/>
  <c r="CW125" i="2"/>
  <c r="CW115" i="2"/>
  <c r="CW105" i="2"/>
  <c r="CW96" i="2"/>
  <c r="CW87" i="2"/>
  <c r="CW78" i="2"/>
  <c r="CW69" i="2"/>
  <c r="CW60" i="2"/>
  <c r="CW51" i="2"/>
  <c r="CW41" i="2"/>
  <c r="CW32" i="2"/>
  <c r="CW23" i="2"/>
  <c r="CW14" i="2"/>
  <c r="CW6" i="2"/>
  <c r="CW155" i="2"/>
  <c r="CW144" i="2"/>
  <c r="CW133" i="2"/>
  <c r="CW123" i="2"/>
  <c r="CW112" i="2"/>
  <c r="CW103" i="2"/>
  <c r="CW94" i="2"/>
  <c r="CW85" i="2"/>
  <c r="CW76" i="2"/>
  <c r="CW67" i="2"/>
  <c r="CW57" i="2"/>
  <c r="CW48" i="2"/>
  <c r="CW39" i="2"/>
  <c r="CW30" i="2"/>
  <c r="CW21" i="2"/>
  <c r="CW12" i="2"/>
  <c r="CW143" i="2"/>
  <c r="CW113" i="2"/>
  <c r="CW92" i="2"/>
  <c r="CW65" i="2"/>
  <c r="CW40" i="2"/>
  <c r="CW19" i="2"/>
  <c r="CW141" i="2"/>
  <c r="CW111" i="2"/>
  <c r="CW86" i="2"/>
  <c r="CW64" i="2"/>
  <c r="CW38" i="2"/>
  <c r="CW13" i="2"/>
  <c r="CW156" i="2"/>
  <c r="CW131" i="2"/>
  <c r="CW102" i="2"/>
  <c r="CW77" i="2"/>
  <c r="CW55" i="2"/>
  <c r="CW29" i="2"/>
  <c r="CW152" i="2"/>
  <c r="CW153" i="2"/>
  <c r="CW124" i="2"/>
  <c r="CW101" i="2"/>
  <c r="CW75" i="2"/>
  <c r="CW49" i="2"/>
  <c r="CW28" i="2"/>
  <c r="CW164" i="2"/>
  <c r="CW104" i="2"/>
  <c r="CW56" i="2"/>
  <c r="CW9" i="2"/>
  <c r="CW163" i="2"/>
  <c r="CW95" i="2"/>
  <c r="CW47" i="2"/>
  <c r="CW145" i="2"/>
  <c r="CW93" i="2"/>
  <c r="CW46" i="2"/>
  <c r="CW135" i="2"/>
  <c r="CW84" i="2"/>
  <c r="CW37" i="2"/>
  <c r="CW68" i="2"/>
  <c r="CW20" i="2"/>
  <c r="CW132" i="2"/>
  <c r="CW83" i="2"/>
  <c r="CW31" i="2"/>
  <c r="CW120" i="2"/>
  <c r="CW121" i="2"/>
  <c r="CW73" i="2"/>
  <c r="CW22" i="2"/>
  <c r="CW110" i="2"/>
  <c r="CW11" i="2"/>
  <c r="CW59" i="2"/>
  <c r="AV69" i="2"/>
  <c r="E11" i="4"/>
  <c r="H11" i="4"/>
  <c r="G11" i="4"/>
  <c r="F11" i="4"/>
  <c r="D11" i="4"/>
  <c r="C11" i="4"/>
  <c r="AV79" i="2"/>
  <c r="AV61" i="2"/>
  <c r="AV45" i="2"/>
  <c r="E15" i="4"/>
  <c r="H15" i="4"/>
  <c r="G15" i="4"/>
  <c r="F15" i="4"/>
  <c r="D15" i="4"/>
  <c r="C15" i="4"/>
  <c r="E27" i="4"/>
  <c r="H27" i="4"/>
  <c r="G27" i="4"/>
  <c r="F27" i="4"/>
  <c r="D27" i="4"/>
  <c r="C27" i="4"/>
  <c r="J6" i="6"/>
  <c r="E6" i="4"/>
  <c r="H6" i="4"/>
  <c r="G6" i="4"/>
  <c r="F6" i="4"/>
  <c r="D6" i="4"/>
  <c r="C6" i="4"/>
  <c r="E38" i="4"/>
  <c r="H38" i="4"/>
  <c r="G38" i="4"/>
  <c r="F38" i="4"/>
  <c r="D38" i="4"/>
  <c r="C38" i="4"/>
  <c r="E13" i="4"/>
  <c r="F13" i="4"/>
  <c r="D13" i="4"/>
  <c r="C13" i="4"/>
  <c r="H13" i="4"/>
  <c r="G13" i="4"/>
  <c r="H45" i="4"/>
  <c r="C45" i="4"/>
  <c r="F45" i="4"/>
  <c r="G45" i="4"/>
  <c r="E45" i="4"/>
  <c r="D45" i="4"/>
  <c r="E16" i="4"/>
  <c r="C16" i="4"/>
  <c r="H16" i="4"/>
  <c r="G16" i="4"/>
  <c r="F16" i="4"/>
  <c r="D16" i="4"/>
  <c r="H60" i="4"/>
  <c r="C60" i="4"/>
  <c r="E60" i="4"/>
  <c r="D60" i="4"/>
  <c r="G60" i="4"/>
  <c r="F60" i="4"/>
  <c r="H68" i="4"/>
  <c r="C68" i="4"/>
  <c r="E68" i="4"/>
  <c r="D68" i="4"/>
  <c r="F68" i="4"/>
  <c r="G68" i="4"/>
  <c r="AV16" i="2"/>
  <c r="AV24" i="2"/>
  <c r="AV57" i="2"/>
  <c r="AV53" i="2"/>
  <c r="AV14" i="2"/>
  <c r="E17" i="4"/>
  <c r="F17" i="4"/>
  <c r="D17" i="4"/>
  <c r="C17" i="4"/>
  <c r="H17" i="4"/>
  <c r="G17" i="4"/>
  <c r="AV71" i="2"/>
  <c r="AV129" i="2"/>
  <c r="AV26" i="2"/>
  <c r="E23" i="4"/>
  <c r="H23" i="4"/>
  <c r="G23" i="4"/>
  <c r="F23" i="4"/>
  <c r="D23" i="4"/>
  <c r="C23" i="4"/>
  <c r="H58" i="4"/>
  <c r="C58" i="4"/>
  <c r="E58" i="4"/>
  <c r="D58" i="4"/>
  <c r="G58" i="4"/>
  <c r="F58" i="4"/>
  <c r="E14" i="4"/>
  <c r="H14" i="4"/>
  <c r="G14" i="4"/>
  <c r="F14" i="4"/>
  <c r="D14" i="4"/>
  <c r="C14" i="4"/>
  <c r="H48" i="4"/>
  <c r="C48" i="4"/>
  <c r="D48" i="4"/>
  <c r="G48" i="4"/>
  <c r="F48" i="4"/>
  <c r="E48" i="4"/>
  <c r="E21" i="4"/>
  <c r="F21" i="4"/>
  <c r="D21" i="4"/>
  <c r="C21" i="4"/>
  <c r="H21" i="4"/>
  <c r="G21" i="4"/>
  <c r="H74" i="4"/>
  <c r="C74" i="4"/>
  <c r="G74" i="4"/>
  <c r="E74" i="4"/>
  <c r="D74" i="4"/>
  <c r="F74" i="4"/>
  <c r="E24" i="4"/>
  <c r="C24" i="4"/>
  <c r="H24" i="4"/>
  <c r="G24" i="4"/>
  <c r="F24" i="4"/>
  <c r="D24" i="4"/>
  <c r="H53" i="4"/>
  <c r="C53" i="4"/>
  <c r="F53" i="4"/>
  <c r="G53" i="4"/>
  <c r="E53" i="4"/>
  <c r="D53" i="4"/>
  <c r="H63" i="4"/>
  <c r="C63" i="4"/>
  <c r="G63" i="4"/>
  <c r="F63" i="4"/>
  <c r="E63" i="4"/>
  <c r="D63" i="4"/>
  <c r="AV59" i="2"/>
  <c r="AV65" i="2"/>
  <c r="AV117" i="2"/>
  <c r="AV51" i="2"/>
  <c r="AV55" i="2"/>
  <c r="H56" i="4"/>
  <c r="C56" i="4"/>
  <c r="D56" i="4"/>
  <c r="G56" i="4"/>
  <c r="F56" i="4"/>
  <c r="E56" i="4"/>
  <c r="H55" i="4"/>
  <c r="C55" i="4"/>
  <c r="G55" i="4"/>
  <c r="F55" i="4"/>
  <c r="E55" i="4"/>
  <c r="D55" i="4"/>
  <c r="AV30" i="2"/>
  <c r="AV37" i="2"/>
  <c r="J11" i="6"/>
  <c r="E7" i="4"/>
  <c r="H7" i="4"/>
  <c r="G7" i="4"/>
  <c r="F7" i="4"/>
  <c r="D7" i="4"/>
  <c r="C7" i="4"/>
  <c r="H52" i="4"/>
  <c r="C52" i="4"/>
  <c r="D52" i="4"/>
  <c r="G52" i="4"/>
  <c r="F52" i="4"/>
  <c r="E52" i="4"/>
  <c r="E18" i="4"/>
  <c r="H18" i="4"/>
  <c r="G18" i="4"/>
  <c r="F18" i="4"/>
  <c r="D18" i="4"/>
  <c r="C18" i="4"/>
  <c r="H50" i="4"/>
  <c r="C50" i="4"/>
  <c r="E50" i="4"/>
  <c r="D50" i="4"/>
  <c r="G50" i="4"/>
  <c r="F50" i="4"/>
  <c r="E25" i="4"/>
  <c r="F25" i="4"/>
  <c r="D25" i="4"/>
  <c r="C25" i="4"/>
  <c r="H25" i="4"/>
  <c r="G25" i="4"/>
  <c r="H47" i="4"/>
  <c r="C47" i="4"/>
  <c r="F47" i="4"/>
  <c r="E47" i="4"/>
  <c r="D47" i="4"/>
  <c r="G47" i="4"/>
  <c r="E28" i="4"/>
  <c r="C28" i="4"/>
  <c r="H28" i="4"/>
  <c r="G28" i="4"/>
  <c r="F28" i="4"/>
  <c r="D28" i="4"/>
  <c r="H57" i="4"/>
  <c r="C57" i="4"/>
  <c r="F57" i="4"/>
  <c r="G57" i="4"/>
  <c r="E57" i="4"/>
  <c r="D57" i="4"/>
  <c r="H67" i="4"/>
  <c r="C67" i="4"/>
  <c r="G67" i="4"/>
  <c r="F67" i="4"/>
  <c r="E67" i="4"/>
  <c r="D67" i="4"/>
  <c r="AV18" i="2"/>
  <c r="AV99" i="2"/>
  <c r="AV147" i="2"/>
  <c r="AV35" i="2"/>
  <c r="AV113" i="2"/>
  <c r="AV77" i="2"/>
  <c r="AV127" i="2"/>
  <c r="E42" i="4"/>
  <c r="H42" i="4"/>
  <c r="G42" i="4"/>
  <c r="F42" i="4"/>
  <c r="D42" i="4"/>
  <c r="C42" i="4"/>
  <c r="E20" i="4"/>
  <c r="C20" i="4"/>
  <c r="H20" i="4"/>
  <c r="G20" i="4"/>
  <c r="D20" i="4"/>
  <c r="F20" i="4"/>
  <c r="AV73" i="2"/>
  <c r="AV63" i="2"/>
  <c r="AV75" i="2"/>
  <c r="AV143" i="2"/>
  <c r="E39" i="4"/>
  <c r="H39" i="4"/>
  <c r="G39" i="4"/>
  <c r="F39" i="4"/>
  <c r="D39" i="4"/>
  <c r="C39" i="4"/>
  <c r="E19" i="4"/>
  <c r="H19" i="4"/>
  <c r="G19" i="4"/>
  <c r="F19" i="4"/>
  <c r="D19" i="4"/>
  <c r="C19" i="4"/>
  <c r="E22" i="4"/>
  <c r="H22" i="4"/>
  <c r="G22" i="4"/>
  <c r="F22" i="4"/>
  <c r="D22" i="4"/>
  <c r="C22" i="4"/>
  <c r="H59" i="4"/>
  <c r="C59" i="4"/>
  <c r="G59" i="4"/>
  <c r="F59" i="4"/>
  <c r="E59" i="4"/>
  <c r="D59" i="4"/>
  <c r="E29" i="4"/>
  <c r="F29" i="4"/>
  <c r="D29" i="4"/>
  <c r="C29" i="4"/>
  <c r="H29" i="4"/>
  <c r="G29" i="4"/>
  <c r="H51" i="4"/>
  <c r="C51" i="4"/>
  <c r="G51" i="4"/>
  <c r="F51" i="4"/>
  <c r="E51" i="4"/>
  <c r="D51" i="4"/>
  <c r="E32" i="4"/>
  <c r="C32" i="4"/>
  <c r="H32" i="4"/>
  <c r="G32" i="4"/>
  <c r="F32" i="4"/>
  <c r="D32" i="4"/>
  <c r="H61" i="4"/>
  <c r="C61" i="4"/>
  <c r="G61" i="4"/>
  <c r="F61" i="4"/>
  <c r="E61" i="4"/>
  <c r="D61" i="4"/>
  <c r="H71" i="4"/>
  <c r="C71" i="4"/>
  <c r="G71" i="4"/>
  <c r="F71" i="4"/>
  <c r="E71" i="4"/>
  <c r="D71" i="4"/>
  <c r="AV43" i="2"/>
  <c r="AV95" i="2"/>
  <c r="AV49" i="2"/>
  <c r="AV91" i="2"/>
  <c r="AV109" i="2"/>
  <c r="AV125" i="2"/>
  <c r="AV47" i="2"/>
  <c r="AV89" i="2"/>
  <c r="AV141" i="2"/>
  <c r="AV119" i="2"/>
  <c r="AV10" i="2"/>
  <c r="AV93" i="2"/>
  <c r="E31" i="4"/>
  <c r="H31" i="4"/>
  <c r="G31" i="4"/>
  <c r="F31" i="4"/>
  <c r="D31" i="4"/>
  <c r="C31" i="4"/>
  <c r="E35" i="4"/>
  <c r="H35" i="4"/>
  <c r="G35" i="4"/>
  <c r="F35" i="4"/>
  <c r="D35" i="4"/>
  <c r="C35" i="4"/>
  <c r="E26" i="4"/>
  <c r="H26" i="4"/>
  <c r="G26" i="4"/>
  <c r="F26" i="4"/>
  <c r="D26" i="4"/>
  <c r="C26" i="4"/>
  <c r="H64" i="4"/>
  <c r="C64" i="4"/>
  <c r="E64" i="4"/>
  <c r="D64" i="4"/>
  <c r="G64" i="4"/>
  <c r="F64" i="4"/>
  <c r="E33" i="4"/>
  <c r="F33" i="4"/>
  <c r="D33" i="4"/>
  <c r="C33" i="4"/>
  <c r="H33" i="4"/>
  <c r="G33" i="4"/>
  <c r="H62" i="4"/>
  <c r="C62" i="4"/>
  <c r="E62" i="4"/>
  <c r="D62" i="4"/>
  <c r="G62" i="4"/>
  <c r="F62" i="4"/>
  <c r="E36" i="4"/>
  <c r="C36" i="4"/>
  <c r="H36" i="4"/>
  <c r="G36" i="4"/>
  <c r="F36" i="4"/>
  <c r="D36" i="4"/>
  <c r="H65" i="4"/>
  <c r="C65" i="4"/>
  <c r="G65" i="4"/>
  <c r="F65" i="4"/>
  <c r="E65" i="4"/>
  <c r="D65" i="4"/>
  <c r="H75" i="4"/>
  <c r="C75" i="4"/>
  <c r="G75" i="4"/>
  <c r="F75" i="4"/>
  <c r="E75" i="4"/>
  <c r="D75" i="4"/>
  <c r="AV139" i="2"/>
  <c r="AV39" i="2"/>
  <c r="AV28" i="2"/>
  <c r="AV105" i="2"/>
  <c r="DA7" i="2"/>
  <c r="DB6" i="2" a="1"/>
  <c r="AV137" i="2"/>
  <c r="AV135" i="2"/>
  <c r="E43" i="4"/>
  <c r="H43" i="4"/>
  <c r="G43" i="4"/>
  <c r="F43" i="4"/>
  <c r="D43" i="4"/>
  <c r="C43" i="4"/>
  <c r="H72" i="4"/>
  <c r="C72" i="4"/>
  <c r="E72" i="4"/>
  <c r="D72" i="4"/>
  <c r="G72" i="4"/>
  <c r="F72" i="4"/>
  <c r="AV103" i="2"/>
  <c r="AV81" i="2"/>
  <c r="AV22" i="2"/>
  <c r="AV115" i="2"/>
  <c r="H66" i="4"/>
  <c r="C66" i="4"/>
  <c r="E66" i="4"/>
  <c r="D66" i="4"/>
  <c r="G66" i="4"/>
  <c r="F66" i="4"/>
  <c r="H46" i="4"/>
  <c r="C46" i="4"/>
  <c r="D46" i="4"/>
  <c r="G46" i="4"/>
  <c r="F46" i="4"/>
  <c r="E46" i="4"/>
  <c r="E30" i="4"/>
  <c r="H30" i="4"/>
  <c r="G30" i="4"/>
  <c r="F30" i="4"/>
  <c r="D30" i="4"/>
  <c r="C30" i="4"/>
  <c r="H70" i="4"/>
  <c r="C70" i="4"/>
  <c r="G70" i="4"/>
  <c r="E70" i="4"/>
  <c r="D70" i="4"/>
  <c r="F70" i="4"/>
  <c r="E37" i="4"/>
  <c r="F37" i="4"/>
  <c r="D37" i="4"/>
  <c r="C37" i="4"/>
  <c r="H37" i="4"/>
  <c r="G37" i="4"/>
  <c r="J16" i="6"/>
  <c r="E8" i="4"/>
  <c r="C8" i="4"/>
  <c r="H8" i="4"/>
  <c r="G8" i="4"/>
  <c r="F8" i="4"/>
  <c r="D8" i="4"/>
  <c r="E40" i="4"/>
  <c r="C40" i="4"/>
  <c r="H40" i="4"/>
  <c r="G40" i="4"/>
  <c r="F40" i="4"/>
  <c r="D40" i="4"/>
  <c r="H69" i="4"/>
  <c r="C69" i="4"/>
  <c r="G69" i="4"/>
  <c r="F69" i="4"/>
  <c r="E69" i="4"/>
  <c r="D69" i="4"/>
  <c r="H76" i="4"/>
  <c r="C76" i="4"/>
  <c r="F76" i="4"/>
  <c r="E76" i="4"/>
  <c r="D76" i="4"/>
  <c r="G76" i="4"/>
  <c r="AV6" i="2"/>
  <c r="AU85" i="2" s="1"/>
  <c r="AV111" i="2"/>
  <c r="AV131" i="2"/>
  <c r="AV107" i="2"/>
  <c r="AV41" i="2"/>
  <c r="AV33" i="2"/>
  <c r="AU33" i="2" s="1"/>
  <c r="AU22" i="2" l="1"/>
  <c r="AU119" i="2"/>
  <c r="AU143" i="2"/>
  <c r="AU127" i="2"/>
  <c r="AU65" i="2"/>
  <c r="AU26" i="2"/>
  <c r="AU79" i="2"/>
  <c r="AU8" i="2"/>
  <c r="AU131" i="2"/>
  <c r="B18" i="6"/>
  <c r="H16" i="6"/>
  <c r="B16" i="6"/>
  <c r="D18" i="6"/>
  <c r="AU135" i="2"/>
  <c r="AU95" i="2"/>
  <c r="AU81" i="2"/>
  <c r="AU137" i="2"/>
  <c r="AU141" i="2"/>
  <c r="AU43" i="2"/>
  <c r="AU75" i="2"/>
  <c r="AU77" i="2"/>
  <c r="AU59" i="2"/>
  <c r="AU129" i="2"/>
  <c r="AU83" i="2"/>
  <c r="J28" i="6"/>
  <c r="A28" i="6" s="1"/>
  <c r="D8" i="6"/>
  <c r="B8" i="6"/>
  <c r="H6" i="6"/>
  <c r="B6" i="6"/>
  <c r="AU89" i="2"/>
  <c r="AU103" i="2"/>
  <c r="AU113" i="2"/>
  <c r="AU14" i="2"/>
  <c r="AU41" i="2"/>
  <c r="AU47" i="2"/>
  <c r="AU73" i="2"/>
  <c r="AU35" i="2"/>
  <c r="AU53" i="2"/>
  <c r="AU121" i="2"/>
  <c r="DB158" i="2"/>
  <c r="DB150" i="2"/>
  <c r="DB142" i="2"/>
  <c r="DB134" i="2"/>
  <c r="DB126" i="2"/>
  <c r="DB118" i="2"/>
  <c r="DB110" i="2"/>
  <c r="DB102" i="2"/>
  <c r="DB94" i="2"/>
  <c r="DB86" i="2"/>
  <c r="DB78" i="2"/>
  <c r="DB70" i="2"/>
  <c r="DB62" i="2"/>
  <c r="DB54" i="2"/>
  <c r="DB46" i="2"/>
  <c r="DB38" i="2"/>
  <c r="DB30" i="2"/>
  <c r="DB22" i="2"/>
  <c r="DB14" i="2"/>
  <c r="DB157" i="2"/>
  <c r="DB149" i="2"/>
  <c r="DB141" i="2"/>
  <c r="DB133" i="2"/>
  <c r="DB125" i="2"/>
  <c r="DB117" i="2"/>
  <c r="DB109" i="2"/>
  <c r="DB101" i="2"/>
  <c r="DB93" i="2"/>
  <c r="DB85" i="2"/>
  <c r="DB77" i="2"/>
  <c r="DB69" i="2"/>
  <c r="DB61" i="2"/>
  <c r="DB53" i="2"/>
  <c r="DB45" i="2"/>
  <c r="DB37" i="2"/>
  <c r="DB29" i="2"/>
  <c r="DB21" i="2"/>
  <c r="DB13" i="2"/>
  <c r="DB6" i="2"/>
  <c r="DB160" i="2"/>
  <c r="DB148" i="2"/>
  <c r="DB138" i="2"/>
  <c r="DB128" i="2"/>
  <c r="DB116" i="2"/>
  <c r="DB106" i="2"/>
  <c r="DB96" i="2"/>
  <c r="DB84" i="2"/>
  <c r="DB74" i="2"/>
  <c r="DB64" i="2"/>
  <c r="DB52" i="2"/>
  <c r="DB42" i="2"/>
  <c r="DB32" i="2"/>
  <c r="DB20" i="2"/>
  <c r="DB10" i="2"/>
  <c r="DB159" i="2"/>
  <c r="DB147" i="2"/>
  <c r="DB137" i="2"/>
  <c r="DB127" i="2"/>
  <c r="DB115" i="2"/>
  <c r="DB105" i="2"/>
  <c r="DB95" i="2"/>
  <c r="DB83" i="2"/>
  <c r="DB73" i="2"/>
  <c r="DB63" i="2"/>
  <c r="DB51" i="2"/>
  <c r="DB41" i="2"/>
  <c r="DB31" i="2"/>
  <c r="DB19" i="2"/>
  <c r="DB9" i="2"/>
  <c r="DB156" i="2"/>
  <c r="DB146" i="2"/>
  <c r="DB136" i="2"/>
  <c r="DB124" i="2"/>
  <c r="DB114" i="2"/>
  <c r="DB104" i="2"/>
  <c r="DB92" i="2"/>
  <c r="DB82" i="2"/>
  <c r="DB72" i="2"/>
  <c r="DB60" i="2"/>
  <c r="DB50" i="2"/>
  <c r="DB40" i="2"/>
  <c r="DB28" i="2"/>
  <c r="DB18" i="2"/>
  <c r="DB164" i="2"/>
  <c r="DB154" i="2"/>
  <c r="DB144" i="2"/>
  <c r="DB132" i="2"/>
  <c r="DB122" i="2"/>
  <c r="DB112" i="2"/>
  <c r="DB100" i="2"/>
  <c r="DB90" i="2"/>
  <c r="DB80" i="2"/>
  <c r="DB68" i="2"/>
  <c r="DB58" i="2"/>
  <c r="DB48" i="2"/>
  <c r="DB36" i="2"/>
  <c r="DB26" i="2"/>
  <c r="DB16" i="2"/>
  <c r="DB153" i="2"/>
  <c r="DB131" i="2"/>
  <c r="DB111" i="2"/>
  <c r="DB89" i="2"/>
  <c r="DB67" i="2"/>
  <c r="DB47" i="2"/>
  <c r="DB25" i="2"/>
  <c r="DB7" i="2"/>
  <c r="DB152" i="2"/>
  <c r="DB130" i="2"/>
  <c r="DB108" i="2"/>
  <c r="DB88" i="2"/>
  <c r="DB66" i="2"/>
  <c r="DB44" i="2"/>
  <c r="DB24" i="2"/>
  <c r="DB151" i="2"/>
  <c r="DB129" i="2"/>
  <c r="DB107" i="2"/>
  <c r="DB87" i="2"/>
  <c r="DB65" i="2"/>
  <c r="DB43" i="2"/>
  <c r="DB23" i="2"/>
  <c r="DB145" i="2"/>
  <c r="DB123" i="2"/>
  <c r="DB103" i="2"/>
  <c r="DB81" i="2"/>
  <c r="DB59" i="2"/>
  <c r="DB39" i="2"/>
  <c r="DB17" i="2"/>
  <c r="DB163" i="2"/>
  <c r="DB143" i="2"/>
  <c r="DB121" i="2"/>
  <c r="DB99" i="2"/>
  <c r="DB79" i="2"/>
  <c r="DB57" i="2"/>
  <c r="DB35" i="2"/>
  <c r="DB15" i="2"/>
  <c r="DB162" i="2"/>
  <c r="DB140" i="2"/>
  <c r="DB120" i="2"/>
  <c r="DB98" i="2"/>
  <c r="DB76" i="2"/>
  <c r="DB56" i="2"/>
  <c r="DB34" i="2"/>
  <c r="DB12" i="2"/>
  <c r="DB97" i="2"/>
  <c r="DB11" i="2"/>
  <c r="DB91" i="2"/>
  <c r="DB8" i="2"/>
  <c r="DB139" i="2"/>
  <c r="DB55" i="2"/>
  <c r="DB119" i="2"/>
  <c r="DB33" i="2"/>
  <c r="DB135" i="2"/>
  <c r="DB49" i="2"/>
  <c r="DB161" i="2"/>
  <c r="DB155" i="2"/>
  <c r="DB113" i="2"/>
  <c r="DB75" i="2"/>
  <c r="DB71" i="2"/>
  <c r="DB27" i="2"/>
  <c r="AU63" i="2"/>
  <c r="AU71" i="2"/>
  <c r="AU107" i="2"/>
  <c r="AU105" i="2"/>
  <c r="AU125" i="2"/>
  <c r="AU147" i="2"/>
  <c r="AU57" i="2"/>
  <c r="AU145" i="2"/>
  <c r="AU101" i="2"/>
  <c r="AU28" i="2"/>
  <c r="AU109" i="2"/>
  <c r="AU99" i="2"/>
  <c r="B11" i="6"/>
  <c r="D13" i="6"/>
  <c r="B13" i="6"/>
  <c r="H11" i="6"/>
  <c r="AU55" i="2"/>
  <c r="AU24" i="2"/>
  <c r="AU20" i="2"/>
  <c r="AU67" i="2"/>
  <c r="AU111" i="2"/>
  <c r="AU39" i="2"/>
  <c r="AU93" i="2"/>
  <c r="AU91" i="2"/>
  <c r="AT91" i="2" s="1"/>
  <c r="AU18" i="2"/>
  <c r="AU37" i="2"/>
  <c r="AU51" i="2"/>
  <c r="AU16" i="2"/>
  <c r="AU45" i="2"/>
  <c r="AU12" i="2"/>
  <c r="AU123" i="2"/>
  <c r="AU6" i="2"/>
  <c r="AT33" i="2" s="1"/>
  <c r="AU115" i="2"/>
  <c r="AU87" i="2"/>
  <c r="AU139" i="2"/>
  <c r="AU10" i="2"/>
  <c r="AU49" i="2"/>
  <c r="AU30" i="2"/>
  <c r="AU117" i="2"/>
  <c r="AU61" i="2"/>
  <c r="AT61" i="2" s="1"/>
  <c r="AU69" i="2"/>
  <c r="AT69" i="2" s="1"/>
  <c r="AU133" i="2"/>
  <c r="D23" i="6"/>
  <c r="B23" i="6"/>
  <c r="H21" i="6"/>
  <c r="B21" i="6"/>
  <c r="AU97" i="2"/>
  <c r="AT89" i="2" l="1"/>
  <c r="AT95" i="2"/>
  <c r="AT79" i="2"/>
  <c r="AT97" i="2"/>
  <c r="AT117" i="2"/>
  <c r="AT123" i="2"/>
  <c r="AT93" i="2"/>
  <c r="AT57" i="2"/>
  <c r="AT35" i="2"/>
  <c r="AT59" i="2"/>
  <c r="AT135" i="2"/>
  <c r="AT26" i="2"/>
  <c r="AT77" i="2"/>
  <c r="AT65" i="2"/>
  <c r="AT6" i="2"/>
  <c r="AT129" i="2"/>
  <c r="AT39" i="2"/>
  <c r="AT147" i="2"/>
  <c r="AT73" i="2"/>
  <c r="AT49" i="2"/>
  <c r="AT45" i="2"/>
  <c r="AT111" i="2"/>
  <c r="AT125" i="2"/>
  <c r="AT47" i="2"/>
  <c r="AT75" i="2"/>
  <c r="AT127" i="2"/>
  <c r="AT10" i="2"/>
  <c r="AT67" i="2"/>
  <c r="AT105" i="2"/>
  <c r="AT41" i="2"/>
  <c r="AT43" i="2"/>
  <c r="AT143" i="2"/>
  <c r="AT53" i="2"/>
  <c r="AT12" i="2"/>
  <c r="AT16" i="2"/>
  <c r="AT99" i="2"/>
  <c r="AT139" i="2"/>
  <c r="AT51" i="2"/>
  <c r="AT20" i="2"/>
  <c r="AT109" i="2"/>
  <c r="AT107" i="2"/>
  <c r="AT14" i="2"/>
  <c r="AT141" i="2"/>
  <c r="AT119" i="2"/>
  <c r="AT145" i="2"/>
  <c r="AT30" i="2"/>
  <c r="AT133" i="2"/>
  <c r="AT87" i="2"/>
  <c r="AT37" i="2"/>
  <c r="AT24" i="2"/>
  <c r="AT28" i="2"/>
  <c r="AT71" i="2"/>
  <c r="AT113" i="2"/>
  <c r="AT137" i="2"/>
  <c r="AT131" i="2"/>
  <c r="AT22" i="2"/>
  <c r="AT115" i="2"/>
  <c r="AT18" i="2"/>
  <c r="AT55" i="2"/>
  <c r="AT101" i="2"/>
  <c r="AT63" i="2"/>
  <c r="AT121" i="2"/>
  <c r="AT103" i="2"/>
  <c r="AT83" i="2"/>
  <c r="AT81" i="2"/>
  <c r="AT8" i="2"/>
  <c r="AT85" i="2"/>
</calcChain>
</file>

<file path=xl/sharedStrings.xml><?xml version="1.0" encoding="utf-8"?>
<sst xmlns="http://schemas.openxmlformats.org/spreadsheetml/2006/main" count="391" uniqueCount="241">
  <si>
    <t>select Col1,Col3,Col4,Col5,Col6,Col10,Col12,Col13,Col14,Col15,Col16,Col17 WHERE Col1&gt;1</t>
  </si>
  <si>
    <t>ПРОТОКОЛ ВЗВЕШИВАНИЯ</t>
  </si>
  <si>
    <t>https://docs.google.com/spreadsheets/d/1-mr44NXoxiCFwZh6G4EyfPc7CemDD3qxAv_tXDHZBQk/edit?usp=share_link</t>
  </si>
  <si>
    <t>В.к.</t>
  </si>
  <si>
    <t>кг</t>
  </si>
  <si>
    <t>участников</t>
  </si>
  <si>
    <t>ЮНИОРКИ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</si>
  <si>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</si>
  <si>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</si>
  <si>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</si>
  <si>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</si>
  <si>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</si>
  <si>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</si>
  <si>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</si>
  <si>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</si>
  <si>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</si>
  <si>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</si>
  <si>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БУБЯКИНА Ольга</t>
  </si>
  <si>
    <t>БУБЯКИНА Ольга Павловна</t>
  </si>
  <si>
    <t>28.08.04, КМС</t>
  </si>
  <si>
    <t>КМС</t>
  </si>
  <si>
    <t>ДВФО</t>
  </si>
  <si>
    <t>Амурская обл., Благовещенск, МАОУ ДО ДЮСШ 5</t>
  </si>
  <si>
    <t>Амурская</t>
  </si>
  <si>
    <t>Богодист Д.И., Бубякин П.В.</t>
  </si>
  <si>
    <t>ТИХОНОВА Юлия</t>
  </si>
  <si>
    <t>ТИХОНОВА Юлия Алексеевна</t>
  </si>
  <si>
    <t>16.03.05, 1р</t>
  </si>
  <si>
    <t>1р</t>
  </si>
  <si>
    <t>Забайкальский край, Чита, Детский юношеский центр</t>
  </si>
  <si>
    <t>Забайкальский</t>
  </si>
  <si>
    <t>Курбатов Владимир Сергеевич</t>
  </si>
  <si>
    <t>ЗЕНЧЕНКО Алина</t>
  </si>
  <si>
    <t>ЗЕНЧЕНКО Алина Руслановна</t>
  </si>
  <si>
    <t>06.03.05, КМС</t>
  </si>
  <si>
    <t>МОС</t>
  </si>
  <si>
    <t>г. Москва, Москва, МГФСО</t>
  </si>
  <si>
    <t>Москва</t>
  </si>
  <si>
    <t>Мартынов М.Г, Терешок В.А</t>
  </si>
  <si>
    <t>ИЛЮКОВА Карина</t>
  </si>
  <si>
    <t>ИЛЮКОВА Карина Евгеньевна</t>
  </si>
  <si>
    <t>22.09.04, КМС</t>
  </si>
  <si>
    <t>г. Москва, Москва, МССУОР 1</t>
  </si>
  <si>
    <t>Коржавин Николай Васильевич</t>
  </si>
  <si>
    <t>МАЙОРСКАЯ Виктория</t>
  </si>
  <si>
    <t>МАЙОРСКАЯ Виктория Станиславовна</t>
  </si>
  <si>
    <t>26.01.04, КМС</t>
  </si>
  <si>
    <t>г. Москва, Москва, Самбо-70</t>
  </si>
  <si>
    <t>Гусаров А.А.,Клецков Н.В.</t>
  </si>
  <si>
    <t>ГАЛИЕВА Алина</t>
  </si>
  <si>
    <t>ГАЛИЕВА Алина Романовна</t>
  </si>
  <si>
    <t>09.09.04, КМС</t>
  </si>
  <si>
    <t>ПФО</t>
  </si>
  <si>
    <t>Респ. Башкортостан, Уфа, СШОР «Геркулес»</t>
  </si>
  <si>
    <t>Р.Башкортостан</t>
  </si>
  <si>
    <t>Бикташев.М.Р Шерстабитов.Ю.А Яркеев.В.А</t>
  </si>
  <si>
    <t>АРТАМОНОВА Лина</t>
  </si>
  <si>
    <t>АРТАМОНОВА Лина Алексеевна</t>
  </si>
  <si>
    <t>15.01.05, КМС</t>
  </si>
  <si>
    <t>Саратовская обл., Энгельс, МБУ Юность</t>
  </si>
  <si>
    <t>Саратовская</t>
  </si>
  <si>
    <t>Гусев М.С</t>
  </si>
  <si>
    <t>МАКАРЕНКО Екатерина</t>
  </si>
  <si>
    <t>МАКАРЕНКО Екатерина Викторовна</t>
  </si>
  <si>
    <t>31.01.05, КМС</t>
  </si>
  <si>
    <t>СЗФО</t>
  </si>
  <si>
    <t>Калининградская обл., Калининград, ГБПОУ КО УОР</t>
  </si>
  <si>
    <t>Калининградская</t>
  </si>
  <si>
    <t>Мкртчян С.Р, Дуев М.А, Ковалев А.А</t>
  </si>
  <si>
    <t>80+</t>
  </si>
  <si>
    <t>ТАЛПА Елизавета</t>
  </si>
  <si>
    <t>ТАЛПА Елизавета Валерьевна</t>
  </si>
  <si>
    <t>15.08.05, КМС</t>
  </si>
  <si>
    <t>Респ. Коми, Воркута, СШ «СМЕНА»</t>
  </si>
  <si>
    <t>Р.Коми</t>
  </si>
  <si>
    <t>Алехин В.В.</t>
  </si>
  <si>
    <t>98+</t>
  </si>
  <si>
    <t>КАРАТАЕВА Анастасия</t>
  </si>
  <si>
    <t>КАРАТАЕВА Анастасия Ивановна</t>
  </si>
  <si>
    <t>09.12.04, КМС</t>
  </si>
  <si>
    <t>СФО</t>
  </si>
  <si>
    <t>Алтайский край, Бийск, ДЮСШ Зонального района</t>
  </si>
  <si>
    <t>Алтайский</t>
  </si>
  <si>
    <t>Шуликов Е.С</t>
  </si>
  <si>
    <t>&lt;3</t>
  </si>
  <si>
    <t>АНТОНЮК Яна</t>
  </si>
  <si>
    <t>АНТОНЮК Яна Сергеевна</t>
  </si>
  <si>
    <t>07.09.04, МС</t>
  </si>
  <si>
    <t>МС</t>
  </si>
  <si>
    <t>Иркутская обл., Иркутск, ГКУИО</t>
  </si>
  <si>
    <t>Иркутская</t>
  </si>
  <si>
    <t>Томский А</t>
  </si>
  <si>
    <t>БОЧКАРЕВА Маргарита</t>
  </si>
  <si>
    <t>БОЧКАРЕВА Маргарита Сергеевна</t>
  </si>
  <si>
    <t>13.11.03, КМС</t>
  </si>
  <si>
    <t>Р.Алтай, Горно-Алтайск, Д</t>
  </si>
  <si>
    <t>Р.Алтай</t>
  </si>
  <si>
    <t xml:space="preserve">Тайпинов В. Л. </t>
  </si>
  <si>
    <t>АЛЁХИНА Алёна</t>
  </si>
  <si>
    <t>АЛЁХИНА Алёна Александровна</t>
  </si>
  <si>
    <t>03.01.05, КМС</t>
  </si>
  <si>
    <t>УФО</t>
  </si>
  <si>
    <t>Свердловская обл., Екатеринбург, ГАУ СО « СШОР по самбо и дзюдо»</t>
  </si>
  <si>
    <t>Свердловская</t>
  </si>
  <si>
    <t>Федосеев М.Е., Воронов В.В</t>
  </si>
  <si>
    <t>МУРАШОВА Марина</t>
  </si>
  <si>
    <t>МУРАШОВА Марина Андреевна</t>
  </si>
  <si>
    <t>08.11.04, 1р</t>
  </si>
  <si>
    <t>Свердловская обл., Екатеринбург, ГАУ СШОР</t>
  </si>
  <si>
    <t>Черникова.М.И</t>
  </si>
  <si>
    <t>ДЖУМАЕВА Яна</t>
  </si>
  <si>
    <t>ДЖУМАЕВА Яна Хидирназаровна</t>
  </si>
  <si>
    <t>25.11.03, КМС</t>
  </si>
  <si>
    <t>Свердловская обл., Екатеринбург, Ск Родина</t>
  </si>
  <si>
    <t>Федосеев М.Е Селянина О.В</t>
  </si>
  <si>
    <t>ШТЕНЦОВА Валентина</t>
  </si>
  <si>
    <t>ШТЕНЦОВА Валентина Михайловна</t>
  </si>
  <si>
    <t>10.06.04, МС</t>
  </si>
  <si>
    <t>Свердловская обл., Екатеринбург, СШОР ПО САМБО И ДЗЮДО</t>
  </si>
  <si>
    <t>Куликов С.С ; Савинский В.С</t>
  </si>
  <si>
    <t>КОМАРДИНА Олеся</t>
  </si>
  <si>
    <t>КОМАРДИНА Олеся Алексеевна</t>
  </si>
  <si>
    <t>17.04.03, КМС</t>
  </si>
  <si>
    <t>Свердловская обл., Екатеринбург, Уор №1</t>
  </si>
  <si>
    <t>Федосеев М.Е; Селянина О.В</t>
  </si>
  <si>
    <t>МЕЛАДЗЕ Дарья</t>
  </si>
  <si>
    <t>МЕЛАДЗЕ Дарья Николаевна</t>
  </si>
  <si>
    <t>21.12.03, КМС</t>
  </si>
  <si>
    <t>Свердловская обл., Ирбит, Ирбитская ДЮСШ</t>
  </si>
  <si>
    <t>Шевчук П.Н. Дымшаков М.И.</t>
  </si>
  <si>
    <t>МУХИНА  Ольга</t>
  </si>
  <si>
    <t xml:space="preserve">МУХИНА  Ольга Дмитриевна </t>
  </si>
  <si>
    <t>10.08.04, КМС</t>
  </si>
  <si>
    <t>Свердловская, Екатеринбург , МС</t>
  </si>
  <si>
    <t>Львов ЕВ</t>
  </si>
  <si>
    <t>КОЛОСОВА Карина</t>
  </si>
  <si>
    <t>КОЛОСОВА Карина Юрьевна</t>
  </si>
  <si>
    <t>28.01.04, КМС</t>
  </si>
  <si>
    <t>ЦФО</t>
  </si>
  <si>
    <t>Воронежская обл., Нововоронеж, Нововоронежская ДЮСШ</t>
  </si>
  <si>
    <t>Воронежская</t>
  </si>
  <si>
    <t>Маклецова Т. Е.</t>
  </si>
  <si>
    <t xml:space="preserve">ГАЙДУЧОК  Дарья </t>
  </si>
  <si>
    <t xml:space="preserve">ГАЙДУЧОК  Дарья  Сергеевна </t>
  </si>
  <si>
    <t>03.07.03, МС</t>
  </si>
  <si>
    <t>Московская, Можайск, МО</t>
  </si>
  <si>
    <t>Московская</t>
  </si>
  <si>
    <t>Степанов И.М., Нагулин А.В.</t>
  </si>
  <si>
    <t xml:space="preserve">ИЗМАЛКОВА  Анастасия </t>
  </si>
  <si>
    <t xml:space="preserve">ИЗМАЛКОВА  Анастасия  Кирилловна </t>
  </si>
  <si>
    <t>29.05.05, КМС</t>
  </si>
  <si>
    <t>Анохин В.Н</t>
  </si>
  <si>
    <t>ВОРОШИЛОВА Мария</t>
  </si>
  <si>
    <t>ВОРОШИЛОВА Мария Александровна</t>
  </si>
  <si>
    <t>14.12.05, КМС</t>
  </si>
  <si>
    <t>Смоленская обл., Смоленск, СДЮШОР 2</t>
  </si>
  <si>
    <t>Смоленская</t>
  </si>
  <si>
    <t>Ермаченков Сергей Александрович Гореленков Сергей Анатольевич</t>
  </si>
  <si>
    <t>МАКСИМОВА Василиса</t>
  </si>
  <si>
    <t xml:space="preserve">МАКСИМОВА Василиса Игоревна </t>
  </si>
  <si>
    <t>06.05.04, КМС</t>
  </si>
  <si>
    <t>ЮФО</t>
  </si>
  <si>
    <t>Астраханская, Астрахань, МО</t>
  </si>
  <si>
    <t>Астраханская</t>
  </si>
  <si>
    <t>Гольберг Е. М</t>
  </si>
  <si>
    <t>САВИНОВА Ольга</t>
  </si>
  <si>
    <t>САВИНОВА Ольга Григорьевна</t>
  </si>
  <si>
    <t>22.01.04, КМС</t>
  </si>
  <si>
    <t>Краснодарский край, Краснодар, Спортивная школа 5</t>
  </si>
  <si>
    <t>Краснодарский</t>
  </si>
  <si>
    <t>Коваленко Сергей Владимирович</t>
  </si>
  <si>
    <t>ДАВЫДЮК Дарья</t>
  </si>
  <si>
    <t>ДАВЫДЮК Дарья Вячеславовна</t>
  </si>
  <si>
    <t>05.05.05, КМС</t>
  </si>
  <si>
    <t>Респ. Крым, Ялта-Керчь, МБУ "СШ самбо им. И.С.Павленко"</t>
  </si>
  <si>
    <t>Р.Крым</t>
  </si>
  <si>
    <t>Красов В.В.,Мурашкин А.О.</t>
  </si>
  <si>
    <t xml:space="preserve">                                     ВСЕРОССИЙСКАЯ ФЕДЕРАЦИЯ САМБО</t>
  </si>
  <si>
    <t>sambo.ru.com</t>
  </si>
  <si>
    <t>ПРОТОКОЛ ХОДА         ЮНИОРКИ</t>
  </si>
  <si>
    <t>13.02 - 17.02.2022 г.                                                                        г. В-Пышма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</si>
  <si>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</si>
  <si>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</si>
  <si>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</si>
  <si>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</si>
  <si>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</si>
  <si>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</si>
  <si>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</si>
  <si>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</si>
  <si>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</si>
  <si>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</si>
  <si>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</si>
  <si>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</si>
  <si>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</si>
  <si>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</si>
  <si>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</si>
  <si>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</si>
  <si>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</si>
  <si>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</si>
  <si>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</si>
  <si>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</si>
  <si>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</si>
  <si>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>круг</t>
  </si>
  <si>
    <t>св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</si>
  <si>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</si>
  <si>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</si>
  <si>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</si>
  <si>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</si>
  <si>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</si>
  <si>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</si>
  <si>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</si>
  <si>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</si>
  <si>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</si>
  <si>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</si>
  <si>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</si>
  <si>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</si>
  <si>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</si>
  <si>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ЮНИОРКИ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</si>
  <si>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</si>
  <si>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</si>
  <si>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</si>
  <si>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</si>
  <si>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</si>
  <si>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</si>
  <si>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</si>
  <si>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</si>
  <si>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</si>
  <si>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</si>
  <si>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</si>
  <si>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</si>
  <si>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</si>
  <si>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</si>
  <si>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</si>
  <si>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</si>
  <si>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</si>
  <si>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</si>
  <si>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</si>
  <si>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</si>
  <si>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</si>
  <si>
    <t>БУБЯКИНА</t>
  </si>
  <si>
    <t>ТИХОНОВА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</si>
</sst>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8">
    <font>
      <sz val="10"/>
      <color rgb="FF000000"/>
      <name val="Arial"/>
      <scheme val="minor"/>
    </font>
    <font>
      <sz val="11"/>
      <color rgb="FFFFFFFF"/>
      <name val="Inconsolata"/>
    </font>
    <font>
      <sz val="10"/>
      <color rgb="FF000000"/>
      <name val="Roboto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0"/>
      <color theme="1"/>
      <name val="Arial"/>
    </font>
    <font>
      <sz val="12"/>
      <color theme="1"/>
      <name val="Arial"/>
    </font>
    <font>
      <b/>
      <sz val="14"/>
      <color theme="1"/>
      <name val="&quot;Arial Narrow&quot;"/>
    </font>
    <font>
      <b/>
      <sz val="11"/>
      <color theme="1"/>
      <name val="Arial"/>
    </font>
    <font>
      <b/>
      <i/>
      <sz val="10"/>
      <color theme="1"/>
      <name val="Arial"/>
    </font>
    <font>
      <sz val="11"/>
      <color rgb="FF7E3794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1"/>
      <color rgb="FF000000"/>
      <name val="Inconsolata"/>
    </font>
    <font>
      <sz val="10"/>
      <color rgb="FFF3F3F3"/>
      <name val="Arial"/>
    </font>
    <font>
      <sz val="10"/>
      <color theme="0"/>
      <name val="Arial"/>
    </font>
    <font>
      <sz val="10"/>
      <color rgb="FF434343"/>
      <name val="Arial"/>
    </font>
    <font>
      <sz val="12"/>
      <color theme="1"/>
      <name val="Arial"/>
      <scheme val="minor"/>
    </font>
    <font>
      <sz val="10"/>
      <color theme="0"/>
      <name val="Arial"/>
      <scheme val="minor"/>
    </font>
    <font>
      <sz val="10"/>
      <color theme="1"/>
      <name val="Arial"/>
      <scheme val="minor"/>
    </font>
    <font>
      <b/>
      <sz val="16"/>
      <color theme="1"/>
      <name val="CyrillicOld"/>
    </font>
    <font>
      <b/>
      <sz val="14"/>
      <color rgb="FFFF0000"/>
      <name val="Arial"/>
    </font>
    <font>
      <b/>
      <i/>
      <u/>
      <sz val="10"/>
      <color rgb="FF1155CC"/>
      <name val="&quot;Arial Narrow&quot;"/>
    </font>
    <font>
      <b/>
      <i/>
      <sz val="14"/>
      <color theme="1"/>
      <name val="Arial Narrow"/>
    </font>
    <font>
      <sz val="10"/>
      <name val="Arial"/>
    </font>
    <font>
      <b/>
      <sz val="14"/>
      <color theme="1"/>
      <name val="Arial Narrow"/>
    </font>
    <font>
      <sz val="11"/>
      <color rgb="FF434343"/>
      <name val="Inconsolata"/>
    </font>
    <font>
      <sz val="14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i/>
      <u/>
      <sz val="11"/>
      <color theme="1"/>
      <name val="Arial"/>
    </font>
    <font>
      <sz val="10"/>
      <color theme="1"/>
      <name val="&quot;Century Gothic&quot;"/>
    </font>
    <font>
      <b/>
      <sz val="8"/>
      <color theme="1"/>
      <name val="&quot;Arial Narrow&quot;"/>
    </font>
    <font>
      <b/>
      <sz val="9"/>
      <color theme="1"/>
      <name val="&quot;Arial Narrow&quot;"/>
    </font>
    <font>
      <b/>
      <sz val="12"/>
      <color theme="1"/>
      <name val="&quot;Century Gothic&quot;"/>
    </font>
    <font>
      <b/>
      <sz val="11"/>
      <color theme="1"/>
      <name val="Arial Narrow"/>
    </font>
    <font>
      <b/>
      <sz val="10"/>
      <color theme="1"/>
      <name val="&quot;Century Gothic&quot;"/>
    </font>
    <font>
      <sz val="9"/>
      <color theme="1"/>
      <name val="&quot;Arial Narrow&quot;"/>
    </font>
    <font>
      <sz val="10"/>
      <color theme="1"/>
      <name val="&quot;Arial Narrow&quot;"/>
    </font>
    <font>
      <sz val="10"/>
      <color theme="1"/>
      <name val="&quot;Arial Narrow&quot;"/>
    </font>
    <font>
      <sz val="10"/>
      <color rgb="FF000000"/>
      <name val="&quot;Century Gothic&quot;"/>
    </font>
    <font>
      <sz val="11"/>
      <color rgb="FF000000"/>
      <name val="Arial Narrow"/>
    </font>
    <font>
      <sz val="10"/>
      <color rgb="FFFFFFFF"/>
      <name val="&quot;Century Gothic&quot;"/>
    </font>
    <font>
      <sz val="8"/>
      <color theme="1"/>
      <name val="&quot;Arial Narrow&quot;"/>
    </font>
    <font>
      <sz val="10"/>
      <color theme="0"/>
      <name val="&quot;Century Gothic&quot;"/>
    </font>
    <font>
      <sz val="11"/>
      <color theme="0"/>
      <name val="Inconsolata"/>
    </font>
    <font>
      <sz val="11"/>
      <color rgb="FF000000"/>
      <name val="Arial"/>
    </font>
    <font>
      <sz val="10"/>
      <color rgb="FF8DB4E2"/>
      <name val="&quot;Century Gothic&quot;"/>
    </font>
    <font>
      <sz val="10"/>
      <color rgb="FFFF0000"/>
      <name val="&quot;Century Gothic&quot;"/>
    </font>
    <font>
      <b/>
      <sz val="10"/>
      <color rgb="FFFFFFFF"/>
      <name val="&quot;Arial Narrow&quot;"/>
    </font>
    <font>
      <sz val="10"/>
      <color rgb="FF000000"/>
      <name val="Arial"/>
    </font>
    <font>
      <b/>
      <i/>
      <sz val="11"/>
      <color theme="1"/>
      <name val="&quot;Arial Narrow&quot;"/>
    </font>
    <font>
      <sz val="11"/>
      <color theme="1"/>
      <name val="&quot;Arial Narrow&quot;"/>
    </font>
    <font>
      <b/>
      <sz val="12"/>
      <color theme="1"/>
      <name val="&quot;Arial Narrow&quot;"/>
    </font>
    <font>
      <sz val="12"/>
      <color theme="1"/>
      <name val="&quot;Arial Narrow&quot;"/>
    </font>
    <font>
      <sz val="11"/>
      <color theme="1"/>
      <name val="Arial Narrow"/>
    </font>
    <font>
      <b/>
      <sz val="14"/>
      <color theme="1"/>
      <name val="Arial"/>
    </font>
    <font>
      <sz val="14"/>
      <color theme="1"/>
      <name val="&quot;Arial Narrow&quot;"/>
    </font>
    <font>
      <b/>
      <sz val="20"/>
      <color theme="1"/>
      <name val="&quot;Arial Narrow&quot;"/>
    </font>
    <font>
      <b/>
      <sz val="12"/>
      <color theme="1"/>
      <name val="Arial Narrow"/>
    </font>
    <font>
      <sz val="12"/>
      <color theme="1"/>
      <name val="Arial Narrow"/>
    </font>
    <font>
      <b/>
      <sz val="12"/>
      <color rgb="FFFF0000"/>
      <name val="Arial"/>
    </font>
    <font>
      <b/>
      <i/>
      <sz val="14"/>
      <color theme="1"/>
      <name val="Arial"/>
    </font>
    <font>
      <b/>
      <sz val="14"/>
      <color theme="1"/>
      <name val="&quot;Century Gothic&quot;"/>
    </font>
    <font>
      <b/>
      <sz val="10"/>
      <color rgb="FF9C0006"/>
      <name val="Arial"/>
    </font>
    <font>
      <sz val="12"/>
      <color theme="1"/>
      <name val="&quot;Century Gothic&quot;"/>
    </font>
    <font>
      <sz val="10"/>
      <color theme="1"/>
      <name val="Arial"/>
    </font>
    <font>
      <sz val="11"/>
      <color rgb="FFFFFFFF"/>
      <name val="Arial"/>
    </font>
    <font>
      <sz val="11"/>
      <color theme="0"/>
      <name val="Arial"/>
    </font>
    <font>
      <sz val="6"/>
      <color rgb="FFFFFFFF"/>
      <name val="Arial Narrow"/>
    </font>
    <font>
      <sz val="6"/>
      <color theme="0"/>
      <name val="Arial Narrow"/>
    </font>
    <font>
      <b/>
      <i/>
      <sz val="18"/>
      <color theme="1"/>
      <name val="&quot;Arial Narrow&quot;"/>
    </font>
    <font>
      <b/>
      <sz val="14"/>
      <color rgb="FFFFFFFF"/>
      <name val="&quot;Arial Narrow&quot;"/>
    </font>
    <font>
      <b/>
      <sz val="24"/>
      <color rgb="FFFFFFFF"/>
      <name val="Arial"/>
    </font>
    <font>
      <b/>
      <sz val="14"/>
      <color rgb="FF000000"/>
      <name val="Arial"/>
      <scheme val="minor"/>
    </font>
    <font>
      <sz val="10"/>
      <color rgb="FFFF0000"/>
      <name val="Arial"/>
    </font>
    <font>
      <sz val="14"/>
      <color rgb="FF000000"/>
      <name val="Inconsolata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1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6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0" borderId="2" xfId="0" applyFont="1" applyBorder="1" applyAlignment="1"/>
    <xf numFmtId="0" fontId="11" fillId="2" borderId="0" xfId="0" applyFont="1" applyFill="1" applyAlignment="1"/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4" fillId="2" borderId="0" xfId="0" applyFont="1" applyFill="1"/>
    <xf numFmtId="0" fontId="6" fillId="5" borderId="6" xfId="0" applyFont="1" applyFill="1" applyBorder="1" applyAlignment="1">
      <alignment horizontal="center"/>
    </xf>
    <xf numFmtId="0" fontId="6" fillId="0" borderId="6" xfId="0" applyFont="1" applyBorder="1" applyAlignment="1"/>
    <xf numFmtId="0" fontId="7" fillId="0" borderId="6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15" fillId="6" borderId="0" xfId="0" applyFont="1" applyFill="1" applyAlignment="1"/>
    <xf numFmtId="0" fontId="16" fillId="0" borderId="0" xfId="0" applyFont="1" applyAlignment="1"/>
    <xf numFmtId="0" fontId="17" fillId="2" borderId="0" xfId="0" applyFont="1" applyFill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/>
    <xf numFmtId="0" fontId="7" fillId="0" borderId="7" xfId="0" applyFont="1" applyBorder="1" applyAlignment="1"/>
    <xf numFmtId="0" fontId="7" fillId="0" borderId="7" xfId="0" applyFont="1" applyBorder="1" applyAlignment="1"/>
    <xf numFmtId="0" fontId="16" fillId="0" borderId="0" xfId="0" applyFont="1" applyAlignment="1">
      <alignment horizontal="right"/>
    </xf>
    <xf numFmtId="0" fontId="6" fillId="0" borderId="7" xfId="0" applyFont="1" applyBorder="1" applyAlignment="1"/>
    <xf numFmtId="0" fontId="18" fillId="0" borderId="0" xfId="0" applyFont="1" applyAlignment="1"/>
    <xf numFmtId="0" fontId="6" fillId="0" borderId="7" xfId="0" applyFont="1" applyBorder="1" applyAlignment="1"/>
    <xf numFmtId="0" fontId="6" fillId="0" borderId="7" xfId="0" applyFont="1" applyBorder="1" applyAlignment="1"/>
    <xf numFmtId="0" fontId="19" fillId="0" borderId="0" xfId="0" applyFont="1"/>
    <xf numFmtId="0" fontId="20" fillId="0" borderId="0" xfId="0" applyFont="1" applyAlignment="1"/>
    <xf numFmtId="0" fontId="21" fillId="0" borderId="0" xfId="0" applyFont="1" applyAlignment="1"/>
    <xf numFmtId="0" fontId="23" fillId="0" borderId="0" xfId="0" applyFont="1" applyAlignment="1">
      <alignment horizontal="right" vertical="top"/>
    </xf>
    <xf numFmtId="49" fontId="6" fillId="0" borderId="0" xfId="0" applyNumberFormat="1" applyFont="1" applyAlignment="1"/>
    <xf numFmtId="0" fontId="6" fillId="0" borderId="8" xfId="0" applyFont="1" applyBorder="1" applyAlignment="1">
      <alignment horizontal="left"/>
    </xf>
    <xf numFmtId="0" fontId="6" fillId="0" borderId="8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2" borderId="0" xfId="0" applyFont="1" applyFill="1" applyAlignment="1"/>
    <xf numFmtId="0" fontId="6" fillId="5" borderId="0" xfId="0" applyFont="1" applyFill="1" applyAlignment="1"/>
    <xf numFmtId="0" fontId="6" fillId="7" borderId="0" xfId="0" applyFont="1" applyFill="1" applyAlignment="1"/>
    <xf numFmtId="0" fontId="6" fillId="7" borderId="0" xfId="0" applyFont="1" applyFill="1" applyAlignment="1"/>
    <xf numFmtId="0" fontId="6" fillId="0" borderId="0" xfId="0" applyFont="1" applyAlignment="1"/>
    <xf numFmtId="0" fontId="27" fillId="2" borderId="0" xfId="0" applyFont="1" applyFill="1" applyAlignment="1"/>
    <xf numFmtId="0" fontId="28" fillId="0" borderId="1" xfId="0" applyFont="1" applyBorder="1" applyAlignme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29" fillId="0" borderId="0" xfId="0" applyFont="1" applyAlignment="1">
      <alignment horizontal="center"/>
    </xf>
    <xf numFmtId="49" fontId="32" fillId="0" borderId="14" xfId="0" applyNumberFormat="1" applyFont="1" applyBorder="1" applyAlignment="1"/>
    <xf numFmtId="0" fontId="32" fillId="0" borderId="0" xfId="0" applyFont="1" applyAlignment="1"/>
    <xf numFmtId="0" fontId="16" fillId="5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24" xfId="0" applyFont="1" applyFill="1" applyBorder="1" applyAlignment="1"/>
    <xf numFmtId="0" fontId="6" fillId="0" borderId="18" xfId="0" applyFont="1" applyBorder="1" applyAlignment="1"/>
    <xf numFmtId="0" fontId="6" fillId="0" borderId="25" xfId="0" applyFont="1" applyBorder="1" applyAlignment="1"/>
    <xf numFmtId="0" fontId="6" fillId="2" borderId="0" xfId="0" applyFont="1" applyFill="1" applyAlignment="1"/>
    <xf numFmtId="0" fontId="6" fillId="0" borderId="24" xfId="0" applyFont="1" applyBorder="1" applyAlignment="1"/>
    <xf numFmtId="0" fontId="6" fillId="0" borderId="18" xfId="0" applyFont="1" applyBorder="1" applyAlignment="1"/>
    <xf numFmtId="0" fontId="6" fillId="0" borderId="25" xfId="0" applyFont="1" applyBorder="1" applyAlignment="1"/>
    <xf numFmtId="0" fontId="6" fillId="0" borderId="0" xfId="0" applyFont="1" applyAlignment="1"/>
    <xf numFmtId="0" fontId="6" fillId="5" borderId="0" xfId="0" applyFont="1" applyFill="1" applyAlignment="1">
      <alignment horizontal="left"/>
    </xf>
    <xf numFmtId="0" fontId="6" fillId="5" borderId="0" xfId="0" applyFont="1" applyFill="1" applyAlignment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6" fillId="2" borderId="34" xfId="0" applyFont="1" applyFill="1" applyBorder="1" applyAlignment="1"/>
    <xf numFmtId="0" fontId="14" fillId="13" borderId="35" xfId="0" applyFont="1" applyFill="1" applyBorder="1"/>
    <xf numFmtId="0" fontId="14" fillId="13" borderId="0" xfId="0" applyFont="1" applyFill="1"/>
    <xf numFmtId="0" fontId="6" fillId="0" borderId="34" xfId="0" applyFont="1" applyBorder="1" applyAlignment="1"/>
    <xf numFmtId="0" fontId="6" fillId="0" borderId="35" xfId="0" applyFont="1" applyBorder="1" applyAlignment="1"/>
    <xf numFmtId="0" fontId="6" fillId="7" borderId="0" xfId="0" applyFont="1" applyFill="1" applyAlignment="1"/>
    <xf numFmtId="0" fontId="40" fillId="0" borderId="0" xfId="0" applyFont="1" applyAlignment="1">
      <alignment horizontal="left" vertical="center"/>
    </xf>
    <xf numFmtId="0" fontId="40" fillId="2" borderId="37" xfId="0" applyFont="1" applyFill="1" applyBorder="1" applyAlignment="1">
      <alignment horizontal="center" vertical="center"/>
    </xf>
    <xf numFmtId="0" fontId="40" fillId="2" borderId="37" xfId="0" applyFont="1" applyFill="1" applyBorder="1" applyAlignment="1">
      <alignment horizontal="left" vertical="center"/>
    </xf>
    <xf numFmtId="0" fontId="40" fillId="2" borderId="2" xfId="0" applyFont="1" applyFill="1" applyBorder="1" applyAlignment="1">
      <alignment horizontal="left" vertical="center"/>
    </xf>
    <xf numFmtId="0" fontId="40" fillId="2" borderId="37" xfId="0" applyFont="1" applyFill="1" applyBorder="1" applyAlignment="1">
      <alignment horizontal="left" vertical="center"/>
    </xf>
    <xf numFmtId="49" fontId="43" fillId="0" borderId="36" xfId="0" applyNumberFormat="1" applyFont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32" fillId="0" borderId="0" xfId="0" applyFont="1" applyAlignment="1"/>
    <xf numFmtId="0" fontId="45" fillId="0" borderId="0" xfId="0" applyFont="1" applyAlignment="1">
      <alignment horizontal="center"/>
    </xf>
    <xf numFmtId="0" fontId="45" fillId="14" borderId="0" xfId="0" applyFont="1" applyFill="1" applyAlignment="1">
      <alignment horizontal="center"/>
    </xf>
    <xf numFmtId="0" fontId="41" fillId="0" borderId="0" xfId="0" applyFont="1" applyAlignment="1"/>
    <xf numFmtId="0" fontId="6" fillId="2" borderId="0" xfId="0" applyFont="1" applyFill="1" applyAlignment="1">
      <alignment horizontal="center"/>
    </xf>
    <xf numFmtId="0" fontId="14" fillId="2" borderId="0" xfId="0" applyFont="1" applyFill="1"/>
    <xf numFmtId="49" fontId="6" fillId="15" borderId="8" xfId="0" applyNumberFormat="1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0" fontId="14" fillId="2" borderId="35" xfId="0" applyFont="1" applyFill="1" applyBorder="1"/>
    <xf numFmtId="0" fontId="6" fillId="5" borderId="40" xfId="0" applyFont="1" applyFill="1" applyBorder="1" applyAlignment="1">
      <alignment horizontal="center"/>
    </xf>
    <xf numFmtId="0" fontId="44" fillId="2" borderId="44" xfId="0" applyFont="1" applyFill="1" applyBorder="1" applyAlignment="1">
      <alignment horizontal="left" vertical="center"/>
    </xf>
    <xf numFmtId="0" fontId="44" fillId="2" borderId="43" xfId="0" applyFont="1" applyFill="1" applyBorder="1" applyAlignment="1">
      <alignment horizontal="left" vertical="center"/>
    </xf>
    <xf numFmtId="0" fontId="16" fillId="0" borderId="0" xfId="0" applyFont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49" fontId="6" fillId="7" borderId="2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7" borderId="2" xfId="0" applyFont="1" applyFill="1" applyBorder="1" applyAlignment="1"/>
    <xf numFmtId="0" fontId="6" fillId="7" borderId="37" xfId="0" applyFont="1" applyFill="1" applyBorder="1" applyAlignment="1"/>
    <xf numFmtId="0" fontId="6" fillId="7" borderId="37" xfId="0" applyFont="1" applyFill="1" applyBorder="1" applyAlignment="1">
      <alignment horizontal="right"/>
    </xf>
    <xf numFmtId="3" fontId="32" fillId="0" borderId="2" xfId="0" applyNumberFormat="1" applyFont="1" applyBorder="1" applyAlignment="1">
      <alignment horizontal="center"/>
    </xf>
    <xf numFmtId="3" fontId="46" fillId="2" borderId="0" xfId="0" applyNumberFormat="1" applyFont="1" applyFill="1"/>
    <xf numFmtId="3" fontId="16" fillId="0" borderId="0" xfId="0" applyNumberFormat="1" applyFont="1" applyAlignment="1">
      <alignment horizontal="center"/>
    </xf>
    <xf numFmtId="0" fontId="6" fillId="7" borderId="0" xfId="0" applyFont="1" applyFill="1" applyAlignment="1">
      <alignment horizontal="center"/>
    </xf>
    <xf numFmtId="0" fontId="14" fillId="7" borderId="34" xfId="0" applyFont="1" applyFill="1" applyBorder="1"/>
    <xf numFmtId="0" fontId="6" fillId="7" borderId="0" xfId="0" applyFont="1" applyFill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4" fillId="7" borderId="0" xfId="0" applyFont="1" applyFill="1"/>
    <xf numFmtId="0" fontId="6" fillId="0" borderId="3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7" fillId="7" borderId="0" xfId="0" applyFont="1" applyFill="1" applyAlignment="1">
      <alignment horizontal="right"/>
    </xf>
    <xf numFmtId="0" fontId="3" fillId="2" borderId="0" xfId="0" applyFont="1" applyFill="1" applyAlignment="1"/>
    <xf numFmtId="0" fontId="47" fillId="7" borderId="0" xfId="0" applyFont="1" applyFill="1" applyAlignment="1"/>
    <xf numFmtId="0" fontId="32" fillId="2" borderId="0" xfId="0" applyFont="1" applyFill="1" applyAlignment="1">
      <alignment horizontal="center"/>
    </xf>
    <xf numFmtId="0" fontId="3" fillId="0" borderId="52" xfId="0" applyFont="1" applyBorder="1" applyAlignment="1">
      <alignment horizontal="center"/>
    </xf>
    <xf numFmtId="0" fontId="32" fillId="3" borderId="0" xfId="0" applyFont="1" applyFill="1" applyAlignment="1">
      <alignment horizontal="center"/>
    </xf>
    <xf numFmtId="0" fontId="6" fillId="2" borderId="7" xfId="0" applyFont="1" applyFill="1" applyBorder="1" applyAlignment="1"/>
    <xf numFmtId="0" fontId="41" fillId="3" borderId="7" xfId="0" applyFont="1" applyFill="1" applyBorder="1" applyAlignment="1">
      <alignment horizontal="center"/>
    </xf>
    <xf numFmtId="0" fontId="6" fillId="18" borderId="7" xfId="0" applyFont="1" applyFill="1" applyBorder="1" applyAlignment="1"/>
    <xf numFmtId="0" fontId="32" fillId="3" borderId="7" xfId="0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32" fillId="19" borderId="6" xfId="0" applyFont="1" applyFill="1" applyBorder="1" applyAlignment="1">
      <alignment horizontal="center"/>
    </xf>
    <xf numFmtId="0" fontId="48" fillId="18" borderId="7" xfId="0" applyFont="1" applyFill="1" applyBorder="1" applyAlignment="1">
      <alignment horizontal="center"/>
    </xf>
    <xf numFmtId="0" fontId="41" fillId="7" borderId="7" xfId="0" applyFont="1" applyFill="1" applyBorder="1" applyAlignment="1">
      <alignment horizontal="center"/>
    </xf>
    <xf numFmtId="0" fontId="45" fillId="7" borderId="7" xfId="0" applyFont="1" applyFill="1" applyBorder="1" applyAlignment="1">
      <alignment horizontal="center"/>
    </xf>
    <xf numFmtId="0" fontId="32" fillId="3" borderId="6" xfId="0" applyFont="1" applyFill="1" applyBorder="1" applyAlignment="1">
      <alignment horizontal="center"/>
    </xf>
    <xf numFmtId="0" fontId="41" fillId="3" borderId="6" xfId="0" applyFont="1" applyFill="1" applyBorder="1" applyAlignment="1">
      <alignment horizontal="center"/>
    </xf>
    <xf numFmtId="0" fontId="32" fillId="7" borderId="0" xfId="0" applyFont="1" applyFill="1" applyAlignment="1">
      <alignment horizontal="center"/>
    </xf>
    <xf numFmtId="0" fontId="32" fillId="7" borderId="0" xfId="0" applyFont="1" applyFill="1" applyAlignment="1">
      <alignment horizontal="right"/>
    </xf>
    <xf numFmtId="0" fontId="49" fillId="7" borderId="0" xfId="0" applyFont="1" applyFill="1" applyAlignment="1">
      <alignment horizontal="center"/>
    </xf>
    <xf numFmtId="0" fontId="48" fillId="7" borderId="0" xfId="0" applyFont="1" applyFill="1" applyAlignment="1">
      <alignment horizontal="center"/>
    </xf>
    <xf numFmtId="0" fontId="47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47" fillId="0" borderId="0" xfId="0" applyFont="1" applyAlignment="1"/>
    <xf numFmtId="0" fontId="32" fillId="7" borderId="0" xfId="0" applyFont="1" applyFill="1" applyAlignment="1">
      <alignment horizontal="center"/>
    </xf>
    <xf numFmtId="0" fontId="32" fillId="7" borderId="0" xfId="0" applyFont="1" applyFill="1" applyAlignment="1"/>
    <xf numFmtId="0" fontId="32" fillId="18" borderId="37" xfId="0" applyFont="1" applyFill="1" applyBorder="1" applyAlignment="1">
      <alignment horizontal="center"/>
    </xf>
    <xf numFmtId="0" fontId="32" fillId="18" borderId="37" xfId="0" applyFont="1" applyFill="1" applyBorder="1" applyAlignment="1"/>
    <xf numFmtId="0" fontId="6" fillId="18" borderId="0" xfId="0" applyFont="1" applyFill="1" applyAlignment="1"/>
    <xf numFmtId="0" fontId="6" fillId="0" borderId="35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3" fillId="2" borderId="37" xfId="0" applyFont="1" applyFill="1" applyBorder="1" applyAlignment="1">
      <alignment horizontal="center"/>
    </xf>
    <xf numFmtId="0" fontId="44" fillId="5" borderId="6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5" borderId="7" xfId="0" applyFont="1" applyFill="1" applyBorder="1" applyAlignment="1">
      <alignment horizontal="center"/>
    </xf>
    <xf numFmtId="0" fontId="20" fillId="0" borderId="0" xfId="0" applyFont="1"/>
    <xf numFmtId="0" fontId="34" fillId="0" borderId="0" xfId="0" applyFont="1"/>
    <xf numFmtId="0" fontId="50" fillId="0" borderId="0" xfId="0" applyFont="1"/>
    <xf numFmtId="0" fontId="40" fillId="2" borderId="52" xfId="0" applyFont="1" applyFill="1" applyBorder="1" applyAlignment="1">
      <alignment horizontal="center" vertical="center"/>
    </xf>
    <xf numFmtId="0" fontId="44" fillId="2" borderId="44" xfId="0" applyFont="1" applyFill="1" applyBorder="1" applyAlignment="1">
      <alignment horizontal="left" vertical="center"/>
    </xf>
    <xf numFmtId="49" fontId="6" fillId="7" borderId="28" xfId="0" applyNumberFormat="1" applyFont="1" applyFill="1" applyBorder="1" applyAlignment="1">
      <alignment horizontal="center"/>
    </xf>
    <xf numFmtId="0" fontId="6" fillId="7" borderId="54" xfId="0" applyFont="1" applyFill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51" fillId="20" borderId="0" xfId="0" applyFont="1" applyFill="1" applyAlignment="1"/>
    <xf numFmtId="0" fontId="6" fillId="2" borderId="0" xfId="0" applyFont="1" applyFill="1" applyAlignment="1"/>
    <xf numFmtId="0" fontId="51" fillId="2" borderId="0" xfId="0" applyFont="1" applyFill="1" applyAlignment="1">
      <alignment horizontal="right"/>
    </xf>
    <xf numFmtId="0" fontId="35" fillId="0" borderId="0" xfId="0" applyFont="1" applyAlignment="1">
      <alignment horizontal="center"/>
    </xf>
    <xf numFmtId="0" fontId="52" fillId="0" borderId="0" xfId="0" applyFont="1" applyAlignment="1"/>
    <xf numFmtId="0" fontId="35" fillId="0" borderId="0" xfId="0" applyFont="1" applyAlignment="1"/>
    <xf numFmtId="0" fontId="53" fillId="0" borderId="0" xfId="0" applyFont="1" applyAlignment="1"/>
    <xf numFmtId="49" fontId="53" fillId="0" borderId="0" xfId="0" applyNumberFormat="1" applyFont="1" applyAlignment="1"/>
    <xf numFmtId="0" fontId="6" fillId="2" borderId="2" xfId="0" applyFont="1" applyFill="1" applyBorder="1" applyAlignment="1"/>
    <xf numFmtId="0" fontId="51" fillId="2" borderId="2" xfId="0" applyFont="1" applyFill="1" applyBorder="1" applyAlignment="1">
      <alignment horizontal="right"/>
    </xf>
    <xf numFmtId="0" fontId="35" fillId="0" borderId="2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40" fillId="0" borderId="51" xfId="0" applyFont="1" applyBorder="1" applyAlignment="1"/>
    <xf numFmtId="0" fontId="55" fillId="0" borderId="51" xfId="0" applyFont="1" applyBorder="1" applyAlignment="1"/>
    <xf numFmtId="0" fontId="6" fillId="0" borderId="51" xfId="0" applyFont="1" applyBorder="1" applyAlignment="1"/>
    <xf numFmtId="0" fontId="54" fillId="0" borderId="0" xfId="0" applyFont="1" applyAlignment="1">
      <alignment horizontal="center"/>
    </xf>
    <xf numFmtId="0" fontId="54" fillId="0" borderId="0" xfId="0" applyFont="1" applyAlignment="1"/>
    <xf numFmtId="0" fontId="20" fillId="0" borderId="0" xfId="0" applyFont="1" applyAlignment="1">
      <alignment horizontal="center"/>
    </xf>
    <xf numFmtId="0" fontId="55" fillId="0" borderId="0" xfId="0" applyFont="1" applyAlignment="1"/>
    <xf numFmtId="49" fontId="56" fillId="0" borderId="0" xfId="0" applyNumberFormat="1" applyFont="1" applyAlignment="1">
      <alignment horizontal="center"/>
    </xf>
    <xf numFmtId="49" fontId="20" fillId="0" borderId="0" xfId="0" applyNumberFormat="1" applyFont="1"/>
    <xf numFmtId="0" fontId="58" fillId="0" borderId="0" xfId="0" applyFont="1" applyAlignment="1">
      <alignment horizontal="right"/>
    </xf>
    <xf numFmtId="0" fontId="40" fillId="0" borderId="0" xfId="0" applyFont="1" applyAlignment="1">
      <alignment horizontal="left"/>
    </xf>
    <xf numFmtId="0" fontId="55" fillId="0" borderId="0" xfId="0" applyFont="1" applyAlignment="1">
      <alignment horizontal="right"/>
    </xf>
    <xf numFmtId="0" fontId="55" fillId="0" borderId="0" xfId="0" applyFont="1" applyAlignment="1">
      <alignment horizontal="left" vertical="center"/>
    </xf>
    <xf numFmtId="0" fontId="40" fillId="0" borderId="0" xfId="0" applyFont="1" applyAlignment="1">
      <alignment horizontal="center"/>
    </xf>
    <xf numFmtId="3" fontId="60" fillId="11" borderId="55" xfId="0" applyNumberFormat="1" applyFont="1" applyFill="1" applyBorder="1" applyAlignment="1">
      <alignment horizontal="center" vertical="center"/>
    </xf>
    <xf numFmtId="0" fontId="61" fillId="0" borderId="56" xfId="0" applyFont="1" applyBorder="1" applyAlignment="1">
      <alignment horizontal="left" vertical="center"/>
    </xf>
    <xf numFmtId="0" fontId="61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3" fontId="60" fillId="19" borderId="26" xfId="0" applyNumberFormat="1" applyFont="1" applyFill="1" applyBorder="1" applyAlignment="1">
      <alignment horizontal="center" vertical="center"/>
    </xf>
    <xf numFmtId="0" fontId="61" fillId="0" borderId="29" xfId="0" applyFont="1" applyBorder="1" applyAlignment="1">
      <alignment horizontal="left" vertical="center"/>
    </xf>
    <xf numFmtId="0" fontId="61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0" xfId="0" applyFont="1" applyAlignment="1"/>
    <xf numFmtId="0" fontId="6" fillId="0" borderId="51" xfId="0" applyFont="1" applyBorder="1" applyAlignment="1"/>
    <xf numFmtId="0" fontId="6" fillId="0" borderId="2" xfId="0" applyFont="1" applyBorder="1" applyAlignment="1"/>
    <xf numFmtId="3" fontId="6" fillId="0" borderId="0" xfId="0" applyNumberFormat="1" applyFont="1" applyAlignment="1">
      <alignment horizontal="center"/>
    </xf>
    <xf numFmtId="0" fontId="29" fillId="10" borderId="37" xfId="0" applyFont="1" applyFill="1" applyBorder="1" applyAlignment="1">
      <alignment horizontal="center" vertical="center"/>
    </xf>
    <xf numFmtId="0" fontId="64" fillId="0" borderId="48" xfId="0" applyFont="1" applyBorder="1" applyAlignment="1">
      <alignment horizontal="center"/>
    </xf>
    <xf numFmtId="0" fontId="65" fillId="7" borderId="6" xfId="0" applyFont="1" applyFill="1" applyBorder="1" applyAlignment="1">
      <alignment horizontal="center" vertical="center"/>
    </xf>
    <xf numFmtId="0" fontId="40" fillId="0" borderId="37" xfId="0" applyFont="1" applyBorder="1" applyAlignment="1">
      <alignment horizontal="left" vertical="center"/>
    </xf>
    <xf numFmtId="0" fontId="40" fillId="0" borderId="37" xfId="0" applyFont="1" applyBorder="1" applyAlignment="1">
      <alignment horizontal="center" vertical="center"/>
    </xf>
    <xf numFmtId="0" fontId="40" fillId="0" borderId="37" xfId="0" applyFont="1" applyBorder="1" applyAlignment="1">
      <alignment horizontal="left" vertical="center"/>
    </xf>
    <xf numFmtId="0" fontId="40" fillId="0" borderId="15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66" fillId="0" borderId="48" xfId="0" applyFont="1" applyBorder="1" applyAlignment="1">
      <alignment horizontal="center"/>
    </xf>
    <xf numFmtId="0" fontId="67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7" fillId="0" borderId="0" xfId="0" applyFont="1" applyAlignment="1">
      <alignment horizontal="center"/>
    </xf>
    <xf numFmtId="0" fontId="46" fillId="5" borderId="0" xfId="0" applyFont="1" applyFill="1"/>
    <xf numFmtId="0" fontId="59" fillId="0" borderId="0" xfId="0" applyFont="1" applyAlignment="1">
      <alignment horizontal="left"/>
    </xf>
    <xf numFmtId="0" fontId="40" fillId="0" borderId="0" xfId="0" applyFont="1"/>
    <xf numFmtId="0" fontId="68" fillId="2" borderId="0" xfId="0" applyFont="1" applyFill="1" applyAlignment="1"/>
    <xf numFmtId="0" fontId="69" fillId="2" borderId="0" xfId="0" applyFont="1" applyFill="1" applyAlignment="1"/>
    <xf numFmtId="0" fontId="5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0" fillId="2" borderId="0" xfId="0" applyFont="1" applyFill="1" applyAlignment="1"/>
    <xf numFmtId="0" fontId="40" fillId="0" borderId="0" xfId="0" applyFont="1" applyAlignment="1">
      <alignment horizontal="center" vertical="center"/>
    </xf>
    <xf numFmtId="0" fontId="71" fillId="2" borderId="0" xfId="0" applyFont="1" applyFill="1" applyAlignment="1"/>
    <xf numFmtId="3" fontId="70" fillId="2" borderId="0" xfId="0" applyNumberFormat="1" applyFont="1" applyFill="1" applyAlignment="1"/>
    <xf numFmtId="3" fontId="61" fillId="0" borderId="55" xfId="0" applyNumberFormat="1" applyFont="1" applyBorder="1" applyAlignment="1">
      <alignment horizontal="center" vertical="center"/>
    </xf>
    <xf numFmtId="3" fontId="14" fillId="5" borderId="0" xfId="0" applyNumberFormat="1" applyFont="1" applyFill="1"/>
    <xf numFmtId="3" fontId="61" fillId="0" borderId="55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61" fillId="0" borderId="58" xfId="0" applyNumberFormat="1" applyFont="1" applyBorder="1" applyAlignment="1">
      <alignment horizontal="center" vertical="center"/>
    </xf>
    <xf numFmtId="3" fontId="61" fillId="0" borderId="26" xfId="0" applyNumberFormat="1" applyFont="1" applyBorder="1" applyAlignment="1">
      <alignment horizontal="center"/>
    </xf>
    <xf numFmtId="3" fontId="61" fillId="0" borderId="59" xfId="0" applyNumberFormat="1" applyFont="1" applyBorder="1" applyAlignment="1">
      <alignment horizontal="center"/>
    </xf>
    <xf numFmtId="0" fontId="46" fillId="2" borderId="0" xfId="0" applyFont="1" applyFill="1" applyAlignment="1"/>
    <xf numFmtId="0" fontId="6" fillId="0" borderId="15" xfId="0" applyFont="1" applyBorder="1" applyAlignment="1">
      <alignment horizontal="center"/>
    </xf>
    <xf numFmtId="3" fontId="61" fillId="0" borderId="26" xfId="0" applyNumberFormat="1" applyFont="1" applyBorder="1" applyAlignment="1">
      <alignment horizontal="center" vertical="center"/>
    </xf>
    <xf numFmtId="3" fontId="20" fillId="0" borderId="0" xfId="0" applyNumberFormat="1" applyFont="1"/>
    <xf numFmtId="0" fontId="57" fillId="0" borderId="0" xfId="0" applyFont="1" applyAlignment="1"/>
    <xf numFmtId="0" fontId="28" fillId="0" borderId="0" xfId="0" applyFont="1" applyAlignment="1"/>
    <xf numFmtId="0" fontId="76" fillId="0" borderId="0" xfId="0" applyFont="1" applyAlignment="1">
      <alignment horizontal="right"/>
    </xf>
    <xf numFmtId="0" fontId="28" fillId="0" borderId="0" xfId="0" applyFont="1" applyAlignment="1">
      <alignment vertical="center"/>
    </xf>
    <xf numFmtId="0" fontId="28" fillId="0" borderId="8" xfId="0" applyFont="1" applyBorder="1" applyAlignment="1"/>
    <xf numFmtId="0" fontId="38" fillId="0" borderId="0" xfId="0" applyFont="1" applyAlignment="1"/>
    <xf numFmtId="0" fontId="28" fillId="0" borderId="2" xfId="0" applyFont="1" applyBorder="1" applyAlignment="1"/>
    <xf numFmtId="0" fontId="4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40" fillId="2" borderId="14" xfId="0" applyFont="1" applyFill="1" applyBorder="1" applyAlignment="1">
      <alignment horizontal="left" vertical="center"/>
    </xf>
    <xf numFmtId="0" fontId="25" fillId="0" borderId="45" xfId="0" applyFont="1" applyBorder="1"/>
    <xf numFmtId="0" fontId="37" fillId="0" borderId="36" xfId="0" applyFont="1" applyBorder="1" applyAlignment="1">
      <alignment horizontal="center" vertical="center"/>
    </xf>
    <xf numFmtId="0" fontId="25" fillId="0" borderId="42" xfId="0" applyFont="1" applyBorder="1"/>
    <xf numFmtId="0" fontId="38" fillId="0" borderId="49" xfId="0" applyFont="1" applyBorder="1" applyAlignment="1">
      <alignment horizontal="left" vertical="center"/>
    </xf>
    <xf numFmtId="0" fontId="39" fillId="0" borderId="49" xfId="0" applyFont="1" applyBorder="1" applyAlignment="1">
      <alignment horizontal="center" vertical="center"/>
    </xf>
    <xf numFmtId="0" fontId="40" fillId="0" borderId="49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25" fillId="0" borderId="43" xfId="0" applyFont="1" applyBorder="1"/>
    <xf numFmtId="0" fontId="41" fillId="0" borderId="0" xfId="0" applyFont="1" applyAlignment="1">
      <alignment horizontal="left" vertical="center"/>
    </xf>
    <xf numFmtId="0" fontId="32" fillId="2" borderId="36" xfId="0" applyFont="1" applyFill="1" applyBorder="1" applyAlignment="1">
      <alignment horizontal="left" vertical="center"/>
    </xf>
    <xf numFmtId="49" fontId="42" fillId="0" borderId="14" xfId="0" applyNumberFormat="1" applyFont="1" applyBorder="1" applyAlignment="1">
      <alignment horizontal="center" vertical="center"/>
    </xf>
    <xf numFmtId="49" fontId="43" fillId="0" borderId="36" xfId="0" applyNumberFormat="1" applyFont="1" applyBorder="1" applyAlignment="1">
      <alignment horizontal="center"/>
    </xf>
    <xf numFmtId="0" fontId="25" fillId="0" borderId="36" xfId="0" applyFont="1" applyBorder="1"/>
    <xf numFmtId="0" fontId="33" fillId="2" borderId="15" xfId="0" applyFont="1" applyFill="1" applyBorder="1" applyAlignment="1">
      <alignment horizontal="center"/>
    </xf>
    <xf numFmtId="0" fontId="25" fillId="0" borderId="37" xfId="0" applyFont="1" applyBorder="1"/>
    <xf numFmtId="0" fontId="44" fillId="5" borderId="36" xfId="0" applyFont="1" applyFill="1" applyBorder="1" applyAlignment="1">
      <alignment horizontal="center"/>
    </xf>
    <xf numFmtId="0" fontId="25" fillId="0" borderId="6" xfId="0" applyFont="1" applyBorder="1"/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center"/>
    </xf>
    <xf numFmtId="0" fontId="33" fillId="2" borderId="36" xfId="0" applyFont="1" applyFill="1" applyBorder="1" applyAlignment="1">
      <alignment horizontal="center"/>
    </xf>
    <xf numFmtId="0" fontId="33" fillId="2" borderId="23" xfId="0" applyFont="1" applyFill="1" applyBorder="1" applyAlignment="1">
      <alignment horizontal="center"/>
    </xf>
    <xf numFmtId="0" fontId="41" fillId="0" borderId="8" xfId="0" applyFont="1" applyBorder="1" applyAlignment="1">
      <alignment horizontal="left" vertical="center"/>
    </xf>
    <xf numFmtId="49" fontId="42" fillId="0" borderId="41" xfId="0" applyNumberFormat="1" applyFont="1" applyBorder="1" applyAlignment="1">
      <alignment horizontal="center" vertical="center"/>
    </xf>
    <xf numFmtId="0" fontId="33" fillId="5" borderId="23" xfId="0" applyFont="1" applyFill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14" fillId="7" borderId="34" xfId="0" applyFont="1" applyFill="1" applyBorder="1"/>
    <xf numFmtId="0" fontId="14" fillId="7" borderId="0" xfId="0" applyFont="1" applyFill="1"/>
    <xf numFmtId="0" fontId="14" fillId="2" borderId="0" xfId="0" applyFont="1" applyFill="1"/>
    <xf numFmtId="0" fontId="37" fillId="0" borderId="45" xfId="0" applyFont="1" applyBorder="1" applyAlignment="1">
      <alignment horizontal="center" vertical="center"/>
    </xf>
    <xf numFmtId="0" fontId="25" fillId="0" borderId="44" xfId="0" applyFont="1" applyBorder="1"/>
    <xf numFmtId="0" fontId="3" fillId="0" borderId="36" xfId="0" applyFont="1" applyBorder="1" applyAlignment="1">
      <alignment horizontal="center" vertical="center"/>
    </xf>
    <xf numFmtId="0" fontId="37" fillId="2" borderId="0" xfId="0" applyFont="1" applyFill="1" applyAlignment="1">
      <alignment horizontal="center"/>
    </xf>
    <xf numFmtId="0" fontId="38" fillId="0" borderId="36" xfId="0" applyFont="1" applyBorder="1" applyAlignment="1">
      <alignment horizontal="left" vertical="center"/>
    </xf>
    <xf numFmtId="0" fontId="39" fillId="0" borderId="36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center"/>
    </xf>
    <xf numFmtId="0" fontId="29" fillId="10" borderId="0" xfId="0" applyFont="1" applyFill="1" applyAlignment="1">
      <alignment horizontal="center"/>
    </xf>
    <xf numFmtId="0" fontId="25" fillId="0" borderId="15" xfId="0" applyFont="1" applyBorder="1"/>
    <xf numFmtId="0" fontId="33" fillId="0" borderId="19" xfId="0" applyFont="1" applyBorder="1" applyAlignment="1">
      <alignment horizontal="center" textRotation="90"/>
    </xf>
    <xf numFmtId="0" fontId="25" fillId="0" borderId="29" xfId="0" applyFont="1" applyBorder="1"/>
    <xf numFmtId="0" fontId="12" fillId="0" borderId="19" xfId="0" applyFont="1" applyBorder="1" applyAlignment="1">
      <alignment horizontal="center" textRotation="90"/>
    </xf>
    <xf numFmtId="49" fontId="36" fillId="11" borderId="22" xfId="0" applyNumberFormat="1" applyFont="1" applyFill="1" applyBorder="1" applyAlignment="1">
      <alignment horizontal="center" textRotation="90"/>
    </xf>
    <xf numFmtId="0" fontId="25" fillId="0" borderId="33" xfId="0" applyFont="1" applyBorder="1"/>
    <xf numFmtId="49" fontId="32" fillId="0" borderId="15" xfId="0" applyNumberFormat="1" applyFont="1" applyBorder="1" applyAlignment="1">
      <alignment horizontal="center"/>
    </xf>
    <xf numFmtId="0" fontId="33" fillId="12" borderId="23" xfId="0" applyFont="1" applyFill="1" applyBorder="1" applyAlignment="1">
      <alignment horizontal="center" textRotation="90"/>
    </xf>
    <xf numFmtId="0" fontId="33" fillId="12" borderId="23" xfId="0" applyFont="1" applyFill="1" applyBorder="1" applyAlignment="1">
      <alignment horizontal="center"/>
    </xf>
    <xf numFmtId="0" fontId="37" fillId="5" borderId="30" xfId="0" applyFont="1" applyFill="1" applyBorder="1" applyAlignment="1">
      <alignment horizontal="center"/>
    </xf>
    <xf numFmtId="0" fontId="25" fillId="0" borderId="31" xfId="0" applyFont="1" applyBorder="1"/>
    <xf numFmtId="0" fontId="37" fillId="5" borderId="32" xfId="0" applyFont="1" applyFill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25" fillId="0" borderId="26" xfId="0" applyFont="1" applyBorder="1"/>
    <xf numFmtId="0" fontId="12" fillId="0" borderId="17" xfId="0" applyFont="1" applyBorder="1" applyAlignment="1">
      <alignment horizontal="center" vertical="center"/>
    </xf>
    <xf numFmtId="0" fontId="25" fillId="0" borderId="27" xfId="0" applyFont="1" applyBorder="1"/>
    <xf numFmtId="0" fontId="33" fillId="0" borderId="18" xfId="0" applyFont="1" applyBorder="1" applyAlignment="1">
      <alignment horizontal="center" vertical="center" wrapText="1"/>
    </xf>
    <xf numFmtId="0" fontId="25" fillId="0" borderId="28" xfId="0" applyFont="1" applyBorder="1"/>
    <xf numFmtId="0" fontId="34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/>
    </xf>
    <xf numFmtId="0" fontId="25" fillId="0" borderId="20" xfId="0" applyFont="1" applyBorder="1"/>
    <xf numFmtId="0" fontId="25" fillId="0" borderId="21" xfId="0" applyFont="1" applyBorder="1"/>
    <xf numFmtId="0" fontId="16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 vertical="top"/>
    </xf>
    <xf numFmtId="0" fontId="24" fillId="8" borderId="9" xfId="0" applyFont="1" applyFill="1" applyBorder="1" applyAlignment="1">
      <alignment horizontal="center" vertical="center" wrapText="1"/>
    </xf>
    <xf numFmtId="0" fontId="25" fillId="0" borderId="10" xfId="0" applyFont="1" applyBorder="1"/>
    <xf numFmtId="0" fontId="25" fillId="0" borderId="11" xfId="0" applyFont="1" applyBorder="1"/>
    <xf numFmtId="0" fontId="26" fillId="9" borderId="12" xfId="0" applyFont="1" applyFill="1" applyBorder="1" applyAlignment="1">
      <alignment horizontal="center" vertical="center" wrapText="1"/>
    </xf>
    <xf numFmtId="0" fontId="25" fillId="0" borderId="13" xfId="0" applyFont="1" applyBorder="1"/>
    <xf numFmtId="0" fontId="6" fillId="7" borderId="0" xfId="0" applyFont="1" applyFill="1" applyAlignment="1"/>
    <xf numFmtId="0" fontId="30" fillId="0" borderId="14" xfId="0" applyFont="1" applyBorder="1" applyAlignment="1">
      <alignment horizontal="center"/>
    </xf>
    <xf numFmtId="0" fontId="14" fillId="14" borderId="38" xfId="0" applyFont="1" applyFill="1" applyBorder="1"/>
    <xf numFmtId="0" fontId="25" fillId="0" borderId="46" xfId="0" applyFont="1" applyBorder="1"/>
    <xf numFmtId="0" fontId="25" fillId="0" borderId="2" xfId="0" applyFont="1" applyBorder="1"/>
    <xf numFmtId="0" fontId="14" fillId="14" borderId="8" xfId="0" applyFont="1" applyFill="1" applyBorder="1"/>
    <xf numFmtId="0" fontId="14" fillId="14" borderId="41" xfId="0" applyFont="1" applyFill="1" applyBorder="1"/>
    <xf numFmtId="0" fontId="25" fillId="0" borderId="48" xfId="0" applyFont="1" applyBorder="1"/>
    <xf numFmtId="0" fontId="6" fillId="17" borderId="8" xfId="0" applyFont="1" applyFill="1" applyBorder="1" applyAlignment="1">
      <alignment horizontal="center"/>
    </xf>
    <xf numFmtId="0" fontId="6" fillId="14" borderId="34" xfId="0" applyFont="1" applyFill="1" applyBorder="1" applyAlignment="1">
      <alignment horizontal="center"/>
    </xf>
    <xf numFmtId="0" fontId="3" fillId="0" borderId="50" xfId="0" applyFont="1" applyBorder="1" applyAlignment="1">
      <alignment horizontal="center" vertical="center"/>
    </xf>
    <xf numFmtId="0" fontId="25" fillId="0" borderId="51" xfId="0" applyFont="1" applyBorder="1"/>
    <xf numFmtId="0" fontId="25" fillId="0" borderId="52" xfId="0" applyFont="1" applyBorder="1"/>
    <xf numFmtId="0" fontId="3" fillId="0" borderId="4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25" fillId="0" borderId="53" xfId="0" applyFont="1" applyBorder="1"/>
    <xf numFmtId="0" fontId="52" fillId="0" borderId="0" xfId="0" applyFont="1" applyAlignment="1">
      <alignment horizontal="left" vertical="top"/>
    </xf>
    <xf numFmtId="0" fontId="53" fillId="0" borderId="0" xfId="0" applyFont="1" applyAlignment="1"/>
    <xf numFmtId="0" fontId="52" fillId="0" borderId="0" xfId="0" applyFont="1" applyAlignment="1"/>
    <xf numFmtId="0" fontId="40" fillId="0" borderId="18" xfId="0" applyFont="1" applyBorder="1" applyAlignment="1">
      <alignment horizontal="center" vertical="center"/>
    </xf>
    <xf numFmtId="0" fontId="25" fillId="0" borderId="17" xfId="0" applyFont="1" applyBorder="1"/>
    <xf numFmtId="0" fontId="40" fillId="0" borderId="19" xfId="0" applyFont="1" applyBorder="1" applyAlignment="1">
      <alignment horizontal="center" vertical="center"/>
    </xf>
    <xf numFmtId="0" fontId="3" fillId="0" borderId="0" xfId="0" applyFont="1" applyAlignment="1"/>
    <xf numFmtId="0" fontId="57" fillId="9" borderId="9" xfId="0" applyFont="1" applyFill="1" applyBorder="1" applyAlignment="1">
      <alignment horizontal="center" vertical="center" wrapText="1"/>
    </xf>
    <xf numFmtId="0" fontId="59" fillId="17" borderId="9" xfId="0" applyFont="1" applyFill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40" fillId="0" borderId="18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/>
    </xf>
    <xf numFmtId="0" fontId="25" fillId="0" borderId="54" xfId="0" applyFont="1" applyBorder="1"/>
    <xf numFmtId="0" fontId="40" fillId="0" borderId="24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/>
    </xf>
    <xf numFmtId="0" fontId="25" fillId="0" borderId="40" xfId="0" applyFont="1" applyBorder="1"/>
    <xf numFmtId="0" fontId="38" fillId="0" borderId="36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3" fillId="8" borderId="9" xfId="0" applyFont="1" applyFill="1" applyBorder="1" applyAlignment="1">
      <alignment horizontal="center" vertical="center" wrapText="1"/>
    </xf>
    <xf numFmtId="0" fontId="54" fillId="21" borderId="12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/>
    </xf>
    <xf numFmtId="0" fontId="40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40" fillId="0" borderId="0" xfId="0" applyFont="1" applyAlignment="1">
      <alignment horizontal="left"/>
    </xf>
    <xf numFmtId="0" fontId="58" fillId="0" borderId="0" xfId="0" applyFont="1" applyAlignment="1">
      <alignment horizontal="right"/>
    </xf>
    <xf numFmtId="0" fontId="7" fillId="0" borderId="41" xfId="0" applyFont="1" applyBorder="1" applyAlignment="1">
      <alignment horizontal="center" vertical="center"/>
    </xf>
    <xf numFmtId="0" fontId="77" fillId="2" borderId="41" xfId="0" applyFont="1" applyFill="1" applyBorder="1" applyAlignment="1">
      <alignment vertical="center"/>
    </xf>
    <xf numFmtId="0" fontId="25" fillId="0" borderId="8" xfId="0" applyFont="1" applyBorder="1"/>
    <xf numFmtId="0" fontId="72" fillId="22" borderId="5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73" fillId="23" borderId="50" xfId="0" applyFont="1" applyFill="1" applyBorder="1" applyAlignment="1">
      <alignment horizontal="center"/>
    </xf>
    <xf numFmtId="0" fontId="74" fillId="3" borderId="41" xfId="0" applyFont="1" applyFill="1" applyBorder="1" applyAlignment="1">
      <alignment horizontal="center" vertical="center"/>
    </xf>
    <xf numFmtId="0" fontId="25" fillId="0" borderId="14" xfId="0" applyFont="1" applyBorder="1"/>
    <xf numFmtId="0" fontId="75" fillId="0" borderId="41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4" fillId="24" borderId="41" xfId="0" applyFont="1" applyFill="1" applyBorder="1" applyAlignment="1">
      <alignment horizontal="center" vertical="center"/>
    </xf>
    <xf numFmtId="0" fontId="28" fillId="0" borderId="0" xfId="0" applyFont="1" applyAlignment="1"/>
    <xf numFmtId="0" fontId="74" fillId="23" borderId="41" xfId="0" applyFont="1" applyFill="1" applyBorder="1" applyAlignment="1">
      <alignment horizontal="center" vertical="center"/>
    </xf>
  </cellXfs>
  <cellStyles count="1">
    <cellStyle name="Обычный" xfId="0" builtinId="0"/>
  </cellStyles>
  <dxfs count="9"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00FFFF"/>
          <bgColor rgb="FF00FFFF"/>
        </patternFill>
      </fill>
    </dxf>
    <dxf>
      <font>
        <b/>
      </font>
      <fill>
        <patternFill patternType="solid">
          <fgColor rgb="FF00FFFF"/>
          <bgColor rgb="FF00FFFF"/>
        </patternFill>
      </fill>
    </dxf>
    <dxf>
      <font>
        <b/>
      </font>
      <fill>
        <patternFill patternType="solid">
          <fgColor rgb="FFEA9999"/>
          <bgColor rgb="FFEA9999"/>
        </patternFill>
      </fill>
    </dxf>
    <dxf>
      <font>
        <b/>
        <color rgb="FF000000"/>
      </font>
      <fill>
        <patternFill patternType="solid">
          <fgColor rgb="FFEA9999"/>
          <bgColor rgb="FFEA9999"/>
        </patternFill>
      </fill>
    </dxf>
    <dxf>
      <font>
        <b/>
        <color theme="1"/>
      </font>
      <fill>
        <patternFill patternType="solid">
          <fgColor rgb="FFFFE599"/>
          <bgColor rgb="FFFFE599"/>
        </patternFill>
      </fill>
    </dxf>
    <dxf>
      <font>
        <b/>
        <color theme="1"/>
      </font>
      <fill>
        <patternFill patternType="solid">
          <fgColor rgb="FF00FFFF"/>
          <bgColor rgb="FF00FFFF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-mr44NXoxiCFwZh6G4EyfPc7CemDD3qxAv_tXDHZBQk/edit?usp=shar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ambo.ru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sambo.r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991"/>
  <sheetViews>
    <sheetView topLeftCell="C1" workbookViewId="0"/>
  </sheetViews>
  <sheetFormatPr defaultColWidth="12.6328125" defaultRowHeight="15.75" customHeight="1"/>
  <cols>
    <col min="1" max="2" width="3.90625" hidden="1" customWidth="1"/>
    <col min="3" max="4" width="3.90625" customWidth="1"/>
    <col min="5" max="5" width="26.36328125" hidden="1" customWidth="1"/>
    <col min="6" max="6" width="31.26953125" customWidth="1"/>
    <col min="8" max="8" width="12.6328125" hidden="1"/>
    <col min="9" max="9" width="5.08984375" customWidth="1"/>
    <col min="10" max="10" width="28.6328125" customWidth="1"/>
    <col min="11" max="11" width="19.26953125" hidden="1" customWidth="1"/>
    <col min="12" max="12" width="12.6328125" hidden="1"/>
    <col min="13" max="13" width="22.36328125" customWidth="1"/>
    <col min="14" max="14" width="2.7265625" customWidth="1"/>
    <col min="15" max="15" width="6.36328125" customWidth="1"/>
    <col min="16" max="16" width="8" hidden="1" customWidth="1"/>
    <col min="17" max="17" width="12.6328125" hidden="1"/>
  </cols>
  <sheetData>
    <row r="1" spans="1:17">
      <c r="A1" s="1" t="s">
        <v>0</v>
      </c>
      <c r="B1" s="2"/>
      <c r="C1" s="263" t="s">
        <v>1</v>
      </c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3" t="s">
        <v>2</v>
      </c>
      <c r="O1" s="4">
        <f>IF(O2="80+",81,O2)</f>
        <v>59</v>
      </c>
      <c r="P1" s="5"/>
      <c r="Q1" s="5"/>
    </row>
    <row r="2" spans="1:17" ht="15.75" customHeight="1">
      <c r="A2" s="1"/>
      <c r="B2" s="2"/>
      <c r="C2" s="265" t="str">
        <f ca="1">IFERROR(__xludf.DUMMYFUNCTION("IMPORTRANGE(N1,""Реквизиты!A1"")"),"Первенство России по самбо юниорки 18-20 лет (отбор на Первенство Мира и Европы) ЕКП № 23752")</f>
        <v>Первенство России по самбо юниорки 18-20 лет (отбор на Первенство Мира и Европы) ЕКП № 23752</v>
      </c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5"/>
      <c r="O2" s="6">
        <v>59</v>
      </c>
      <c r="P2" s="7" t="s">
        <v>3</v>
      </c>
      <c r="Q2" s="7" t="s">
        <v>4</v>
      </c>
    </row>
    <row r="3" spans="1:17" ht="15.75" customHeight="1">
      <c r="A3" s="2"/>
      <c r="B3" s="2"/>
      <c r="C3" s="265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5"/>
      <c r="O3" s="8">
        <f ca="1">COUNT(B6:B991)</f>
        <v>0</v>
      </c>
      <c r="P3" s="9" t="s">
        <v>5</v>
      </c>
      <c r="Q3" s="5"/>
    </row>
    <row r="4" spans="1:17">
      <c r="A4" s="5"/>
      <c r="B4" s="10"/>
      <c r="C4" s="5"/>
      <c r="D4" s="5"/>
      <c r="E4" s="5"/>
      <c r="F4" s="5"/>
      <c r="G4" s="11" t="str">
        <f>P2&amp;"  "&amp;O2&amp;"  "&amp;Q2</f>
        <v>В.к.  59  кг</v>
      </c>
      <c r="H4" s="11"/>
      <c r="I4" s="5"/>
      <c r="J4" s="12" t="s">
        <v>6</v>
      </c>
      <c r="K4" s="5"/>
      <c r="L4" s="5"/>
      <c r="M4" s="13"/>
      <c r="N4" s="5"/>
      <c r="O4" s="5"/>
      <c r="P4" s="5"/>
      <c r="Q4" s="5"/>
    </row>
    <row r="5" spans="1:17" ht="15.75" customHeight="1">
      <c r="A5" s="14" t="s">
        <v>7</v>
      </c>
      <c r="B5" s="15" t="s">
        <v>7</v>
      </c>
      <c r="C5" s="16" t="s">
        <v>8</v>
      </c>
      <c r="D5" s="17" t="s">
        <v>9</v>
      </c>
      <c r="E5" s="18" t="s">
        <v>10</v>
      </c>
      <c r="F5" s="18" t="s">
        <v>10</v>
      </c>
      <c r="G5" s="16" t="s">
        <v>11</v>
      </c>
      <c r="H5" s="19" t="s">
        <v>12</v>
      </c>
      <c r="I5" s="20" t="s">
        <v>13</v>
      </c>
      <c r="J5" s="21"/>
      <c r="K5" s="16" t="s">
        <v>14</v>
      </c>
      <c r="L5" s="16" t="s">
        <v>15</v>
      </c>
      <c r="M5" s="22" t="s">
        <v>16</v>
      </c>
      <c r="N5" s="5"/>
      <c r="O5" s="5"/>
      <c r="P5" s="5"/>
      <c r="Q5" s="5"/>
    </row>
    <row r="6" spans="1:17" ht="15.75" customHeight="1">
      <c r="A6" s="23" t="str">
        <f t="shared" ref="A6:A21" ca="1" si="0">IF(B6=81,"80+",B6)</f>
        <v>#REF!</v>
      </c>
      <c r="B6" s="24" t="str">
        <f ca="1">IFERROR(__xludf.DUMMYFUNCTION("QUERY(IMPORTRANGE(N1,""Рег.!A2:Q""),""select Col1,Col3,Col4,Col5,Col6,Col10,Col12,Col13,Col14,Col15,Col16,Col17 WHERE  Col1 contains '""&amp;O1&amp;""'order by Col13,Col15"")"),"#REF!")</f>
        <v>#REF!</v>
      </c>
      <c r="C6" s="25">
        <v>41</v>
      </c>
      <c r="D6" s="25">
        <v>6</v>
      </c>
      <c r="E6" s="25" t="s">
        <v>17</v>
      </c>
      <c r="F6" s="26" t="s">
        <v>18</v>
      </c>
      <c r="G6" s="26" t="s">
        <v>19</v>
      </c>
      <c r="H6" s="26" t="s">
        <v>20</v>
      </c>
      <c r="I6" s="26" t="s">
        <v>21</v>
      </c>
      <c r="J6" s="26" t="s">
        <v>22</v>
      </c>
      <c r="K6" s="26" t="s">
        <v>23</v>
      </c>
      <c r="L6" s="27"/>
      <c r="M6" s="28" t="s">
        <v>24</v>
      </c>
      <c r="N6" s="29">
        <v>47</v>
      </c>
      <c r="O6" s="30" t="s">
        <v>239</v>
      </c>
      <c r="P6" s="31"/>
      <c r="Q6" s="5"/>
    </row>
    <row r="7" spans="1:17" ht="15.75" customHeight="1">
      <c r="A7" s="23">
        <f t="shared" si="0"/>
        <v>0</v>
      </c>
      <c r="B7" s="32"/>
      <c r="C7" s="33">
        <v>22</v>
      </c>
      <c r="D7" s="33">
        <v>23</v>
      </c>
      <c r="E7" s="33" t="s">
        <v>25</v>
      </c>
      <c r="F7" s="34" t="s">
        <v>26</v>
      </c>
      <c r="G7" s="34" t="s">
        <v>27</v>
      </c>
      <c r="H7" s="34" t="s">
        <v>28</v>
      </c>
      <c r="I7" s="34" t="s">
        <v>21</v>
      </c>
      <c r="J7" s="34" t="s">
        <v>29</v>
      </c>
      <c r="K7" s="34" t="s">
        <v>30</v>
      </c>
      <c r="L7" s="35"/>
      <c r="M7" s="28" t="s">
        <v>31</v>
      </c>
      <c r="N7" s="29">
        <v>50</v>
      </c>
      <c r="O7" s="30" t="s">
        <v>240</v>
      </c>
      <c r="P7" s="5"/>
      <c r="Q7" s="5"/>
    </row>
    <row r="8" spans="1:17" ht="15.75" customHeight="1">
      <c r="A8" s="23">
        <f t="shared" si="0"/>
        <v>0</v>
      </c>
      <c r="B8" s="32"/>
      <c r="C8" s="33">
        <v>40</v>
      </c>
      <c r="D8" s="33">
        <v>8</v>
      </c>
      <c r="E8" s="33" t="s">
        <v>32</v>
      </c>
      <c r="F8" s="34" t="s">
        <v>33</v>
      </c>
      <c r="G8" s="34" t="s">
        <v>34</v>
      </c>
      <c r="H8" s="34" t="s">
        <v>20</v>
      </c>
      <c r="I8" s="34" t="s">
        <v>35</v>
      </c>
      <c r="J8" s="34" t="s">
        <v>36</v>
      </c>
      <c r="K8" s="34" t="s">
        <v>37</v>
      </c>
      <c r="L8" s="35"/>
      <c r="M8" s="28" t="s">
        <v>38</v>
      </c>
      <c r="N8" s="29">
        <v>54</v>
      </c>
      <c r="O8" s="36">
        <v>58</v>
      </c>
      <c r="P8" s="5"/>
      <c r="Q8" s="5"/>
    </row>
    <row r="9" spans="1:17" ht="15.75" customHeight="1">
      <c r="A9" s="23">
        <f t="shared" si="0"/>
        <v>0</v>
      </c>
      <c r="B9" s="32"/>
      <c r="C9" s="33">
        <v>40</v>
      </c>
      <c r="D9" s="33">
        <v>4</v>
      </c>
      <c r="E9" s="33" t="s">
        <v>39</v>
      </c>
      <c r="F9" s="34" t="s">
        <v>40</v>
      </c>
      <c r="G9" s="34" t="s">
        <v>41</v>
      </c>
      <c r="H9" s="34" t="s">
        <v>20</v>
      </c>
      <c r="I9" s="34" t="s">
        <v>35</v>
      </c>
      <c r="J9" s="34" t="s">
        <v>42</v>
      </c>
      <c r="K9" s="34" t="s">
        <v>37</v>
      </c>
      <c r="L9" s="35"/>
      <c r="M9" s="28" t="s">
        <v>43</v>
      </c>
      <c r="N9" s="29">
        <v>59</v>
      </c>
      <c r="O9" s="36">
        <v>64</v>
      </c>
      <c r="P9" s="5"/>
      <c r="Q9" s="5"/>
    </row>
    <row r="10" spans="1:17" ht="15.75" customHeight="1">
      <c r="A10" s="23">
        <f t="shared" si="0"/>
        <v>0</v>
      </c>
      <c r="B10" s="32"/>
      <c r="C10" s="33">
        <v>40</v>
      </c>
      <c r="D10" s="33">
        <v>15</v>
      </c>
      <c r="E10" s="33" t="s">
        <v>44</v>
      </c>
      <c r="F10" s="34" t="s">
        <v>45</v>
      </c>
      <c r="G10" s="34" t="s">
        <v>46</v>
      </c>
      <c r="H10" s="34" t="s">
        <v>20</v>
      </c>
      <c r="I10" s="34" t="s">
        <v>35</v>
      </c>
      <c r="J10" s="34" t="s">
        <v>47</v>
      </c>
      <c r="K10" s="34" t="s">
        <v>37</v>
      </c>
      <c r="L10" s="35"/>
      <c r="M10" s="28" t="s">
        <v>48</v>
      </c>
      <c r="N10" s="29">
        <v>65</v>
      </c>
      <c r="O10" s="36">
        <v>71</v>
      </c>
      <c r="P10" s="5"/>
      <c r="Q10" s="5"/>
    </row>
    <row r="11" spans="1:17" ht="15.75" customHeight="1">
      <c r="A11" s="23">
        <f t="shared" si="0"/>
        <v>0</v>
      </c>
      <c r="B11" s="37"/>
      <c r="C11" s="33">
        <v>30</v>
      </c>
      <c r="D11" s="33">
        <v>9</v>
      </c>
      <c r="E11" s="33" t="s">
        <v>49</v>
      </c>
      <c r="F11" s="34" t="s">
        <v>50</v>
      </c>
      <c r="G11" s="34" t="s">
        <v>51</v>
      </c>
      <c r="H11" s="34" t="s">
        <v>20</v>
      </c>
      <c r="I11" s="34" t="s">
        <v>52</v>
      </c>
      <c r="J11" s="34" t="s">
        <v>53</v>
      </c>
      <c r="K11" s="34" t="s">
        <v>54</v>
      </c>
      <c r="L11" s="35"/>
      <c r="M11" s="28" t="s">
        <v>55</v>
      </c>
      <c r="N11" s="29">
        <v>72</v>
      </c>
      <c r="O11" s="36">
        <v>79</v>
      </c>
      <c r="P11" s="5"/>
      <c r="Q11" s="5"/>
    </row>
    <row r="12" spans="1:17" ht="15.75" customHeight="1">
      <c r="A12" s="23">
        <f t="shared" si="0"/>
        <v>0</v>
      </c>
      <c r="B12" s="37"/>
      <c r="C12" s="33">
        <v>10</v>
      </c>
      <c r="D12" s="33">
        <v>18</v>
      </c>
      <c r="E12" s="33" t="s">
        <v>56</v>
      </c>
      <c r="F12" s="34" t="s">
        <v>57</v>
      </c>
      <c r="G12" s="34" t="s">
        <v>58</v>
      </c>
      <c r="H12" s="34" t="s">
        <v>20</v>
      </c>
      <c r="I12" s="34" t="s">
        <v>52</v>
      </c>
      <c r="J12" s="34" t="s">
        <v>59</v>
      </c>
      <c r="K12" s="34" t="s">
        <v>60</v>
      </c>
      <c r="L12" s="35"/>
      <c r="M12" s="28" t="s">
        <v>61</v>
      </c>
      <c r="N12" s="29">
        <v>80</v>
      </c>
      <c r="O12" s="36">
        <v>88</v>
      </c>
      <c r="P12" s="5"/>
      <c r="Q12" s="5"/>
    </row>
    <row r="13" spans="1:17" ht="15.75" customHeight="1">
      <c r="A13" s="23">
        <f t="shared" si="0"/>
        <v>0</v>
      </c>
      <c r="B13" s="37"/>
      <c r="C13" s="33">
        <v>32</v>
      </c>
      <c r="D13" s="33">
        <v>3</v>
      </c>
      <c r="E13" s="33" t="s">
        <v>62</v>
      </c>
      <c r="F13" s="34" t="s">
        <v>63</v>
      </c>
      <c r="G13" s="34" t="s">
        <v>64</v>
      </c>
      <c r="H13" s="34" t="s">
        <v>20</v>
      </c>
      <c r="I13" s="34" t="s">
        <v>65</v>
      </c>
      <c r="J13" s="34" t="s">
        <v>66</v>
      </c>
      <c r="K13" s="34" t="s">
        <v>67</v>
      </c>
      <c r="L13" s="35"/>
      <c r="M13" s="28" t="s">
        <v>68</v>
      </c>
      <c r="N13" s="29" t="s">
        <v>69</v>
      </c>
      <c r="O13" s="36">
        <v>98</v>
      </c>
      <c r="P13" s="5"/>
      <c r="Q13" s="5"/>
    </row>
    <row r="14" spans="1:17" ht="15.75" customHeight="1">
      <c r="A14" s="23">
        <f t="shared" si="0"/>
        <v>0</v>
      </c>
      <c r="B14" s="37"/>
      <c r="C14" s="33">
        <v>6</v>
      </c>
      <c r="D14" s="33">
        <v>22</v>
      </c>
      <c r="E14" s="33" t="s">
        <v>70</v>
      </c>
      <c r="F14" s="34" t="s">
        <v>71</v>
      </c>
      <c r="G14" s="34" t="s">
        <v>72</v>
      </c>
      <c r="H14" s="34" t="s">
        <v>20</v>
      </c>
      <c r="I14" s="34" t="s">
        <v>65</v>
      </c>
      <c r="J14" s="34" t="s">
        <v>73</v>
      </c>
      <c r="K14" s="34" t="s">
        <v>74</v>
      </c>
      <c r="L14" s="35"/>
      <c r="M14" s="28" t="s">
        <v>75</v>
      </c>
      <c r="N14" s="29" t="s">
        <v>76</v>
      </c>
      <c r="O14" s="36" t="s">
        <v>76</v>
      </c>
      <c r="P14" s="5"/>
      <c r="Q14" s="5"/>
    </row>
    <row r="15" spans="1:17" ht="15.75" customHeight="1">
      <c r="A15" s="23">
        <f t="shared" si="0"/>
        <v>0</v>
      </c>
      <c r="B15" s="37"/>
      <c r="C15" s="33">
        <v>3</v>
      </c>
      <c r="D15" s="33">
        <v>13</v>
      </c>
      <c r="E15" s="33" t="s">
        <v>77</v>
      </c>
      <c r="F15" s="34" t="s">
        <v>78</v>
      </c>
      <c r="G15" s="34" t="s">
        <v>79</v>
      </c>
      <c r="H15" s="34" t="s">
        <v>20</v>
      </c>
      <c r="I15" s="34" t="s">
        <v>80</v>
      </c>
      <c r="J15" s="34" t="s">
        <v>81</v>
      </c>
      <c r="K15" s="34" t="s">
        <v>82</v>
      </c>
      <c r="L15" s="35"/>
      <c r="M15" s="28" t="s">
        <v>83</v>
      </c>
      <c r="N15" s="29" t="s">
        <v>84</v>
      </c>
      <c r="O15" s="30"/>
      <c r="P15" s="5"/>
      <c r="Q15" s="5"/>
    </row>
    <row r="16" spans="1:17" ht="15.75" customHeight="1">
      <c r="A16" s="23">
        <f t="shared" si="0"/>
        <v>0</v>
      </c>
      <c r="B16" s="32"/>
      <c r="C16" s="33">
        <v>15</v>
      </c>
      <c r="D16" s="33">
        <v>24</v>
      </c>
      <c r="E16" s="33" t="s">
        <v>85</v>
      </c>
      <c r="F16" s="34" t="s">
        <v>86</v>
      </c>
      <c r="G16" s="34" t="s">
        <v>87</v>
      </c>
      <c r="H16" s="34" t="s">
        <v>88</v>
      </c>
      <c r="I16" s="34" t="s">
        <v>80</v>
      </c>
      <c r="J16" s="34" t="s">
        <v>89</v>
      </c>
      <c r="K16" s="34" t="s">
        <v>90</v>
      </c>
      <c r="L16" s="35"/>
      <c r="M16" s="28" t="s">
        <v>91</v>
      </c>
      <c r="N16" s="5"/>
      <c r="O16" s="30"/>
      <c r="P16" s="5"/>
      <c r="Q16" s="5"/>
    </row>
    <row r="17" spans="1:17" ht="15.75" customHeight="1">
      <c r="A17" s="23">
        <f t="shared" si="0"/>
        <v>0</v>
      </c>
      <c r="B17" s="32"/>
      <c r="C17" s="33">
        <v>13</v>
      </c>
      <c r="D17" s="33">
        <v>17</v>
      </c>
      <c r="E17" s="33" t="s">
        <v>92</v>
      </c>
      <c r="F17" s="34" t="s">
        <v>93</v>
      </c>
      <c r="G17" s="34" t="s">
        <v>94</v>
      </c>
      <c r="H17" s="34" t="s">
        <v>20</v>
      </c>
      <c r="I17" s="34" t="s">
        <v>80</v>
      </c>
      <c r="J17" s="34" t="s">
        <v>95</v>
      </c>
      <c r="K17" s="34" t="s">
        <v>96</v>
      </c>
      <c r="L17" s="35"/>
      <c r="M17" s="28" t="s">
        <v>97</v>
      </c>
      <c r="N17" s="5"/>
      <c r="O17" s="30"/>
      <c r="P17" s="5"/>
      <c r="Q17" s="5"/>
    </row>
    <row r="18" spans="1:17" ht="15.75" customHeight="1">
      <c r="A18" s="23">
        <f t="shared" si="0"/>
        <v>0</v>
      </c>
      <c r="B18" s="37"/>
      <c r="C18" s="33">
        <v>35</v>
      </c>
      <c r="D18" s="33">
        <v>10</v>
      </c>
      <c r="E18" s="33" t="s">
        <v>98</v>
      </c>
      <c r="F18" s="34" t="s">
        <v>99</v>
      </c>
      <c r="G18" s="34" t="s">
        <v>100</v>
      </c>
      <c r="H18" s="34" t="s">
        <v>20</v>
      </c>
      <c r="I18" s="34" t="s">
        <v>101</v>
      </c>
      <c r="J18" s="34" t="s">
        <v>102</v>
      </c>
      <c r="K18" s="34" t="s">
        <v>103</v>
      </c>
      <c r="L18" s="35"/>
      <c r="M18" s="28" t="s">
        <v>104</v>
      </c>
      <c r="N18" s="5"/>
      <c r="O18" s="30"/>
      <c r="P18" s="5"/>
      <c r="Q18" s="5"/>
    </row>
    <row r="19" spans="1:17" ht="15.75" customHeight="1">
      <c r="A19" s="23">
        <f t="shared" si="0"/>
        <v>0</v>
      </c>
      <c r="B19" s="37"/>
      <c r="C19" s="33">
        <v>35</v>
      </c>
      <c r="D19" s="33">
        <v>12</v>
      </c>
      <c r="E19" s="33" t="s">
        <v>105</v>
      </c>
      <c r="F19" s="34" t="s">
        <v>106</v>
      </c>
      <c r="G19" s="34" t="s">
        <v>107</v>
      </c>
      <c r="H19" s="34" t="s">
        <v>28</v>
      </c>
      <c r="I19" s="34" t="s">
        <v>101</v>
      </c>
      <c r="J19" s="34" t="s">
        <v>108</v>
      </c>
      <c r="K19" s="34" t="s">
        <v>103</v>
      </c>
      <c r="L19" s="35"/>
      <c r="M19" s="28" t="s">
        <v>109</v>
      </c>
      <c r="N19" s="5"/>
      <c r="O19" s="30"/>
      <c r="P19" s="5"/>
      <c r="Q19" s="5"/>
    </row>
    <row r="20" spans="1:17" ht="15.75" customHeight="1">
      <c r="A20" s="23">
        <f t="shared" si="0"/>
        <v>0</v>
      </c>
      <c r="B20" s="37"/>
      <c r="C20" s="33">
        <v>35</v>
      </c>
      <c r="D20" s="33">
        <v>2</v>
      </c>
      <c r="E20" s="33" t="s">
        <v>110</v>
      </c>
      <c r="F20" s="28" t="s">
        <v>111</v>
      </c>
      <c r="G20" s="34" t="s">
        <v>112</v>
      </c>
      <c r="H20" s="34" t="s">
        <v>20</v>
      </c>
      <c r="I20" s="34" t="s">
        <v>101</v>
      </c>
      <c r="J20" s="34" t="s">
        <v>113</v>
      </c>
      <c r="K20" s="34" t="s">
        <v>103</v>
      </c>
      <c r="L20" s="35"/>
      <c r="M20" s="28" t="s">
        <v>114</v>
      </c>
      <c r="N20" s="5"/>
      <c r="O20" s="30"/>
      <c r="P20" s="5"/>
      <c r="Q20" s="5"/>
    </row>
    <row r="21" spans="1:17" ht="15.75" customHeight="1">
      <c r="A21" s="23">
        <f t="shared" si="0"/>
        <v>0</v>
      </c>
      <c r="B21" s="37"/>
      <c r="C21" s="33">
        <v>35</v>
      </c>
      <c r="D21" s="33">
        <v>16</v>
      </c>
      <c r="E21" s="33" t="s">
        <v>115</v>
      </c>
      <c r="F21" s="34" t="s">
        <v>116</v>
      </c>
      <c r="G21" s="34" t="s">
        <v>117</v>
      </c>
      <c r="H21" s="34" t="s">
        <v>88</v>
      </c>
      <c r="I21" s="34" t="s">
        <v>101</v>
      </c>
      <c r="J21" s="34" t="s">
        <v>118</v>
      </c>
      <c r="K21" s="34" t="s">
        <v>103</v>
      </c>
      <c r="L21" s="35"/>
      <c r="M21" s="38" t="s">
        <v>119</v>
      </c>
      <c r="N21" s="5"/>
      <c r="O21" s="30"/>
      <c r="P21" s="5"/>
      <c r="Q21" s="5"/>
    </row>
    <row r="22" spans="1:17" ht="15.75" customHeight="1">
      <c r="A22" s="23">
        <f t="shared" ref="A22:A85" si="1">IF(B22=99,"98+",B22)</f>
        <v>0</v>
      </c>
      <c r="B22" s="37"/>
      <c r="C22" s="33">
        <v>35</v>
      </c>
      <c r="D22" s="33">
        <v>26</v>
      </c>
      <c r="E22" s="33" t="s">
        <v>120</v>
      </c>
      <c r="F22" s="34" t="s">
        <v>121</v>
      </c>
      <c r="G22" s="34" t="s">
        <v>122</v>
      </c>
      <c r="H22" s="34" t="s">
        <v>20</v>
      </c>
      <c r="I22" s="34" t="s">
        <v>101</v>
      </c>
      <c r="J22" s="34" t="s">
        <v>123</v>
      </c>
      <c r="K22" s="34" t="s">
        <v>103</v>
      </c>
      <c r="L22" s="35"/>
      <c r="M22" s="28" t="s">
        <v>124</v>
      </c>
      <c r="N22" s="5"/>
      <c r="O22" s="30"/>
      <c r="P22" s="5"/>
      <c r="Q22" s="5"/>
    </row>
    <row r="23" spans="1:17" ht="15.5">
      <c r="A23" s="23">
        <f t="shared" si="1"/>
        <v>0</v>
      </c>
      <c r="B23" s="37"/>
      <c r="C23" s="33">
        <v>35</v>
      </c>
      <c r="D23" s="33">
        <v>7</v>
      </c>
      <c r="E23" s="33" t="s">
        <v>125</v>
      </c>
      <c r="F23" s="34" t="s">
        <v>126</v>
      </c>
      <c r="G23" s="34" t="s">
        <v>127</v>
      </c>
      <c r="H23" s="34" t="s">
        <v>20</v>
      </c>
      <c r="I23" s="34" t="s">
        <v>101</v>
      </c>
      <c r="J23" s="34" t="s">
        <v>128</v>
      </c>
      <c r="K23" s="34" t="s">
        <v>103</v>
      </c>
      <c r="L23" s="35"/>
      <c r="M23" s="28" t="s">
        <v>129</v>
      </c>
      <c r="N23" s="5"/>
      <c r="O23" s="30"/>
      <c r="P23" s="5"/>
      <c r="Q23" s="5"/>
    </row>
    <row r="24" spans="1:17" ht="15.5">
      <c r="A24" s="23">
        <f t="shared" si="1"/>
        <v>0</v>
      </c>
      <c r="B24" s="37"/>
      <c r="C24" s="33">
        <v>35</v>
      </c>
      <c r="D24" s="33">
        <v>21</v>
      </c>
      <c r="E24" s="33" t="s">
        <v>130</v>
      </c>
      <c r="F24" s="34" t="s">
        <v>131</v>
      </c>
      <c r="G24" s="34" t="s">
        <v>132</v>
      </c>
      <c r="H24" s="34" t="s">
        <v>20</v>
      </c>
      <c r="I24" s="34" t="s">
        <v>101</v>
      </c>
      <c r="J24" s="34" t="s">
        <v>133</v>
      </c>
      <c r="K24" s="34" t="s">
        <v>103</v>
      </c>
      <c r="L24" s="35"/>
      <c r="M24" s="28" t="s">
        <v>134</v>
      </c>
      <c r="N24" s="5"/>
      <c r="O24" s="30"/>
      <c r="P24" s="5"/>
      <c r="Q24" s="5"/>
    </row>
    <row r="25" spans="1:17" ht="15.5">
      <c r="A25" s="23">
        <f t="shared" si="1"/>
        <v>0</v>
      </c>
      <c r="B25" s="37"/>
      <c r="C25" s="33">
        <v>25</v>
      </c>
      <c r="D25" s="33">
        <v>11</v>
      </c>
      <c r="E25" s="33" t="s">
        <v>135</v>
      </c>
      <c r="F25" s="34" t="s">
        <v>136</v>
      </c>
      <c r="G25" s="34" t="s">
        <v>137</v>
      </c>
      <c r="H25" s="34" t="s">
        <v>20</v>
      </c>
      <c r="I25" s="34" t="s">
        <v>138</v>
      </c>
      <c r="J25" s="34" t="s">
        <v>139</v>
      </c>
      <c r="K25" s="34" t="s">
        <v>140</v>
      </c>
      <c r="L25" s="35"/>
      <c r="M25" s="28" t="s">
        <v>141</v>
      </c>
      <c r="N25" s="5"/>
      <c r="O25" s="30"/>
      <c r="P25" s="5"/>
      <c r="Q25" s="5"/>
    </row>
    <row r="26" spans="1:17" ht="15.5">
      <c r="A26" s="23">
        <f t="shared" si="1"/>
        <v>0</v>
      </c>
      <c r="B26" s="37"/>
      <c r="C26" s="33">
        <v>34</v>
      </c>
      <c r="D26" s="33">
        <v>5</v>
      </c>
      <c r="E26" s="33" t="s">
        <v>142</v>
      </c>
      <c r="F26" s="34" t="s">
        <v>143</v>
      </c>
      <c r="G26" s="34" t="s">
        <v>144</v>
      </c>
      <c r="H26" s="34" t="s">
        <v>88</v>
      </c>
      <c r="I26" s="34" t="s">
        <v>138</v>
      </c>
      <c r="J26" s="34" t="s">
        <v>145</v>
      </c>
      <c r="K26" s="34" t="s">
        <v>146</v>
      </c>
      <c r="L26" s="35"/>
      <c r="M26" s="28" t="s">
        <v>147</v>
      </c>
      <c r="N26" s="5"/>
      <c r="O26" s="30"/>
      <c r="P26" s="5"/>
      <c r="Q26" s="5"/>
    </row>
    <row r="27" spans="1:17" ht="15.5">
      <c r="A27" s="23">
        <f t="shared" si="1"/>
        <v>0</v>
      </c>
      <c r="B27" s="37"/>
      <c r="C27" s="33">
        <v>34</v>
      </c>
      <c r="D27" s="33">
        <v>14</v>
      </c>
      <c r="E27" s="33" t="s">
        <v>148</v>
      </c>
      <c r="F27" s="34" t="s">
        <v>149</v>
      </c>
      <c r="G27" s="34" t="s">
        <v>150</v>
      </c>
      <c r="H27" s="34" t="s">
        <v>20</v>
      </c>
      <c r="I27" s="34" t="s">
        <v>138</v>
      </c>
      <c r="J27" s="34" t="s">
        <v>145</v>
      </c>
      <c r="K27" s="34" t="s">
        <v>146</v>
      </c>
      <c r="L27" s="35"/>
      <c r="M27" s="28" t="s">
        <v>151</v>
      </c>
      <c r="N27" s="5"/>
      <c r="O27" s="30"/>
      <c r="P27" s="5"/>
      <c r="Q27" s="5"/>
    </row>
    <row r="28" spans="1:17" ht="15.5">
      <c r="A28" s="23">
        <f t="shared" si="1"/>
        <v>0</v>
      </c>
      <c r="B28" s="37"/>
      <c r="C28" s="33">
        <v>27</v>
      </c>
      <c r="D28" s="33">
        <v>19</v>
      </c>
      <c r="E28" s="33" t="s">
        <v>152</v>
      </c>
      <c r="F28" s="34" t="s">
        <v>153</v>
      </c>
      <c r="G28" s="34" t="s">
        <v>154</v>
      </c>
      <c r="H28" s="34" t="s">
        <v>20</v>
      </c>
      <c r="I28" s="34" t="s">
        <v>138</v>
      </c>
      <c r="J28" s="34" t="s">
        <v>155</v>
      </c>
      <c r="K28" s="34" t="s">
        <v>156</v>
      </c>
      <c r="L28" s="35"/>
      <c r="M28" s="28" t="s">
        <v>157</v>
      </c>
      <c r="N28" s="5"/>
      <c r="O28" s="30"/>
      <c r="P28" s="5"/>
      <c r="Q28" s="5"/>
    </row>
    <row r="29" spans="1:17" ht="15.5">
      <c r="A29" s="23">
        <f t="shared" si="1"/>
        <v>0</v>
      </c>
      <c r="B29" s="37"/>
      <c r="C29" s="33">
        <v>17</v>
      </c>
      <c r="D29" s="33">
        <v>20</v>
      </c>
      <c r="E29" s="33" t="s">
        <v>158</v>
      </c>
      <c r="F29" s="34" t="s">
        <v>159</v>
      </c>
      <c r="G29" s="34" t="s">
        <v>160</v>
      </c>
      <c r="H29" s="34" t="s">
        <v>20</v>
      </c>
      <c r="I29" s="34" t="s">
        <v>161</v>
      </c>
      <c r="J29" s="34" t="s">
        <v>162</v>
      </c>
      <c r="K29" s="34" t="s">
        <v>163</v>
      </c>
      <c r="L29" s="35"/>
      <c r="M29" s="28" t="s">
        <v>164</v>
      </c>
      <c r="N29" s="5"/>
      <c r="O29" s="30"/>
      <c r="P29" s="5"/>
      <c r="Q29" s="5"/>
    </row>
    <row r="30" spans="1:17" ht="15.5">
      <c r="A30" s="23">
        <f t="shared" si="1"/>
        <v>0</v>
      </c>
      <c r="B30" s="37"/>
      <c r="C30" s="33">
        <v>38</v>
      </c>
      <c r="D30" s="33">
        <v>25</v>
      </c>
      <c r="E30" s="33" t="s">
        <v>165</v>
      </c>
      <c r="F30" s="34" t="s">
        <v>166</v>
      </c>
      <c r="G30" s="34" t="s">
        <v>167</v>
      </c>
      <c r="H30" s="34" t="s">
        <v>20</v>
      </c>
      <c r="I30" s="34" t="s">
        <v>161</v>
      </c>
      <c r="J30" s="34" t="s">
        <v>168</v>
      </c>
      <c r="K30" s="34" t="s">
        <v>169</v>
      </c>
      <c r="L30" s="35"/>
      <c r="M30" s="28" t="s">
        <v>170</v>
      </c>
      <c r="N30" s="5"/>
      <c r="O30" s="30"/>
      <c r="P30" s="5"/>
      <c r="Q30" s="5"/>
    </row>
    <row r="31" spans="1:17" ht="15.5">
      <c r="A31" s="23">
        <f t="shared" si="1"/>
        <v>0</v>
      </c>
      <c r="B31" s="37"/>
      <c r="C31" s="33">
        <v>24</v>
      </c>
      <c r="D31" s="33">
        <v>1</v>
      </c>
      <c r="E31" s="33" t="s">
        <v>171</v>
      </c>
      <c r="F31" s="34" t="s">
        <v>172</v>
      </c>
      <c r="G31" s="34" t="s">
        <v>173</v>
      </c>
      <c r="H31" s="34" t="s">
        <v>20</v>
      </c>
      <c r="I31" s="34" t="s">
        <v>161</v>
      </c>
      <c r="J31" s="34" t="s">
        <v>174</v>
      </c>
      <c r="K31" s="34" t="s">
        <v>175</v>
      </c>
      <c r="L31" s="35"/>
      <c r="M31" s="28" t="s">
        <v>176</v>
      </c>
      <c r="N31" s="5"/>
      <c r="O31" s="30"/>
      <c r="P31" s="5"/>
      <c r="Q31" s="5"/>
    </row>
    <row r="32" spans="1:17" ht="15.5">
      <c r="A32" s="23">
        <f t="shared" si="1"/>
        <v>0</v>
      </c>
      <c r="B32" s="37"/>
      <c r="C32" s="33"/>
      <c r="D32" s="33"/>
      <c r="E32" s="39"/>
      <c r="F32" s="26"/>
      <c r="G32" s="26"/>
      <c r="H32" s="26"/>
      <c r="I32" s="26"/>
      <c r="J32" s="26"/>
      <c r="K32" s="26"/>
      <c r="L32" s="27"/>
      <c r="M32" s="28"/>
      <c r="N32" s="5"/>
      <c r="O32" s="30"/>
      <c r="P32" s="5"/>
      <c r="Q32" s="5"/>
    </row>
    <row r="33" spans="1:17" ht="15.5">
      <c r="A33" s="23">
        <f t="shared" si="1"/>
        <v>0</v>
      </c>
      <c r="B33" s="37"/>
      <c r="C33" s="33"/>
      <c r="D33" s="33"/>
      <c r="E33" s="39"/>
      <c r="F33" s="34"/>
      <c r="G33" s="34"/>
      <c r="H33" s="34"/>
      <c r="I33" s="34"/>
      <c r="J33" s="34"/>
      <c r="K33" s="34"/>
      <c r="L33" s="35"/>
      <c r="M33" s="28"/>
      <c r="N33" s="5"/>
      <c r="O33" s="30"/>
      <c r="P33" s="5"/>
      <c r="Q33" s="5"/>
    </row>
    <row r="34" spans="1:17" ht="15.5">
      <c r="A34" s="23">
        <f t="shared" si="1"/>
        <v>0</v>
      </c>
      <c r="B34" s="37"/>
      <c r="C34" s="33"/>
      <c r="D34" s="33"/>
      <c r="E34" s="39"/>
      <c r="F34" s="34"/>
      <c r="G34" s="34"/>
      <c r="H34" s="34"/>
      <c r="I34" s="34"/>
      <c r="J34" s="34"/>
      <c r="K34" s="34"/>
      <c r="L34" s="35"/>
      <c r="M34" s="28"/>
      <c r="N34" s="5"/>
      <c r="O34" s="30"/>
      <c r="P34" s="5"/>
      <c r="Q34" s="5"/>
    </row>
    <row r="35" spans="1:17" ht="15.5">
      <c r="A35" s="23">
        <f t="shared" si="1"/>
        <v>0</v>
      </c>
      <c r="B35" s="37"/>
      <c r="C35" s="33"/>
      <c r="D35" s="33"/>
      <c r="E35" s="39"/>
      <c r="F35" s="34"/>
      <c r="G35" s="34"/>
      <c r="H35" s="34"/>
      <c r="I35" s="34"/>
      <c r="J35" s="34"/>
      <c r="K35" s="34"/>
      <c r="L35" s="35"/>
      <c r="M35" s="28"/>
      <c r="N35" s="5"/>
      <c r="O35" s="30"/>
      <c r="P35" s="5"/>
      <c r="Q35" s="5"/>
    </row>
    <row r="36" spans="1:17" ht="15.5">
      <c r="A36" s="23">
        <f t="shared" si="1"/>
        <v>0</v>
      </c>
      <c r="B36" s="37"/>
      <c r="C36" s="33"/>
      <c r="D36" s="33"/>
      <c r="E36" s="39"/>
      <c r="F36" s="34"/>
      <c r="G36" s="34"/>
      <c r="H36" s="34"/>
      <c r="I36" s="34"/>
      <c r="J36" s="34"/>
      <c r="K36" s="34"/>
      <c r="L36" s="35"/>
      <c r="M36" s="28"/>
      <c r="N36" s="5"/>
      <c r="O36" s="30"/>
      <c r="P36" s="5"/>
      <c r="Q36" s="5"/>
    </row>
    <row r="37" spans="1:17" ht="15.5">
      <c r="A37" s="23">
        <f t="shared" si="1"/>
        <v>0</v>
      </c>
      <c r="B37" s="37"/>
      <c r="C37" s="33"/>
      <c r="D37" s="33"/>
      <c r="E37" s="39"/>
      <c r="F37" s="34"/>
      <c r="G37" s="34"/>
      <c r="H37" s="34"/>
      <c r="I37" s="34"/>
      <c r="J37" s="34"/>
      <c r="K37" s="34"/>
      <c r="L37" s="35"/>
      <c r="M37" s="28"/>
      <c r="N37" s="5"/>
      <c r="O37" s="30"/>
      <c r="P37" s="5"/>
      <c r="Q37" s="5"/>
    </row>
    <row r="38" spans="1:17" ht="15.5">
      <c r="A38" s="23">
        <f t="shared" si="1"/>
        <v>0</v>
      </c>
      <c r="B38" s="37"/>
      <c r="C38" s="33"/>
      <c r="D38" s="33"/>
      <c r="E38" s="39"/>
      <c r="F38" s="34"/>
      <c r="G38" s="34"/>
      <c r="H38" s="34"/>
      <c r="I38" s="34"/>
      <c r="J38" s="34"/>
      <c r="K38" s="34"/>
      <c r="L38" s="35"/>
      <c r="M38" s="28"/>
      <c r="N38" s="5"/>
      <c r="O38" s="30"/>
      <c r="P38" s="5"/>
      <c r="Q38" s="5"/>
    </row>
    <row r="39" spans="1:17" ht="15.5">
      <c r="A39" s="23">
        <f t="shared" si="1"/>
        <v>0</v>
      </c>
      <c r="B39" s="37"/>
      <c r="C39" s="33"/>
      <c r="D39" s="33"/>
      <c r="E39" s="39"/>
      <c r="F39" s="34"/>
      <c r="G39" s="34"/>
      <c r="H39" s="34"/>
      <c r="I39" s="34"/>
      <c r="J39" s="34"/>
      <c r="K39" s="34"/>
      <c r="L39" s="35"/>
      <c r="M39" s="28"/>
      <c r="N39" s="5"/>
      <c r="O39" s="30"/>
      <c r="P39" s="5"/>
      <c r="Q39" s="5"/>
    </row>
    <row r="40" spans="1:17" ht="15.5">
      <c r="A40" s="23">
        <f t="shared" si="1"/>
        <v>0</v>
      </c>
      <c r="B40" s="37"/>
      <c r="C40" s="33"/>
      <c r="D40" s="33"/>
      <c r="E40" s="39"/>
      <c r="F40" s="34"/>
      <c r="G40" s="34"/>
      <c r="H40" s="34"/>
      <c r="I40" s="34"/>
      <c r="J40" s="34"/>
      <c r="K40" s="34"/>
      <c r="L40" s="35"/>
      <c r="M40" s="28"/>
      <c r="N40" s="5"/>
      <c r="O40" s="30"/>
      <c r="P40" s="5"/>
      <c r="Q40" s="5"/>
    </row>
    <row r="41" spans="1:17" ht="15.5">
      <c r="A41" s="23">
        <f t="shared" si="1"/>
        <v>0</v>
      </c>
      <c r="B41" s="37"/>
      <c r="C41" s="33"/>
      <c r="D41" s="33"/>
      <c r="E41" s="39"/>
      <c r="F41" s="34"/>
      <c r="G41" s="34"/>
      <c r="H41" s="34"/>
      <c r="I41" s="34"/>
      <c r="J41" s="34"/>
      <c r="K41" s="34"/>
      <c r="L41" s="35"/>
      <c r="M41" s="28"/>
      <c r="N41" s="5"/>
      <c r="O41" s="30"/>
      <c r="P41" s="5"/>
      <c r="Q41" s="5"/>
    </row>
    <row r="42" spans="1:17" ht="15.5">
      <c r="A42" s="23">
        <f t="shared" si="1"/>
        <v>0</v>
      </c>
      <c r="B42" s="37"/>
      <c r="C42" s="33"/>
      <c r="D42" s="33"/>
      <c r="E42" s="39"/>
      <c r="F42" s="34"/>
      <c r="G42" s="34"/>
      <c r="H42" s="34"/>
      <c r="I42" s="34"/>
      <c r="J42" s="34"/>
      <c r="K42" s="34"/>
      <c r="L42" s="35"/>
      <c r="M42" s="28"/>
      <c r="N42" s="5"/>
      <c r="O42" s="30"/>
      <c r="P42" s="5"/>
      <c r="Q42" s="5"/>
    </row>
    <row r="43" spans="1:17" ht="15.5">
      <c r="A43" s="23">
        <f t="shared" si="1"/>
        <v>0</v>
      </c>
      <c r="B43" s="37"/>
      <c r="C43" s="33"/>
      <c r="D43" s="33"/>
      <c r="E43" s="39"/>
      <c r="F43" s="34"/>
      <c r="G43" s="34"/>
      <c r="H43" s="34"/>
      <c r="I43" s="34"/>
      <c r="J43" s="34"/>
      <c r="K43" s="34"/>
      <c r="L43" s="35"/>
      <c r="M43" s="28"/>
      <c r="N43" s="5"/>
      <c r="O43" s="30"/>
      <c r="P43" s="5"/>
      <c r="Q43" s="5"/>
    </row>
    <row r="44" spans="1:17" ht="15.5">
      <c r="A44" s="23">
        <f t="shared" si="1"/>
        <v>0</v>
      </c>
      <c r="B44" s="37"/>
      <c r="C44" s="33"/>
      <c r="D44" s="33"/>
      <c r="E44" s="39"/>
      <c r="F44" s="34"/>
      <c r="G44" s="34"/>
      <c r="H44" s="34"/>
      <c r="I44" s="34"/>
      <c r="J44" s="34"/>
      <c r="K44" s="34"/>
      <c r="L44" s="35"/>
      <c r="M44" s="28"/>
      <c r="N44" s="5"/>
      <c r="O44" s="30"/>
      <c r="P44" s="5"/>
      <c r="Q44" s="5"/>
    </row>
    <row r="45" spans="1:17" ht="15.5">
      <c r="A45" s="23">
        <f t="shared" si="1"/>
        <v>0</v>
      </c>
      <c r="B45" s="37"/>
      <c r="C45" s="33"/>
      <c r="D45" s="33"/>
      <c r="E45" s="39"/>
      <c r="F45" s="28"/>
      <c r="G45" s="34"/>
      <c r="H45" s="34"/>
      <c r="I45" s="34"/>
      <c r="J45" s="34"/>
      <c r="K45" s="34"/>
      <c r="L45" s="35"/>
      <c r="M45" s="28"/>
      <c r="N45" s="5"/>
      <c r="O45" s="30"/>
      <c r="P45" s="5"/>
      <c r="Q45" s="5"/>
    </row>
    <row r="46" spans="1:17" ht="15.5">
      <c r="A46" s="23">
        <f t="shared" si="1"/>
        <v>0</v>
      </c>
      <c r="B46" s="37"/>
      <c r="C46" s="33"/>
      <c r="D46" s="33"/>
      <c r="E46" s="39"/>
      <c r="F46" s="34"/>
      <c r="G46" s="34"/>
      <c r="H46" s="34"/>
      <c r="I46" s="34"/>
      <c r="J46" s="34"/>
      <c r="K46" s="34"/>
      <c r="L46" s="35"/>
      <c r="M46" s="38"/>
      <c r="N46" s="5"/>
      <c r="O46" s="30"/>
      <c r="P46" s="5"/>
      <c r="Q46" s="5"/>
    </row>
    <row r="47" spans="1:17" ht="15.5">
      <c r="A47" s="23">
        <f t="shared" si="1"/>
        <v>0</v>
      </c>
      <c r="B47" s="37"/>
      <c r="C47" s="33"/>
      <c r="D47" s="33"/>
      <c r="E47" s="39"/>
      <c r="F47" s="34"/>
      <c r="G47" s="34"/>
      <c r="H47" s="34"/>
      <c r="I47" s="34"/>
      <c r="J47" s="34"/>
      <c r="K47" s="34"/>
      <c r="L47" s="35"/>
      <c r="M47" s="28"/>
      <c r="N47" s="5"/>
      <c r="O47" s="30"/>
      <c r="P47" s="5"/>
      <c r="Q47" s="5"/>
    </row>
    <row r="48" spans="1:17" ht="15.5">
      <c r="A48" s="23">
        <f t="shared" si="1"/>
        <v>0</v>
      </c>
      <c r="B48" s="37"/>
      <c r="C48" s="33"/>
      <c r="D48" s="33"/>
      <c r="E48" s="39"/>
      <c r="F48" s="34"/>
      <c r="G48" s="34"/>
      <c r="H48" s="34"/>
      <c r="I48" s="34"/>
      <c r="J48" s="34"/>
      <c r="K48" s="34"/>
      <c r="L48" s="35"/>
      <c r="M48" s="28"/>
      <c r="N48" s="5"/>
      <c r="O48" s="30"/>
      <c r="P48" s="5"/>
      <c r="Q48" s="5"/>
    </row>
    <row r="49" spans="1:17" ht="15.5">
      <c r="A49" s="23">
        <f t="shared" si="1"/>
        <v>0</v>
      </c>
      <c r="B49" s="37"/>
      <c r="C49" s="33"/>
      <c r="D49" s="33"/>
      <c r="E49" s="39"/>
      <c r="F49" s="34"/>
      <c r="G49" s="34"/>
      <c r="H49" s="34"/>
      <c r="I49" s="34"/>
      <c r="J49" s="34"/>
      <c r="K49" s="34"/>
      <c r="L49" s="35"/>
      <c r="M49" s="28"/>
      <c r="N49" s="5"/>
      <c r="O49" s="30"/>
      <c r="P49" s="5"/>
      <c r="Q49" s="5"/>
    </row>
    <row r="50" spans="1:17" ht="15.5">
      <c r="A50" s="23">
        <f t="shared" si="1"/>
        <v>0</v>
      </c>
      <c r="B50" s="37"/>
      <c r="C50" s="33"/>
      <c r="D50" s="33"/>
      <c r="E50" s="39"/>
      <c r="F50" s="34"/>
      <c r="G50" s="34"/>
      <c r="H50" s="34"/>
      <c r="I50" s="34"/>
      <c r="J50" s="34"/>
      <c r="K50" s="34"/>
      <c r="L50" s="35"/>
      <c r="M50" s="28"/>
      <c r="N50" s="5"/>
      <c r="O50" s="30"/>
      <c r="P50" s="5"/>
      <c r="Q50" s="5"/>
    </row>
    <row r="51" spans="1:17" ht="15.5">
      <c r="A51" s="23">
        <f t="shared" si="1"/>
        <v>0</v>
      </c>
      <c r="B51" s="37"/>
      <c r="C51" s="33"/>
      <c r="D51" s="33"/>
      <c r="E51" s="39"/>
      <c r="F51" s="34"/>
      <c r="G51" s="34"/>
      <c r="H51" s="34"/>
      <c r="I51" s="34"/>
      <c r="J51" s="34"/>
      <c r="K51" s="34"/>
      <c r="L51" s="35"/>
      <c r="M51" s="28"/>
      <c r="N51" s="5"/>
      <c r="O51" s="30"/>
      <c r="P51" s="5"/>
      <c r="Q51" s="5"/>
    </row>
    <row r="52" spans="1:17" ht="15.5">
      <c r="A52" s="23">
        <f t="shared" si="1"/>
        <v>0</v>
      </c>
      <c r="B52" s="37"/>
      <c r="C52" s="33"/>
      <c r="D52" s="33"/>
      <c r="E52" s="39"/>
      <c r="F52" s="34"/>
      <c r="G52" s="34"/>
      <c r="H52" s="34"/>
      <c r="I52" s="34"/>
      <c r="J52" s="34"/>
      <c r="K52" s="34"/>
      <c r="L52" s="35"/>
      <c r="M52" s="28"/>
      <c r="N52" s="5"/>
      <c r="O52" s="30"/>
      <c r="P52" s="5"/>
      <c r="Q52" s="5"/>
    </row>
    <row r="53" spans="1:17" ht="15.5">
      <c r="A53" s="23">
        <f t="shared" si="1"/>
        <v>0</v>
      </c>
      <c r="B53" s="37"/>
      <c r="C53" s="33"/>
      <c r="D53" s="33"/>
      <c r="E53" s="39"/>
      <c r="F53" s="34"/>
      <c r="G53" s="34"/>
      <c r="H53" s="34"/>
      <c r="I53" s="34"/>
      <c r="J53" s="34"/>
      <c r="K53" s="34"/>
      <c r="L53" s="35"/>
      <c r="M53" s="28"/>
      <c r="N53" s="5"/>
      <c r="O53" s="30"/>
      <c r="P53" s="5"/>
      <c r="Q53" s="5"/>
    </row>
    <row r="54" spans="1:17" ht="15.5">
      <c r="A54" s="23">
        <f t="shared" si="1"/>
        <v>0</v>
      </c>
      <c r="B54" s="37"/>
      <c r="C54" s="33"/>
      <c r="D54" s="33"/>
      <c r="E54" s="39"/>
      <c r="F54" s="34"/>
      <c r="G54" s="34"/>
      <c r="H54" s="34"/>
      <c r="I54" s="34"/>
      <c r="J54" s="34"/>
      <c r="K54" s="34"/>
      <c r="L54" s="35"/>
      <c r="M54" s="28"/>
      <c r="N54" s="5"/>
      <c r="O54" s="30"/>
      <c r="P54" s="5"/>
      <c r="Q54" s="5"/>
    </row>
    <row r="55" spans="1:17" ht="14">
      <c r="A55" s="23">
        <f t="shared" si="1"/>
        <v>0</v>
      </c>
      <c r="B55" s="37"/>
      <c r="C55" s="33"/>
      <c r="D55" s="33"/>
      <c r="E55" s="39"/>
      <c r="F55" s="33"/>
      <c r="G55" s="33"/>
      <c r="H55" s="33"/>
      <c r="I55" s="33"/>
      <c r="J55" s="33"/>
      <c r="K55" s="33"/>
      <c r="L55" s="37"/>
      <c r="M55" s="40"/>
      <c r="N55" s="5"/>
      <c r="O55" s="30"/>
      <c r="P55" s="5"/>
      <c r="Q55" s="5"/>
    </row>
    <row r="56" spans="1:17" ht="14">
      <c r="A56" s="23">
        <f t="shared" si="1"/>
        <v>0</v>
      </c>
      <c r="B56" s="37"/>
      <c r="C56" s="33"/>
      <c r="D56" s="33"/>
      <c r="E56" s="39"/>
      <c r="F56" s="33"/>
      <c r="G56" s="33"/>
      <c r="H56" s="33"/>
      <c r="I56" s="33"/>
      <c r="J56" s="33"/>
      <c r="K56" s="33"/>
      <c r="L56" s="37"/>
      <c r="M56" s="40"/>
      <c r="N56" s="5"/>
      <c r="O56" s="30"/>
      <c r="P56" s="5"/>
      <c r="Q56" s="5"/>
    </row>
    <row r="57" spans="1:17" ht="14">
      <c r="A57" s="23">
        <f t="shared" si="1"/>
        <v>0</v>
      </c>
      <c r="B57" s="37"/>
      <c r="C57" s="33"/>
      <c r="D57" s="33"/>
      <c r="E57" s="39"/>
      <c r="F57" s="33"/>
      <c r="G57" s="33"/>
      <c r="H57" s="33"/>
      <c r="I57" s="33"/>
      <c r="J57" s="33"/>
      <c r="K57" s="33"/>
      <c r="L57" s="37"/>
      <c r="M57" s="40"/>
      <c r="N57" s="5"/>
      <c r="O57" s="30"/>
      <c r="P57" s="5"/>
      <c r="Q57" s="5"/>
    </row>
    <row r="58" spans="1:17" ht="14">
      <c r="A58" s="23">
        <f t="shared" si="1"/>
        <v>0</v>
      </c>
      <c r="B58" s="37"/>
      <c r="C58" s="33"/>
      <c r="D58" s="33"/>
      <c r="E58" s="39"/>
      <c r="F58" s="33"/>
      <c r="G58" s="33"/>
      <c r="H58" s="33"/>
      <c r="I58" s="33"/>
      <c r="J58" s="33"/>
      <c r="K58" s="33"/>
      <c r="L58" s="37"/>
      <c r="M58" s="40"/>
      <c r="N58" s="5"/>
      <c r="O58" s="30"/>
      <c r="P58" s="5"/>
      <c r="Q58" s="5"/>
    </row>
    <row r="59" spans="1:17" ht="14">
      <c r="A59" s="23">
        <f t="shared" si="1"/>
        <v>0</v>
      </c>
      <c r="B59" s="37"/>
      <c r="C59" s="33"/>
      <c r="D59" s="33"/>
      <c r="E59" s="39"/>
      <c r="F59" s="33"/>
      <c r="G59" s="33"/>
      <c r="H59" s="33"/>
      <c r="I59" s="33"/>
      <c r="J59" s="33"/>
      <c r="K59" s="33"/>
      <c r="L59" s="37"/>
      <c r="M59" s="40"/>
      <c r="N59" s="5"/>
      <c r="O59" s="30"/>
      <c r="P59" s="5"/>
      <c r="Q59" s="5"/>
    </row>
    <row r="60" spans="1:17" ht="14">
      <c r="A60" s="23">
        <f t="shared" si="1"/>
        <v>0</v>
      </c>
      <c r="B60" s="37"/>
      <c r="C60" s="33"/>
      <c r="D60" s="33"/>
      <c r="E60" s="39"/>
      <c r="F60" s="33"/>
      <c r="G60" s="33"/>
      <c r="H60" s="33"/>
      <c r="I60" s="33"/>
      <c r="J60" s="33"/>
      <c r="K60" s="33"/>
      <c r="L60" s="37"/>
      <c r="M60" s="40"/>
      <c r="N60" s="5"/>
      <c r="O60" s="30"/>
      <c r="P60" s="5"/>
      <c r="Q60" s="5"/>
    </row>
    <row r="61" spans="1:17" ht="14">
      <c r="A61" s="23">
        <f t="shared" si="1"/>
        <v>0</v>
      </c>
      <c r="B61" s="37"/>
      <c r="C61" s="33"/>
      <c r="D61" s="33"/>
      <c r="E61" s="39"/>
      <c r="F61" s="33"/>
      <c r="G61" s="33"/>
      <c r="H61" s="33"/>
      <c r="I61" s="33"/>
      <c r="J61" s="33"/>
      <c r="K61" s="33"/>
      <c r="L61" s="37"/>
      <c r="M61" s="40"/>
      <c r="N61" s="5"/>
      <c r="O61" s="30"/>
      <c r="P61" s="5"/>
      <c r="Q61" s="5"/>
    </row>
    <row r="62" spans="1:17" ht="14">
      <c r="A62" s="23">
        <f t="shared" si="1"/>
        <v>0</v>
      </c>
      <c r="B62" s="37"/>
      <c r="C62" s="33"/>
      <c r="D62" s="33"/>
      <c r="E62" s="39"/>
      <c r="F62" s="33"/>
      <c r="G62" s="33"/>
      <c r="H62" s="33"/>
      <c r="I62" s="33"/>
      <c r="J62" s="33"/>
      <c r="K62" s="33"/>
      <c r="L62" s="37"/>
      <c r="M62" s="40"/>
      <c r="N62" s="5"/>
      <c r="O62" s="30"/>
      <c r="P62" s="5"/>
      <c r="Q62" s="5"/>
    </row>
    <row r="63" spans="1:17" ht="14">
      <c r="A63" s="23">
        <f t="shared" si="1"/>
        <v>0</v>
      </c>
      <c r="B63" s="37"/>
      <c r="C63" s="33"/>
      <c r="D63" s="33"/>
      <c r="E63" s="39"/>
      <c r="F63" s="33"/>
      <c r="G63" s="33"/>
      <c r="H63" s="33"/>
      <c r="I63" s="33"/>
      <c r="J63" s="33"/>
      <c r="K63" s="33"/>
      <c r="L63" s="37"/>
      <c r="M63" s="40"/>
      <c r="N63" s="5"/>
      <c r="O63" s="30"/>
      <c r="P63" s="5"/>
      <c r="Q63" s="5"/>
    </row>
    <row r="64" spans="1:17" ht="14">
      <c r="A64" s="23">
        <f t="shared" si="1"/>
        <v>0</v>
      </c>
      <c r="B64" s="37"/>
      <c r="C64" s="33"/>
      <c r="D64" s="33"/>
      <c r="E64" s="39"/>
      <c r="F64" s="33"/>
      <c r="G64" s="33"/>
      <c r="H64" s="33"/>
      <c r="I64" s="33"/>
      <c r="J64" s="33"/>
      <c r="K64" s="33"/>
      <c r="L64" s="37"/>
      <c r="M64" s="40"/>
      <c r="O64" s="41"/>
    </row>
    <row r="65" spans="1:15" ht="14">
      <c r="A65" s="23">
        <f t="shared" si="1"/>
        <v>0</v>
      </c>
      <c r="B65" s="37"/>
      <c r="C65" s="33"/>
      <c r="D65" s="33"/>
      <c r="E65" s="39"/>
      <c r="F65" s="33"/>
      <c r="G65" s="33"/>
      <c r="H65" s="33"/>
      <c r="I65" s="33"/>
      <c r="J65" s="33"/>
      <c r="K65" s="33"/>
      <c r="L65" s="37"/>
      <c r="M65" s="40"/>
      <c r="O65" s="41"/>
    </row>
    <row r="66" spans="1:15" ht="14">
      <c r="A66" s="23">
        <f t="shared" si="1"/>
        <v>0</v>
      </c>
      <c r="B66" s="37"/>
      <c r="C66" s="33"/>
      <c r="D66" s="33"/>
      <c r="E66" s="39"/>
      <c r="F66" s="33"/>
      <c r="G66" s="33"/>
      <c r="H66" s="33"/>
      <c r="I66" s="33"/>
      <c r="J66" s="33"/>
      <c r="K66" s="33"/>
      <c r="L66" s="37"/>
      <c r="M66" s="40"/>
      <c r="O66" s="41"/>
    </row>
    <row r="67" spans="1:15" ht="14">
      <c r="A67" s="23">
        <f t="shared" si="1"/>
        <v>0</v>
      </c>
      <c r="B67" s="37"/>
      <c r="C67" s="33"/>
      <c r="D67" s="33"/>
      <c r="E67" s="39"/>
      <c r="F67" s="33"/>
      <c r="G67" s="33"/>
      <c r="H67" s="33"/>
      <c r="I67" s="33"/>
      <c r="J67" s="33"/>
      <c r="K67" s="33"/>
      <c r="L67" s="37"/>
      <c r="M67" s="40"/>
      <c r="O67" s="41"/>
    </row>
    <row r="68" spans="1:15" ht="14">
      <c r="A68" s="23">
        <f t="shared" si="1"/>
        <v>0</v>
      </c>
      <c r="B68" s="37"/>
      <c r="C68" s="33"/>
      <c r="D68" s="33"/>
      <c r="E68" s="39"/>
      <c r="F68" s="33"/>
      <c r="G68" s="33"/>
      <c r="H68" s="33"/>
      <c r="I68" s="33"/>
      <c r="J68" s="33"/>
      <c r="K68" s="33"/>
      <c r="L68" s="37"/>
      <c r="M68" s="40"/>
      <c r="O68" s="41"/>
    </row>
    <row r="69" spans="1:15" ht="14">
      <c r="A69" s="23">
        <f t="shared" si="1"/>
        <v>0</v>
      </c>
      <c r="B69" s="37"/>
      <c r="C69" s="33"/>
      <c r="D69" s="33"/>
      <c r="E69" s="39"/>
      <c r="F69" s="33"/>
      <c r="G69" s="33"/>
      <c r="H69" s="33"/>
      <c r="I69" s="33"/>
      <c r="J69" s="33"/>
      <c r="K69" s="33"/>
      <c r="L69" s="37"/>
      <c r="M69" s="40"/>
      <c r="O69" s="41"/>
    </row>
    <row r="70" spans="1:15" ht="14">
      <c r="A70" s="23">
        <f t="shared" si="1"/>
        <v>0</v>
      </c>
      <c r="B70" s="37"/>
      <c r="C70" s="33"/>
      <c r="D70" s="33"/>
      <c r="E70" s="39"/>
      <c r="F70" s="33"/>
      <c r="G70" s="33"/>
      <c r="H70" s="33"/>
      <c r="I70" s="33"/>
      <c r="J70" s="33"/>
      <c r="K70" s="33"/>
      <c r="L70" s="37"/>
      <c r="M70" s="40"/>
      <c r="O70" s="41"/>
    </row>
    <row r="71" spans="1:15" ht="14">
      <c r="A71" s="23">
        <f t="shared" si="1"/>
        <v>0</v>
      </c>
      <c r="B71" s="37"/>
      <c r="C71" s="33"/>
      <c r="D71" s="33"/>
      <c r="E71" s="39"/>
      <c r="F71" s="33"/>
      <c r="G71" s="33"/>
      <c r="H71" s="33"/>
      <c r="I71" s="33"/>
      <c r="J71" s="33"/>
      <c r="K71" s="33"/>
      <c r="L71" s="37"/>
      <c r="M71" s="40"/>
      <c r="O71" s="41"/>
    </row>
    <row r="72" spans="1:15" ht="14">
      <c r="A72" s="23">
        <f t="shared" si="1"/>
        <v>0</v>
      </c>
      <c r="B72" s="37"/>
      <c r="C72" s="33"/>
      <c r="D72" s="33"/>
      <c r="E72" s="39"/>
      <c r="F72" s="33"/>
      <c r="G72" s="33"/>
      <c r="H72" s="33"/>
      <c r="I72" s="33"/>
      <c r="J72" s="33"/>
      <c r="K72" s="33"/>
      <c r="L72" s="37"/>
      <c r="M72" s="40"/>
      <c r="O72" s="41"/>
    </row>
    <row r="73" spans="1:15" ht="14">
      <c r="A73" s="23">
        <f t="shared" si="1"/>
        <v>0</v>
      </c>
      <c r="B73" s="37"/>
      <c r="C73" s="33"/>
      <c r="D73" s="33"/>
      <c r="E73" s="39"/>
      <c r="F73" s="33"/>
      <c r="G73" s="33"/>
      <c r="H73" s="33"/>
      <c r="I73" s="33"/>
      <c r="J73" s="33"/>
      <c r="K73" s="33"/>
      <c r="L73" s="37"/>
      <c r="M73" s="40"/>
      <c r="O73" s="41"/>
    </row>
    <row r="74" spans="1:15" ht="14">
      <c r="A74" s="23">
        <f t="shared" si="1"/>
        <v>0</v>
      </c>
      <c r="B74" s="37"/>
      <c r="C74" s="33"/>
      <c r="D74" s="33"/>
      <c r="E74" s="39"/>
      <c r="F74" s="33"/>
      <c r="G74" s="33"/>
      <c r="H74" s="33"/>
      <c r="I74" s="33"/>
      <c r="J74" s="33"/>
      <c r="K74" s="33"/>
      <c r="L74" s="37"/>
      <c r="M74" s="40"/>
      <c r="O74" s="41"/>
    </row>
    <row r="75" spans="1:15" ht="14">
      <c r="A75" s="23">
        <f t="shared" si="1"/>
        <v>0</v>
      </c>
      <c r="B75" s="37"/>
      <c r="C75" s="33"/>
      <c r="D75" s="33"/>
      <c r="E75" s="39"/>
      <c r="F75" s="33"/>
      <c r="G75" s="33"/>
      <c r="H75" s="33"/>
      <c r="I75" s="33"/>
      <c r="J75" s="33"/>
      <c r="K75" s="33"/>
      <c r="L75" s="37"/>
      <c r="M75" s="40"/>
      <c r="O75" s="41"/>
    </row>
    <row r="76" spans="1:15" ht="14">
      <c r="A76" s="23">
        <f t="shared" si="1"/>
        <v>0</v>
      </c>
      <c r="B76" s="37"/>
      <c r="C76" s="33"/>
      <c r="D76" s="33"/>
      <c r="E76" s="39"/>
      <c r="F76" s="33"/>
      <c r="G76" s="33"/>
      <c r="H76" s="33"/>
      <c r="I76" s="33"/>
      <c r="J76" s="33"/>
      <c r="K76" s="33"/>
      <c r="L76" s="37"/>
      <c r="M76" s="40"/>
      <c r="O76" s="41"/>
    </row>
    <row r="77" spans="1:15" ht="14">
      <c r="A77" s="23">
        <f t="shared" si="1"/>
        <v>0</v>
      </c>
      <c r="B77" s="32"/>
      <c r="C77" s="37"/>
      <c r="D77" s="33"/>
      <c r="E77" s="33"/>
      <c r="F77" s="39"/>
      <c r="G77" s="33"/>
      <c r="H77" s="33"/>
      <c r="I77" s="33"/>
      <c r="J77" s="33"/>
      <c r="K77" s="33"/>
      <c r="L77" s="33"/>
      <c r="M77" s="37"/>
      <c r="N77" s="40"/>
      <c r="O77" s="41"/>
    </row>
    <row r="78" spans="1:15" ht="14">
      <c r="A78" s="23">
        <f t="shared" si="1"/>
        <v>0</v>
      </c>
      <c r="B78" s="32"/>
      <c r="C78" s="37"/>
      <c r="D78" s="33"/>
      <c r="E78" s="33"/>
      <c r="F78" s="39"/>
      <c r="G78" s="33"/>
      <c r="H78" s="33"/>
      <c r="I78" s="33"/>
      <c r="J78" s="33"/>
      <c r="K78" s="33"/>
      <c r="L78" s="33"/>
      <c r="M78" s="37"/>
      <c r="N78" s="40"/>
      <c r="O78" s="41"/>
    </row>
    <row r="79" spans="1:15" ht="14">
      <c r="A79" s="23">
        <f t="shared" si="1"/>
        <v>0</v>
      </c>
      <c r="B79" s="32"/>
      <c r="C79" s="37"/>
      <c r="D79" s="33"/>
      <c r="E79" s="33"/>
      <c r="F79" s="39"/>
      <c r="G79" s="33"/>
      <c r="H79" s="33"/>
      <c r="I79" s="33"/>
      <c r="J79" s="33"/>
      <c r="K79" s="33"/>
      <c r="L79" s="33"/>
      <c r="M79" s="37"/>
      <c r="N79" s="40"/>
      <c r="O79" s="41"/>
    </row>
    <row r="80" spans="1:15" ht="14">
      <c r="A80" s="23">
        <f t="shared" si="1"/>
        <v>0</v>
      </c>
      <c r="B80" s="32"/>
      <c r="C80" s="37"/>
      <c r="D80" s="33"/>
      <c r="E80" s="33"/>
      <c r="F80" s="39"/>
      <c r="G80" s="33"/>
      <c r="H80" s="33"/>
      <c r="I80" s="33"/>
      <c r="J80" s="33"/>
      <c r="K80" s="33"/>
      <c r="L80" s="33"/>
      <c r="M80" s="37"/>
      <c r="N80" s="40"/>
      <c r="O80" s="41"/>
    </row>
    <row r="81" spans="1:14" ht="14">
      <c r="A81" s="23">
        <f t="shared" si="1"/>
        <v>0</v>
      </c>
      <c r="B81" s="32"/>
      <c r="C81" s="37"/>
      <c r="D81" s="33"/>
      <c r="E81" s="33"/>
      <c r="F81" s="39"/>
      <c r="G81" s="33"/>
      <c r="H81" s="33"/>
      <c r="I81" s="33"/>
      <c r="J81" s="33"/>
      <c r="K81" s="33"/>
      <c r="L81" s="33"/>
      <c r="M81" s="37"/>
      <c r="N81" s="40"/>
    </row>
    <row r="82" spans="1:14" ht="14">
      <c r="A82" s="23">
        <f t="shared" si="1"/>
        <v>0</v>
      </c>
      <c r="B82" s="32"/>
      <c r="C82" s="37"/>
      <c r="D82" s="33"/>
      <c r="E82" s="33"/>
      <c r="F82" s="39"/>
      <c r="G82" s="33"/>
      <c r="H82" s="33"/>
      <c r="I82" s="33"/>
      <c r="J82" s="33"/>
      <c r="K82" s="33"/>
      <c r="L82" s="33"/>
      <c r="M82" s="37"/>
      <c r="N82" s="40"/>
    </row>
    <row r="83" spans="1:14" ht="14">
      <c r="A83" s="23">
        <f t="shared" si="1"/>
        <v>0</v>
      </c>
      <c r="B83" s="32"/>
      <c r="C83" s="37"/>
      <c r="D83" s="33"/>
      <c r="E83" s="33"/>
      <c r="F83" s="39"/>
      <c r="G83" s="33"/>
      <c r="H83" s="33"/>
      <c r="I83" s="33"/>
      <c r="J83" s="33"/>
      <c r="K83" s="33"/>
      <c r="L83" s="33"/>
      <c r="M83" s="37"/>
      <c r="N83" s="40"/>
    </row>
    <row r="84" spans="1:14" ht="14">
      <c r="A84" s="23">
        <f t="shared" si="1"/>
        <v>0</v>
      </c>
      <c r="B84" s="32"/>
      <c r="C84" s="37"/>
      <c r="D84" s="33"/>
      <c r="E84" s="33"/>
      <c r="F84" s="39"/>
      <c r="G84" s="33"/>
      <c r="H84" s="33"/>
      <c r="I84" s="33"/>
      <c r="J84" s="33"/>
      <c r="K84" s="33"/>
      <c r="L84" s="33"/>
      <c r="M84" s="37"/>
      <c r="N84" s="40"/>
    </row>
    <row r="85" spans="1:14" ht="14">
      <c r="A85" s="23">
        <f t="shared" si="1"/>
        <v>0</v>
      </c>
      <c r="B85" s="32"/>
      <c r="C85" s="37"/>
      <c r="D85" s="33"/>
      <c r="E85" s="33"/>
      <c r="F85" s="39"/>
      <c r="G85" s="33"/>
      <c r="H85" s="33"/>
      <c r="I85" s="33"/>
      <c r="J85" s="33"/>
      <c r="K85" s="33"/>
      <c r="L85" s="33"/>
      <c r="M85" s="37"/>
      <c r="N85" s="40"/>
    </row>
    <row r="86" spans="1:14" ht="12.5">
      <c r="M86" s="42"/>
    </row>
    <row r="87" spans="1:14" ht="12.5">
      <c r="M87" s="42"/>
    </row>
    <row r="88" spans="1:14" ht="12.5">
      <c r="M88" s="42"/>
    </row>
    <row r="89" spans="1:14" ht="12.5">
      <c r="M89" s="42"/>
    </row>
    <row r="90" spans="1:14" ht="12.5">
      <c r="M90" s="42"/>
    </row>
    <row r="91" spans="1:14" ht="12.5">
      <c r="M91" s="42"/>
    </row>
    <row r="92" spans="1:14" ht="12.5">
      <c r="M92" s="42"/>
    </row>
    <row r="93" spans="1:14" ht="12.5">
      <c r="M93" s="42"/>
    </row>
    <row r="94" spans="1:14" ht="12.5">
      <c r="M94" s="42"/>
    </row>
    <row r="95" spans="1:14" ht="12.5">
      <c r="M95" s="42"/>
    </row>
    <row r="96" spans="1:14" ht="12.5">
      <c r="M96" s="42"/>
    </row>
    <row r="97" spans="13:13" ht="12.5">
      <c r="M97" s="42"/>
    </row>
    <row r="98" spans="13:13" ht="12.5">
      <c r="M98" s="42"/>
    </row>
    <row r="99" spans="13:13" ht="12.5">
      <c r="M99" s="42"/>
    </row>
    <row r="100" spans="13:13" ht="12.5">
      <c r="M100" s="42"/>
    </row>
    <row r="101" spans="13:13" ht="12.5">
      <c r="M101" s="42"/>
    </row>
    <row r="102" spans="13:13" ht="12.5">
      <c r="M102" s="42"/>
    </row>
    <row r="103" spans="13:13" ht="12.5">
      <c r="M103" s="42"/>
    </row>
    <row r="104" spans="13:13" ht="12.5">
      <c r="M104" s="42"/>
    </row>
    <row r="105" spans="13:13" ht="12.5">
      <c r="M105" s="42"/>
    </row>
    <row r="106" spans="13:13" ht="12.5">
      <c r="M106" s="42"/>
    </row>
    <row r="107" spans="13:13" ht="12.5">
      <c r="M107" s="42"/>
    </row>
    <row r="108" spans="13:13" ht="12.5">
      <c r="M108" s="42"/>
    </row>
    <row r="109" spans="13:13" ht="12.5">
      <c r="M109" s="42"/>
    </row>
    <row r="110" spans="13:13" ht="12.5">
      <c r="M110" s="42"/>
    </row>
    <row r="111" spans="13:13" ht="12.5">
      <c r="M111" s="42"/>
    </row>
    <row r="112" spans="13:13" ht="12.5">
      <c r="M112" s="42"/>
    </row>
    <row r="113" spans="13:13" ht="12.5">
      <c r="M113" s="42"/>
    </row>
    <row r="114" spans="13:13" ht="12.5">
      <c r="M114" s="42"/>
    </row>
    <row r="115" spans="13:13" ht="12.5">
      <c r="M115" s="42"/>
    </row>
    <row r="116" spans="13:13" ht="12.5">
      <c r="M116" s="42"/>
    </row>
    <row r="117" spans="13:13" ht="12.5">
      <c r="M117" s="42"/>
    </row>
    <row r="118" spans="13:13" ht="12.5">
      <c r="M118" s="42"/>
    </row>
    <row r="119" spans="13:13" ht="12.5">
      <c r="M119" s="42"/>
    </row>
    <row r="120" spans="13:13" ht="12.5">
      <c r="M120" s="42"/>
    </row>
    <row r="121" spans="13:13" ht="12.5">
      <c r="M121" s="42"/>
    </row>
    <row r="122" spans="13:13" ht="12.5">
      <c r="M122" s="42"/>
    </row>
    <row r="123" spans="13:13" ht="12.5">
      <c r="M123" s="42"/>
    </row>
    <row r="124" spans="13:13" ht="12.5">
      <c r="M124" s="42"/>
    </row>
    <row r="125" spans="13:13" ht="12.5">
      <c r="M125" s="42"/>
    </row>
    <row r="126" spans="13:13" ht="12.5">
      <c r="M126" s="42"/>
    </row>
    <row r="127" spans="13:13" ht="12.5">
      <c r="M127" s="42"/>
    </row>
    <row r="128" spans="13:13" ht="12.5">
      <c r="M128" s="42"/>
    </row>
    <row r="129" spans="13:13" ht="12.5">
      <c r="M129" s="42"/>
    </row>
    <row r="130" spans="13:13" ht="12.5">
      <c r="M130" s="42"/>
    </row>
    <row r="131" spans="13:13" ht="12.5">
      <c r="M131" s="42"/>
    </row>
    <row r="132" spans="13:13" ht="12.5">
      <c r="M132" s="42"/>
    </row>
    <row r="133" spans="13:13" ht="12.5">
      <c r="M133" s="42"/>
    </row>
    <row r="134" spans="13:13" ht="12.5">
      <c r="M134" s="42"/>
    </row>
    <row r="135" spans="13:13" ht="12.5">
      <c r="M135" s="42"/>
    </row>
    <row r="136" spans="13:13" ht="12.5">
      <c r="M136" s="42"/>
    </row>
    <row r="137" spans="13:13" ht="12.5">
      <c r="M137" s="42"/>
    </row>
    <row r="138" spans="13:13" ht="12.5">
      <c r="M138" s="42"/>
    </row>
    <row r="139" spans="13:13" ht="12.5">
      <c r="M139" s="42"/>
    </row>
    <row r="140" spans="13:13" ht="12.5">
      <c r="M140" s="42"/>
    </row>
    <row r="141" spans="13:13" ht="12.5">
      <c r="M141" s="42"/>
    </row>
    <row r="142" spans="13:13" ht="12.5">
      <c r="M142" s="42"/>
    </row>
    <row r="143" spans="13:13" ht="12.5">
      <c r="M143" s="42"/>
    </row>
    <row r="144" spans="13:13" ht="12.5">
      <c r="M144" s="42"/>
    </row>
    <row r="145" spans="13:13" ht="12.5">
      <c r="M145" s="42"/>
    </row>
    <row r="146" spans="13:13" ht="12.5">
      <c r="M146" s="42"/>
    </row>
    <row r="147" spans="13:13" ht="12.5">
      <c r="M147" s="42"/>
    </row>
    <row r="148" spans="13:13" ht="12.5">
      <c r="M148" s="42"/>
    </row>
    <row r="149" spans="13:13" ht="12.5">
      <c r="M149" s="42"/>
    </row>
    <row r="150" spans="13:13" ht="12.5">
      <c r="M150" s="42"/>
    </row>
    <row r="151" spans="13:13" ht="12.5">
      <c r="M151" s="42"/>
    </row>
    <row r="152" spans="13:13" ht="12.5">
      <c r="M152" s="42"/>
    </row>
    <row r="153" spans="13:13" ht="12.5">
      <c r="M153" s="42"/>
    </row>
    <row r="154" spans="13:13" ht="12.5">
      <c r="M154" s="42"/>
    </row>
    <row r="155" spans="13:13" ht="12.5">
      <c r="M155" s="42"/>
    </row>
    <row r="156" spans="13:13" ht="12.5">
      <c r="M156" s="42"/>
    </row>
    <row r="157" spans="13:13" ht="12.5">
      <c r="M157" s="42"/>
    </row>
    <row r="158" spans="13:13" ht="12.5">
      <c r="M158" s="42"/>
    </row>
    <row r="159" spans="13:13" ht="12.5">
      <c r="M159" s="42"/>
    </row>
    <row r="160" spans="13:13" ht="12.5">
      <c r="M160" s="42"/>
    </row>
    <row r="161" spans="13:13" ht="12.5">
      <c r="M161" s="42"/>
    </row>
    <row r="162" spans="13:13" ht="12.5">
      <c r="M162" s="42"/>
    </row>
    <row r="163" spans="13:13" ht="12.5">
      <c r="M163" s="42"/>
    </row>
    <row r="164" spans="13:13" ht="12.5">
      <c r="M164" s="42"/>
    </row>
    <row r="165" spans="13:13" ht="12.5">
      <c r="M165" s="42"/>
    </row>
    <row r="166" spans="13:13" ht="12.5">
      <c r="M166" s="42"/>
    </row>
    <row r="167" spans="13:13" ht="12.5">
      <c r="M167" s="42"/>
    </row>
    <row r="168" spans="13:13" ht="12.5">
      <c r="M168" s="42"/>
    </row>
    <row r="169" spans="13:13" ht="12.5">
      <c r="M169" s="42"/>
    </row>
    <row r="170" spans="13:13" ht="12.5">
      <c r="M170" s="42"/>
    </row>
    <row r="171" spans="13:13" ht="12.5">
      <c r="M171" s="42"/>
    </row>
    <row r="172" spans="13:13" ht="12.5">
      <c r="M172" s="42"/>
    </row>
    <row r="173" spans="13:13" ht="12.5">
      <c r="M173" s="42"/>
    </row>
    <row r="174" spans="13:13" ht="12.5">
      <c r="M174" s="42"/>
    </row>
    <row r="175" spans="13:13" ht="12.5">
      <c r="M175" s="42"/>
    </row>
    <row r="176" spans="13:13" ht="12.5">
      <c r="M176" s="42"/>
    </row>
    <row r="177" spans="13:13" ht="12.5">
      <c r="M177" s="42"/>
    </row>
    <row r="178" spans="13:13" ht="12.5">
      <c r="M178" s="42"/>
    </row>
    <row r="179" spans="13:13" ht="12.5">
      <c r="M179" s="42"/>
    </row>
    <row r="180" spans="13:13" ht="12.5">
      <c r="M180" s="42"/>
    </row>
    <row r="181" spans="13:13" ht="12.5">
      <c r="M181" s="42"/>
    </row>
    <row r="182" spans="13:13" ht="12.5">
      <c r="M182" s="42"/>
    </row>
    <row r="183" spans="13:13" ht="12.5">
      <c r="M183" s="42"/>
    </row>
    <row r="184" spans="13:13" ht="12.5">
      <c r="M184" s="42"/>
    </row>
    <row r="185" spans="13:13" ht="12.5">
      <c r="M185" s="42"/>
    </row>
    <row r="186" spans="13:13" ht="12.5">
      <c r="M186" s="42"/>
    </row>
    <row r="187" spans="13:13" ht="12.5">
      <c r="M187" s="42"/>
    </row>
    <row r="188" spans="13:13" ht="12.5">
      <c r="M188" s="42"/>
    </row>
    <row r="189" spans="13:13" ht="12.5">
      <c r="M189" s="42"/>
    </row>
    <row r="190" spans="13:13" ht="12.5">
      <c r="M190" s="42"/>
    </row>
    <row r="191" spans="13:13" ht="12.5">
      <c r="M191" s="42"/>
    </row>
    <row r="192" spans="13:13" ht="12.5">
      <c r="M192" s="42"/>
    </row>
    <row r="193" spans="13:13" ht="12.5">
      <c r="M193" s="42"/>
    </row>
    <row r="194" spans="13:13" ht="12.5">
      <c r="M194" s="42"/>
    </row>
    <row r="195" spans="13:13" ht="12.5">
      <c r="M195" s="42"/>
    </row>
    <row r="196" spans="13:13" ht="12.5">
      <c r="M196" s="42"/>
    </row>
    <row r="197" spans="13:13" ht="12.5">
      <c r="M197" s="42"/>
    </row>
    <row r="198" spans="13:13" ht="12.5">
      <c r="M198" s="42"/>
    </row>
    <row r="199" spans="13:13" ht="12.5">
      <c r="M199" s="42"/>
    </row>
    <row r="200" spans="13:13" ht="12.5">
      <c r="M200" s="42"/>
    </row>
    <row r="201" spans="13:13" ht="12.5">
      <c r="M201" s="42"/>
    </row>
    <row r="202" spans="13:13" ht="12.5">
      <c r="M202" s="42"/>
    </row>
    <row r="203" spans="13:13" ht="12.5">
      <c r="M203" s="42"/>
    </row>
    <row r="204" spans="13:13" ht="12.5">
      <c r="M204" s="42"/>
    </row>
    <row r="205" spans="13:13" ht="12.5">
      <c r="M205" s="42"/>
    </row>
    <row r="206" spans="13:13" ht="12.5">
      <c r="M206" s="42"/>
    </row>
    <row r="207" spans="13:13" ht="12.5">
      <c r="M207" s="42"/>
    </row>
    <row r="208" spans="13:13" ht="12.5">
      <c r="M208" s="42"/>
    </row>
    <row r="209" spans="13:13" ht="12.5">
      <c r="M209" s="42"/>
    </row>
    <row r="210" spans="13:13" ht="12.5">
      <c r="M210" s="42"/>
    </row>
    <row r="211" spans="13:13" ht="12.5">
      <c r="M211" s="42"/>
    </row>
    <row r="212" spans="13:13" ht="12.5">
      <c r="M212" s="42"/>
    </row>
    <row r="213" spans="13:13" ht="12.5">
      <c r="M213" s="42"/>
    </row>
    <row r="214" spans="13:13" ht="12.5">
      <c r="M214" s="42"/>
    </row>
    <row r="215" spans="13:13" ht="12.5">
      <c r="M215" s="42"/>
    </row>
    <row r="216" spans="13:13" ht="12.5">
      <c r="M216" s="42"/>
    </row>
    <row r="217" spans="13:13" ht="12.5">
      <c r="M217" s="42"/>
    </row>
    <row r="218" spans="13:13" ht="12.5">
      <c r="M218" s="42"/>
    </row>
    <row r="219" spans="13:13" ht="12.5">
      <c r="M219" s="42"/>
    </row>
    <row r="220" spans="13:13" ht="12.5">
      <c r="M220" s="42"/>
    </row>
    <row r="221" spans="13:13" ht="12.5">
      <c r="M221" s="42"/>
    </row>
    <row r="222" spans="13:13" ht="12.5">
      <c r="M222" s="42"/>
    </row>
    <row r="223" spans="13:13" ht="12.5">
      <c r="M223" s="42"/>
    </row>
    <row r="224" spans="13:13" ht="12.5">
      <c r="M224" s="42"/>
    </row>
    <row r="225" spans="13:13" ht="12.5">
      <c r="M225" s="42"/>
    </row>
    <row r="226" spans="13:13" ht="12.5">
      <c r="M226" s="42"/>
    </row>
    <row r="227" spans="13:13" ht="12.5">
      <c r="M227" s="42"/>
    </row>
    <row r="228" spans="13:13" ht="12.5">
      <c r="M228" s="42"/>
    </row>
    <row r="229" spans="13:13" ht="12.5">
      <c r="M229" s="42"/>
    </row>
    <row r="230" spans="13:13" ht="12.5">
      <c r="M230" s="42"/>
    </row>
    <row r="231" spans="13:13" ht="12.5">
      <c r="M231" s="42"/>
    </row>
    <row r="232" spans="13:13" ht="12.5">
      <c r="M232" s="42"/>
    </row>
    <row r="233" spans="13:13" ht="12.5">
      <c r="M233" s="42"/>
    </row>
    <row r="234" spans="13:13" ht="12.5">
      <c r="M234" s="42"/>
    </row>
    <row r="235" spans="13:13" ht="12.5">
      <c r="M235" s="42"/>
    </row>
    <row r="236" spans="13:13" ht="12.5">
      <c r="M236" s="42"/>
    </row>
    <row r="237" spans="13:13" ht="12.5">
      <c r="M237" s="42"/>
    </row>
    <row r="238" spans="13:13" ht="12.5">
      <c r="M238" s="42"/>
    </row>
    <row r="239" spans="13:13" ht="12.5">
      <c r="M239" s="42"/>
    </row>
    <row r="240" spans="13:13" ht="12.5">
      <c r="M240" s="42"/>
    </row>
    <row r="241" spans="13:13" ht="12.5">
      <c r="M241" s="42"/>
    </row>
    <row r="242" spans="13:13" ht="12.5">
      <c r="M242" s="42"/>
    </row>
    <row r="243" spans="13:13" ht="12.5">
      <c r="M243" s="42"/>
    </row>
    <row r="244" spans="13:13" ht="12.5">
      <c r="M244" s="42"/>
    </row>
    <row r="245" spans="13:13" ht="12.5">
      <c r="M245" s="42"/>
    </row>
    <row r="246" spans="13:13" ht="12.5">
      <c r="M246" s="42"/>
    </row>
    <row r="247" spans="13:13" ht="12.5">
      <c r="M247" s="42"/>
    </row>
    <row r="248" spans="13:13" ht="12.5">
      <c r="M248" s="42"/>
    </row>
    <row r="249" spans="13:13" ht="12.5">
      <c r="M249" s="42"/>
    </row>
    <row r="250" spans="13:13" ht="12.5">
      <c r="M250" s="42"/>
    </row>
    <row r="251" spans="13:13" ht="12.5">
      <c r="M251" s="42"/>
    </row>
    <row r="252" spans="13:13" ht="12.5">
      <c r="M252" s="42"/>
    </row>
    <row r="253" spans="13:13" ht="12.5">
      <c r="M253" s="42"/>
    </row>
    <row r="254" spans="13:13" ht="12.5">
      <c r="M254" s="42"/>
    </row>
    <row r="255" spans="13:13" ht="12.5">
      <c r="M255" s="42"/>
    </row>
    <row r="256" spans="13:13" ht="12.5">
      <c r="M256" s="42"/>
    </row>
    <row r="257" spans="13:13" ht="12.5">
      <c r="M257" s="42"/>
    </row>
    <row r="258" spans="13:13" ht="12.5">
      <c r="M258" s="42"/>
    </row>
    <row r="259" spans="13:13" ht="12.5">
      <c r="M259" s="42"/>
    </row>
    <row r="260" spans="13:13" ht="12.5">
      <c r="M260" s="42"/>
    </row>
    <row r="261" spans="13:13" ht="12.5">
      <c r="M261" s="42"/>
    </row>
    <row r="262" spans="13:13" ht="12.5">
      <c r="M262" s="42"/>
    </row>
    <row r="263" spans="13:13" ht="12.5">
      <c r="M263" s="42"/>
    </row>
    <row r="264" spans="13:13" ht="12.5">
      <c r="M264" s="42"/>
    </row>
    <row r="265" spans="13:13" ht="12.5">
      <c r="M265" s="42"/>
    </row>
    <row r="266" spans="13:13" ht="12.5">
      <c r="M266" s="42"/>
    </row>
    <row r="267" spans="13:13" ht="12.5">
      <c r="M267" s="42"/>
    </row>
    <row r="268" spans="13:13" ht="12.5">
      <c r="M268" s="42"/>
    </row>
    <row r="269" spans="13:13" ht="12.5">
      <c r="M269" s="42"/>
    </row>
    <row r="270" spans="13:13" ht="12.5">
      <c r="M270" s="42"/>
    </row>
    <row r="271" spans="13:13" ht="12.5">
      <c r="M271" s="42"/>
    </row>
    <row r="272" spans="13:13" ht="12.5">
      <c r="M272" s="42"/>
    </row>
    <row r="273" spans="13:13" ht="12.5">
      <c r="M273" s="42"/>
    </row>
    <row r="274" spans="13:13" ht="12.5">
      <c r="M274" s="42"/>
    </row>
    <row r="275" spans="13:13" ht="12.5">
      <c r="M275" s="42"/>
    </row>
    <row r="276" spans="13:13" ht="12.5">
      <c r="M276" s="42"/>
    </row>
    <row r="277" spans="13:13" ht="12.5">
      <c r="M277" s="42"/>
    </row>
    <row r="278" spans="13:13" ht="12.5">
      <c r="M278" s="42"/>
    </row>
    <row r="279" spans="13:13" ht="12.5">
      <c r="M279" s="42"/>
    </row>
    <row r="280" spans="13:13" ht="12.5">
      <c r="M280" s="42"/>
    </row>
    <row r="281" spans="13:13" ht="12.5">
      <c r="M281" s="42"/>
    </row>
    <row r="282" spans="13:13" ht="12.5">
      <c r="M282" s="42"/>
    </row>
    <row r="283" spans="13:13" ht="12.5">
      <c r="M283" s="42"/>
    </row>
    <row r="284" spans="13:13" ht="12.5">
      <c r="M284" s="42"/>
    </row>
    <row r="285" spans="13:13" ht="12.5">
      <c r="M285" s="42"/>
    </row>
    <row r="286" spans="13:13" ht="12.5">
      <c r="M286" s="42"/>
    </row>
    <row r="287" spans="13:13" ht="12.5">
      <c r="M287" s="42"/>
    </row>
    <row r="288" spans="13:13" ht="12.5">
      <c r="M288" s="42"/>
    </row>
    <row r="289" spans="13:13" ht="12.5">
      <c r="M289" s="42"/>
    </row>
    <row r="290" spans="13:13" ht="12.5">
      <c r="M290" s="42"/>
    </row>
    <row r="291" spans="13:13" ht="12.5">
      <c r="M291" s="42"/>
    </row>
    <row r="292" spans="13:13" ht="12.5">
      <c r="M292" s="42"/>
    </row>
    <row r="293" spans="13:13" ht="12.5">
      <c r="M293" s="42"/>
    </row>
    <row r="294" spans="13:13" ht="12.5">
      <c r="M294" s="42"/>
    </row>
    <row r="295" spans="13:13" ht="12.5">
      <c r="M295" s="42"/>
    </row>
    <row r="296" spans="13:13" ht="12.5">
      <c r="M296" s="42"/>
    </row>
    <row r="297" spans="13:13" ht="12.5">
      <c r="M297" s="42"/>
    </row>
    <row r="298" spans="13:13" ht="12.5">
      <c r="M298" s="42"/>
    </row>
    <row r="299" spans="13:13" ht="12.5">
      <c r="M299" s="42"/>
    </row>
    <row r="300" spans="13:13" ht="12.5">
      <c r="M300" s="42"/>
    </row>
    <row r="301" spans="13:13" ht="12.5">
      <c r="M301" s="42"/>
    </row>
    <row r="302" spans="13:13" ht="12.5">
      <c r="M302" s="42"/>
    </row>
    <row r="303" spans="13:13" ht="12.5">
      <c r="M303" s="42"/>
    </row>
    <row r="304" spans="13:13" ht="12.5">
      <c r="M304" s="42"/>
    </row>
    <row r="305" spans="13:13" ht="12.5">
      <c r="M305" s="42"/>
    </row>
    <row r="306" spans="13:13" ht="12.5">
      <c r="M306" s="42"/>
    </row>
    <row r="307" spans="13:13" ht="12.5">
      <c r="M307" s="42"/>
    </row>
    <row r="308" spans="13:13" ht="12.5">
      <c r="M308" s="42"/>
    </row>
    <row r="309" spans="13:13" ht="12.5">
      <c r="M309" s="42"/>
    </row>
    <row r="310" spans="13:13" ht="12.5">
      <c r="M310" s="42"/>
    </row>
    <row r="311" spans="13:13" ht="12.5">
      <c r="M311" s="42"/>
    </row>
    <row r="312" spans="13:13" ht="12.5">
      <c r="M312" s="42"/>
    </row>
    <row r="313" spans="13:13" ht="12.5">
      <c r="M313" s="42"/>
    </row>
    <row r="314" spans="13:13" ht="12.5">
      <c r="M314" s="42"/>
    </row>
    <row r="315" spans="13:13" ht="12.5">
      <c r="M315" s="42"/>
    </row>
    <row r="316" spans="13:13" ht="12.5">
      <c r="M316" s="42"/>
    </row>
    <row r="317" spans="13:13" ht="12.5">
      <c r="M317" s="42"/>
    </row>
    <row r="318" spans="13:13" ht="12.5">
      <c r="M318" s="42"/>
    </row>
    <row r="319" spans="13:13" ht="12.5">
      <c r="M319" s="42"/>
    </row>
    <row r="320" spans="13:13" ht="12.5">
      <c r="M320" s="42"/>
    </row>
    <row r="321" spans="13:13" ht="12.5">
      <c r="M321" s="42"/>
    </row>
    <row r="322" spans="13:13" ht="12.5">
      <c r="M322" s="42"/>
    </row>
    <row r="323" spans="13:13" ht="12.5">
      <c r="M323" s="42"/>
    </row>
    <row r="324" spans="13:13" ht="12.5">
      <c r="M324" s="42"/>
    </row>
    <row r="325" spans="13:13" ht="12.5">
      <c r="M325" s="42"/>
    </row>
    <row r="326" spans="13:13" ht="12.5">
      <c r="M326" s="42"/>
    </row>
    <row r="327" spans="13:13" ht="12.5">
      <c r="M327" s="42"/>
    </row>
    <row r="328" spans="13:13" ht="12.5">
      <c r="M328" s="42"/>
    </row>
    <row r="329" spans="13:13" ht="12.5">
      <c r="M329" s="42"/>
    </row>
    <row r="330" spans="13:13" ht="12.5">
      <c r="M330" s="42"/>
    </row>
    <row r="331" spans="13:13" ht="12.5">
      <c r="M331" s="42"/>
    </row>
    <row r="332" spans="13:13" ht="12.5">
      <c r="M332" s="42"/>
    </row>
    <row r="333" spans="13:13" ht="12.5">
      <c r="M333" s="42"/>
    </row>
    <row r="334" spans="13:13" ht="12.5">
      <c r="M334" s="42"/>
    </row>
    <row r="335" spans="13:13" ht="12.5">
      <c r="M335" s="42"/>
    </row>
    <row r="336" spans="13:13" ht="12.5">
      <c r="M336" s="42"/>
    </row>
    <row r="337" spans="13:13" ht="12.5">
      <c r="M337" s="42"/>
    </row>
    <row r="338" spans="13:13" ht="12.5">
      <c r="M338" s="42"/>
    </row>
    <row r="339" spans="13:13" ht="12.5">
      <c r="M339" s="42"/>
    </row>
    <row r="340" spans="13:13" ht="12.5">
      <c r="M340" s="42"/>
    </row>
    <row r="341" spans="13:13" ht="12.5">
      <c r="M341" s="42"/>
    </row>
    <row r="342" spans="13:13" ht="12.5">
      <c r="M342" s="42"/>
    </row>
    <row r="343" spans="13:13" ht="12.5">
      <c r="M343" s="42"/>
    </row>
    <row r="344" spans="13:13" ht="12.5">
      <c r="M344" s="42"/>
    </row>
    <row r="345" spans="13:13" ht="12.5">
      <c r="M345" s="42"/>
    </row>
    <row r="346" spans="13:13" ht="12.5">
      <c r="M346" s="42"/>
    </row>
    <row r="347" spans="13:13" ht="12.5">
      <c r="M347" s="42"/>
    </row>
    <row r="348" spans="13:13" ht="12.5">
      <c r="M348" s="42"/>
    </row>
    <row r="349" spans="13:13" ht="12.5">
      <c r="M349" s="42"/>
    </row>
    <row r="350" spans="13:13" ht="12.5">
      <c r="M350" s="42"/>
    </row>
    <row r="351" spans="13:13" ht="12.5">
      <c r="M351" s="42"/>
    </row>
    <row r="352" spans="13:13" ht="12.5">
      <c r="M352" s="42"/>
    </row>
    <row r="353" spans="13:13" ht="12.5">
      <c r="M353" s="42"/>
    </row>
    <row r="354" spans="13:13" ht="12.5">
      <c r="M354" s="42"/>
    </row>
    <row r="355" spans="13:13" ht="12.5">
      <c r="M355" s="42"/>
    </row>
    <row r="356" spans="13:13" ht="12.5">
      <c r="M356" s="42"/>
    </row>
    <row r="357" spans="13:13" ht="12.5">
      <c r="M357" s="42"/>
    </row>
    <row r="358" spans="13:13" ht="12.5">
      <c r="M358" s="42"/>
    </row>
    <row r="359" spans="13:13" ht="12.5">
      <c r="M359" s="42"/>
    </row>
    <row r="360" spans="13:13" ht="12.5">
      <c r="M360" s="42"/>
    </row>
    <row r="361" spans="13:13" ht="12.5">
      <c r="M361" s="42"/>
    </row>
    <row r="362" spans="13:13" ht="12.5">
      <c r="M362" s="42"/>
    </row>
    <row r="363" spans="13:13" ht="12.5">
      <c r="M363" s="42"/>
    </row>
    <row r="364" spans="13:13" ht="12.5">
      <c r="M364" s="42"/>
    </row>
    <row r="365" spans="13:13" ht="12.5">
      <c r="M365" s="42"/>
    </row>
    <row r="366" spans="13:13" ht="12.5">
      <c r="M366" s="42"/>
    </row>
    <row r="367" spans="13:13" ht="12.5">
      <c r="M367" s="42"/>
    </row>
    <row r="368" spans="13:13" ht="12.5">
      <c r="M368" s="42"/>
    </row>
    <row r="369" spans="13:13" ht="12.5">
      <c r="M369" s="42"/>
    </row>
    <row r="370" spans="13:13" ht="12.5">
      <c r="M370" s="42"/>
    </row>
    <row r="371" spans="13:13" ht="12.5">
      <c r="M371" s="42"/>
    </row>
    <row r="372" spans="13:13" ht="12.5">
      <c r="M372" s="42"/>
    </row>
    <row r="373" spans="13:13" ht="12.5">
      <c r="M373" s="42"/>
    </row>
    <row r="374" spans="13:13" ht="12.5">
      <c r="M374" s="42"/>
    </row>
    <row r="375" spans="13:13" ht="12.5">
      <c r="M375" s="42"/>
    </row>
    <row r="376" spans="13:13" ht="12.5">
      <c r="M376" s="42"/>
    </row>
    <row r="377" spans="13:13" ht="12.5">
      <c r="M377" s="42"/>
    </row>
    <row r="378" spans="13:13" ht="12.5">
      <c r="M378" s="42"/>
    </row>
    <row r="379" spans="13:13" ht="12.5">
      <c r="M379" s="42"/>
    </row>
    <row r="380" spans="13:13" ht="12.5">
      <c r="M380" s="42"/>
    </row>
    <row r="381" spans="13:13" ht="12.5">
      <c r="M381" s="42"/>
    </row>
    <row r="382" spans="13:13" ht="12.5">
      <c r="M382" s="42"/>
    </row>
    <row r="383" spans="13:13" ht="12.5">
      <c r="M383" s="42"/>
    </row>
    <row r="384" spans="13:13" ht="12.5">
      <c r="M384" s="42"/>
    </row>
    <row r="385" spans="13:13" ht="12.5">
      <c r="M385" s="42"/>
    </row>
    <row r="386" spans="13:13" ht="12.5">
      <c r="M386" s="42"/>
    </row>
    <row r="387" spans="13:13" ht="12.5">
      <c r="M387" s="42"/>
    </row>
    <row r="388" spans="13:13" ht="12.5">
      <c r="M388" s="42"/>
    </row>
    <row r="389" spans="13:13" ht="12.5">
      <c r="M389" s="42"/>
    </row>
    <row r="390" spans="13:13" ht="12.5">
      <c r="M390" s="42"/>
    </row>
    <row r="391" spans="13:13" ht="12.5">
      <c r="M391" s="42"/>
    </row>
    <row r="392" spans="13:13" ht="12.5">
      <c r="M392" s="42"/>
    </row>
    <row r="393" spans="13:13" ht="12.5">
      <c r="M393" s="42"/>
    </row>
    <row r="394" spans="13:13" ht="12.5">
      <c r="M394" s="42"/>
    </row>
    <row r="395" spans="13:13" ht="12.5">
      <c r="M395" s="42"/>
    </row>
    <row r="396" spans="13:13" ht="12.5">
      <c r="M396" s="42"/>
    </row>
    <row r="397" spans="13:13" ht="12.5">
      <c r="M397" s="42"/>
    </row>
    <row r="398" spans="13:13" ht="12.5">
      <c r="M398" s="42"/>
    </row>
    <row r="399" spans="13:13" ht="12.5">
      <c r="M399" s="42"/>
    </row>
    <row r="400" spans="13:13" ht="12.5">
      <c r="M400" s="42"/>
    </row>
    <row r="401" spans="13:13" ht="12.5">
      <c r="M401" s="42"/>
    </row>
    <row r="402" spans="13:13" ht="12.5">
      <c r="M402" s="42"/>
    </row>
    <row r="403" spans="13:13" ht="12.5">
      <c r="M403" s="42"/>
    </row>
    <row r="404" spans="13:13" ht="12.5">
      <c r="M404" s="42"/>
    </row>
    <row r="405" spans="13:13" ht="12.5">
      <c r="M405" s="42"/>
    </row>
    <row r="406" spans="13:13" ht="12.5">
      <c r="M406" s="42"/>
    </row>
    <row r="407" spans="13:13" ht="12.5">
      <c r="M407" s="42"/>
    </row>
    <row r="408" spans="13:13" ht="12.5">
      <c r="M408" s="42"/>
    </row>
    <row r="409" spans="13:13" ht="12.5">
      <c r="M409" s="42"/>
    </row>
    <row r="410" spans="13:13" ht="12.5">
      <c r="M410" s="42"/>
    </row>
    <row r="411" spans="13:13" ht="12.5">
      <c r="M411" s="42"/>
    </row>
    <row r="412" spans="13:13" ht="12.5">
      <c r="M412" s="42"/>
    </row>
    <row r="413" spans="13:13" ht="12.5">
      <c r="M413" s="42"/>
    </row>
    <row r="414" spans="13:13" ht="12.5">
      <c r="M414" s="42"/>
    </row>
    <row r="415" spans="13:13" ht="12.5">
      <c r="M415" s="42"/>
    </row>
    <row r="416" spans="13:13" ht="12.5">
      <c r="M416" s="42"/>
    </row>
    <row r="417" spans="13:13" ht="12.5">
      <c r="M417" s="42"/>
    </row>
    <row r="418" spans="13:13" ht="12.5">
      <c r="M418" s="42"/>
    </row>
    <row r="419" spans="13:13" ht="12.5">
      <c r="M419" s="42"/>
    </row>
    <row r="420" spans="13:13" ht="12.5">
      <c r="M420" s="42"/>
    </row>
    <row r="421" spans="13:13" ht="12.5">
      <c r="M421" s="42"/>
    </row>
    <row r="422" spans="13:13" ht="12.5">
      <c r="M422" s="42"/>
    </row>
    <row r="423" spans="13:13" ht="12.5">
      <c r="M423" s="42"/>
    </row>
    <row r="424" spans="13:13" ht="12.5">
      <c r="M424" s="42"/>
    </row>
    <row r="425" spans="13:13" ht="12.5">
      <c r="M425" s="42"/>
    </row>
    <row r="426" spans="13:13" ht="12.5">
      <c r="M426" s="42"/>
    </row>
    <row r="427" spans="13:13" ht="12.5">
      <c r="M427" s="42"/>
    </row>
    <row r="428" spans="13:13" ht="12.5">
      <c r="M428" s="42"/>
    </row>
    <row r="429" spans="13:13" ht="12.5">
      <c r="M429" s="42"/>
    </row>
    <row r="430" spans="13:13" ht="12.5">
      <c r="M430" s="42"/>
    </row>
    <row r="431" spans="13:13" ht="12.5">
      <c r="M431" s="42"/>
    </row>
    <row r="432" spans="13:13" ht="12.5">
      <c r="M432" s="42"/>
    </row>
    <row r="433" spans="13:13" ht="12.5">
      <c r="M433" s="42"/>
    </row>
    <row r="434" spans="13:13" ht="12.5">
      <c r="M434" s="42"/>
    </row>
    <row r="435" spans="13:13" ht="12.5">
      <c r="M435" s="42"/>
    </row>
    <row r="436" spans="13:13" ht="12.5">
      <c r="M436" s="42"/>
    </row>
    <row r="437" spans="13:13" ht="12.5">
      <c r="M437" s="42"/>
    </row>
    <row r="438" spans="13:13" ht="12.5">
      <c r="M438" s="42"/>
    </row>
    <row r="439" spans="13:13" ht="12.5">
      <c r="M439" s="42"/>
    </row>
    <row r="440" spans="13:13" ht="12.5">
      <c r="M440" s="42"/>
    </row>
    <row r="441" spans="13:13" ht="12.5">
      <c r="M441" s="42"/>
    </row>
    <row r="442" spans="13:13" ht="12.5">
      <c r="M442" s="42"/>
    </row>
    <row r="443" spans="13:13" ht="12.5">
      <c r="M443" s="42"/>
    </row>
    <row r="444" spans="13:13" ht="12.5">
      <c r="M444" s="42"/>
    </row>
    <row r="445" spans="13:13" ht="12.5">
      <c r="M445" s="42"/>
    </row>
    <row r="446" spans="13:13" ht="12.5">
      <c r="M446" s="42"/>
    </row>
    <row r="447" spans="13:13" ht="12.5">
      <c r="M447" s="42"/>
    </row>
    <row r="448" spans="13:13" ht="12.5">
      <c r="M448" s="42"/>
    </row>
    <row r="449" spans="13:13" ht="12.5">
      <c r="M449" s="42"/>
    </row>
    <row r="450" spans="13:13" ht="12.5">
      <c r="M450" s="42"/>
    </row>
    <row r="451" spans="13:13" ht="12.5">
      <c r="M451" s="42"/>
    </row>
    <row r="452" spans="13:13" ht="12.5">
      <c r="M452" s="42"/>
    </row>
    <row r="453" spans="13:13" ht="12.5">
      <c r="M453" s="42"/>
    </row>
    <row r="454" spans="13:13" ht="12.5">
      <c r="M454" s="42"/>
    </row>
    <row r="455" spans="13:13" ht="12.5">
      <c r="M455" s="42"/>
    </row>
    <row r="456" spans="13:13" ht="12.5">
      <c r="M456" s="42"/>
    </row>
    <row r="457" spans="13:13" ht="12.5">
      <c r="M457" s="42"/>
    </row>
    <row r="458" spans="13:13" ht="12.5">
      <c r="M458" s="42"/>
    </row>
    <row r="459" spans="13:13" ht="12.5">
      <c r="M459" s="42"/>
    </row>
    <row r="460" spans="13:13" ht="12.5">
      <c r="M460" s="42"/>
    </row>
    <row r="461" spans="13:13" ht="12.5">
      <c r="M461" s="42"/>
    </row>
    <row r="462" spans="13:13" ht="12.5">
      <c r="M462" s="42"/>
    </row>
    <row r="463" spans="13:13" ht="12.5">
      <c r="M463" s="42"/>
    </row>
    <row r="464" spans="13:13" ht="12.5">
      <c r="M464" s="42"/>
    </row>
    <row r="465" spans="13:13" ht="12.5">
      <c r="M465" s="42"/>
    </row>
    <row r="466" spans="13:13" ht="12.5">
      <c r="M466" s="42"/>
    </row>
    <row r="467" spans="13:13" ht="12.5">
      <c r="M467" s="42"/>
    </row>
    <row r="468" spans="13:13" ht="12.5">
      <c r="M468" s="42"/>
    </row>
    <row r="469" spans="13:13" ht="12.5">
      <c r="M469" s="42"/>
    </row>
    <row r="470" spans="13:13" ht="12.5">
      <c r="M470" s="42"/>
    </row>
    <row r="471" spans="13:13" ht="12.5">
      <c r="M471" s="42"/>
    </row>
    <row r="472" spans="13:13" ht="12.5">
      <c r="M472" s="42"/>
    </row>
    <row r="473" spans="13:13" ht="12.5">
      <c r="M473" s="42"/>
    </row>
    <row r="474" spans="13:13" ht="12.5">
      <c r="M474" s="42"/>
    </row>
    <row r="475" spans="13:13" ht="12.5">
      <c r="M475" s="42"/>
    </row>
    <row r="476" spans="13:13" ht="12.5">
      <c r="M476" s="42"/>
    </row>
    <row r="477" spans="13:13" ht="12.5">
      <c r="M477" s="42"/>
    </row>
    <row r="478" spans="13:13" ht="12.5">
      <c r="M478" s="42"/>
    </row>
    <row r="479" spans="13:13" ht="12.5">
      <c r="M479" s="42"/>
    </row>
    <row r="480" spans="13:13" ht="12.5">
      <c r="M480" s="42"/>
    </row>
    <row r="481" spans="13:13" ht="12.5">
      <c r="M481" s="42"/>
    </row>
    <row r="482" spans="13:13" ht="12.5">
      <c r="M482" s="42"/>
    </row>
    <row r="483" spans="13:13" ht="12.5">
      <c r="M483" s="42"/>
    </row>
    <row r="484" spans="13:13" ht="12.5">
      <c r="M484" s="42"/>
    </row>
    <row r="485" spans="13:13" ht="12.5">
      <c r="M485" s="42"/>
    </row>
    <row r="486" spans="13:13" ht="12.5">
      <c r="M486" s="42"/>
    </row>
    <row r="487" spans="13:13" ht="12.5">
      <c r="M487" s="42"/>
    </row>
    <row r="488" spans="13:13" ht="12.5">
      <c r="M488" s="42"/>
    </row>
    <row r="489" spans="13:13" ht="12.5">
      <c r="M489" s="42"/>
    </row>
    <row r="490" spans="13:13" ht="12.5">
      <c r="M490" s="42"/>
    </row>
    <row r="491" spans="13:13" ht="12.5">
      <c r="M491" s="42"/>
    </row>
    <row r="492" spans="13:13" ht="12.5">
      <c r="M492" s="42"/>
    </row>
    <row r="493" spans="13:13" ht="12.5">
      <c r="M493" s="42"/>
    </row>
    <row r="494" spans="13:13" ht="12.5">
      <c r="M494" s="42"/>
    </row>
    <row r="495" spans="13:13" ht="12.5">
      <c r="M495" s="42"/>
    </row>
    <row r="496" spans="13:13" ht="12.5">
      <c r="M496" s="42"/>
    </row>
    <row r="497" spans="13:13" ht="12.5">
      <c r="M497" s="42"/>
    </row>
    <row r="498" spans="13:13" ht="12.5">
      <c r="M498" s="42"/>
    </row>
    <row r="499" spans="13:13" ht="12.5">
      <c r="M499" s="42"/>
    </row>
    <row r="500" spans="13:13" ht="12.5">
      <c r="M500" s="42"/>
    </row>
    <row r="501" spans="13:13" ht="12.5">
      <c r="M501" s="42"/>
    </row>
    <row r="502" spans="13:13" ht="12.5">
      <c r="M502" s="42"/>
    </row>
    <row r="503" spans="13:13" ht="12.5">
      <c r="M503" s="42"/>
    </row>
    <row r="504" spans="13:13" ht="12.5">
      <c r="M504" s="42"/>
    </row>
    <row r="505" spans="13:13" ht="12.5">
      <c r="M505" s="42"/>
    </row>
    <row r="506" spans="13:13" ht="12.5">
      <c r="M506" s="42"/>
    </row>
    <row r="507" spans="13:13" ht="12.5">
      <c r="M507" s="42"/>
    </row>
    <row r="508" spans="13:13" ht="12.5">
      <c r="M508" s="42"/>
    </row>
    <row r="509" spans="13:13" ht="12.5">
      <c r="M509" s="42"/>
    </row>
    <row r="510" spans="13:13" ht="12.5">
      <c r="M510" s="42"/>
    </row>
    <row r="511" spans="13:13" ht="12.5">
      <c r="M511" s="42"/>
    </row>
    <row r="512" spans="13:13" ht="12.5">
      <c r="M512" s="42"/>
    </row>
    <row r="513" spans="13:13" ht="12.5">
      <c r="M513" s="42"/>
    </row>
    <row r="514" spans="13:13" ht="12.5">
      <c r="M514" s="42"/>
    </row>
    <row r="515" spans="13:13" ht="12.5">
      <c r="M515" s="42"/>
    </row>
    <row r="516" spans="13:13" ht="12.5">
      <c r="M516" s="42"/>
    </row>
    <row r="517" spans="13:13" ht="12.5">
      <c r="M517" s="42"/>
    </row>
    <row r="518" spans="13:13" ht="12.5">
      <c r="M518" s="42"/>
    </row>
    <row r="519" spans="13:13" ht="12.5">
      <c r="M519" s="42"/>
    </row>
    <row r="520" spans="13:13" ht="12.5">
      <c r="M520" s="42"/>
    </row>
    <row r="521" spans="13:13" ht="12.5">
      <c r="M521" s="42"/>
    </row>
    <row r="522" spans="13:13" ht="12.5">
      <c r="M522" s="42"/>
    </row>
    <row r="523" spans="13:13" ht="12.5">
      <c r="M523" s="42"/>
    </row>
    <row r="524" spans="13:13" ht="12.5">
      <c r="M524" s="42"/>
    </row>
    <row r="525" spans="13:13" ht="12.5">
      <c r="M525" s="42"/>
    </row>
    <row r="526" spans="13:13" ht="12.5">
      <c r="M526" s="42"/>
    </row>
    <row r="527" spans="13:13" ht="12.5">
      <c r="M527" s="42"/>
    </row>
    <row r="528" spans="13:13" ht="12.5">
      <c r="M528" s="42"/>
    </row>
    <row r="529" spans="13:13" ht="12.5">
      <c r="M529" s="42"/>
    </row>
    <row r="530" spans="13:13" ht="12.5">
      <c r="M530" s="42"/>
    </row>
    <row r="531" spans="13:13" ht="12.5">
      <c r="M531" s="42"/>
    </row>
    <row r="532" spans="13:13" ht="12.5">
      <c r="M532" s="42"/>
    </row>
    <row r="533" spans="13:13" ht="12.5">
      <c r="M533" s="42"/>
    </row>
    <row r="534" spans="13:13" ht="12.5">
      <c r="M534" s="42"/>
    </row>
    <row r="535" spans="13:13" ht="12.5">
      <c r="M535" s="42"/>
    </row>
    <row r="536" spans="13:13" ht="12.5">
      <c r="M536" s="42"/>
    </row>
    <row r="537" spans="13:13" ht="12.5">
      <c r="M537" s="42"/>
    </row>
    <row r="538" spans="13:13" ht="12.5">
      <c r="M538" s="42"/>
    </row>
    <row r="539" spans="13:13" ht="12.5">
      <c r="M539" s="42"/>
    </row>
    <row r="540" spans="13:13" ht="12.5">
      <c r="M540" s="42"/>
    </row>
    <row r="541" spans="13:13" ht="12.5">
      <c r="M541" s="42"/>
    </row>
    <row r="542" spans="13:13" ht="12.5">
      <c r="M542" s="42"/>
    </row>
    <row r="543" spans="13:13" ht="12.5">
      <c r="M543" s="42"/>
    </row>
    <row r="544" spans="13:13" ht="12.5">
      <c r="M544" s="42"/>
    </row>
    <row r="545" spans="13:13" ht="12.5">
      <c r="M545" s="42"/>
    </row>
    <row r="546" spans="13:13" ht="12.5">
      <c r="M546" s="42"/>
    </row>
    <row r="547" spans="13:13" ht="12.5">
      <c r="M547" s="42"/>
    </row>
    <row r="548" spans="13:13" ht="12.5">
      <c r="M548" s="42"/>
    </row>
    <row r="549" spans="13:13" ht="12.5">
      <c r="M549" s="42"/>
    </row>
    <row r="550" spans="13:13" ht="12.5">
      <c r="M550" s="42"/>
    </row>
    <row r="551" spans="13:13" ht="12.5">
      <c r="M551" s="42"/>
    </row>
    <row r="552" spans="13:13" ht="12.5">
      <c r="M552" s="42"/>
    </row>
    <row r="553" spans="13:13" ht="12.5">
      <c r="M553" s="42"/>
    </row>
    <row r="554" spans="13:13" ht="12.5">
      <c r="M554" s="42"/>
    </row>
    <row r="555" spans="13:13" ht="12.5">
      <c r="M555" s="42"/>
    </row>
    <row r="556" spans="13:13" ht="12.5">
      <c r="M556" s="42"/>
    </row>
    <row r="557" spans="13:13" ht="12.5">
      <c r="M557" s="42"/>
    </row>
    <row r="558" spans="13:13" ht="12.5">
      <c r="M558" s="42"/>
    </row>
    <row r="559" spans="13:13" ht="12.5">
      <c r="M559" s="42"/>
    </row>
    <row r="560" spans="13:13" ht="12.5">
      <c r="M560" s="42"/>
    </row>
    <row r="561" spans="13:13" ht="12.5">
      <c r="M561" s="42"/>
    </row>
    <row r="562" spans="13:13" ht="12.5">
      <c r="M562" s="42"/>
    </row>
    <row r="563" spans="13:13" ht="12.5">
      <c r="M563" s="42"/>
    </row>
    <row r="564" spans="13:13" ht="12.5">
      <c r="M564" s="42"/>
    </row>
    <row r="565" spans="13:13" ht="12.5">
      <c r="M565" s="42"/>
    </row>
    <row r="566" spans="13:13" ht="12.5">
      <c r="M566" s="42"/>
    </row>
    <row r="567" spans="13:13" ht="12.5">
      <c r="M567" s="42"/>
    </row>
    <row r="568" spans="13:13" ht="12.5">
      <c r="M568" s="42"/>
    </row>
    <row r="569" spans="13:13" ht="12.5">
      <c r="M569" s="42"/>
    </row>
    <row r="570" spans="13:13" ht="12.5">
      <c r="M570" s="42"/>
    </row>
    <row r="571" spans="13:13" ht="12.5">
      <c r="M571" s="42"/>
    </row>
    <row r="572" spans="13:13" ht="12.5">
      <c r="M572" s="42"/>
    </row>
    <row r="573" spans="13:13" ht="12.5">
      <c r="M573" s="42"/>
    </row>
    <row r="574" spans="13:13" ht="12.5">
      <c r="M574" s="42"/>
    </row>
    <row r="575" spans="13:13" ht="12.5">
      <c r="M575" s="42"/>
    </row>
    <row r="576" spans="13:13" ht="12.5">
      <c r="M576" s="42"/>
    </row>
    <row r="577" spans="13:13" ht="12.5">
      <c r="M577" s="42"/>
    </row>
    <row r="578" spans="13:13" ht="12.5">
      <c r="M578" s="42"/>
    </row>
    <row r="579" spans="13:13" ht="12.5">
      <c r="M579" s="42"/>
    </row>
    <row r="580" spans="13:13" ht="12.5">
      <c r="M580" s="42"/>
    </row>
    <row r="581" spans="13:13" ht="12.5">
      <c r="M581" s="42"/>
    </row>
    <row r="582" spans="13:13" ht="12.5">
      <c r="M582" s="42"/>
    </row>
    <row r="583" spans="13:13" ht="12.5">
      <c r="M583" s="42"/>
    </row>
    <row r="584" spans="13:13" ht="12.5">
      <c r="M584" s="42"/>
    </row>
    <row r="585" spans="13:13" ht="12.5">
      <c r="M585" s="42"/>
    </row>
    <row r="586" spans="13:13" ht="12.5">
      <c r="M586" s="42"/>
    </row>
    <row r="587" spans="13:13" ht="12.5">
      <c r="M587" s="42"/>
    </row>
    <row r="588" spans="13:13" ht="12.5">
      <c r="M588" s="42"/>
    </row>
    <row r="589" spans="13:13" ht="12.5">
      <c r="M589" s="42"/>
    </row>
    <row r="590" spans="13:13" ht="12.5">
      <c r="M590" s="42"/>
    </row>
    <row r="591" spans="13:13" ht="12.5">
      <c r="M591" s="42"/>
    </row>
    <row r="592" spans="13:13" ht="12.5">
      <c r="M592" s="42"/>
    </row>
    <row r="593" spans="13:13" ht="12.5">
      <c r="M593" s="42"/>
    </row>
    <row r="594" spans="13:13" ht="12.5">
      <c r="M594" s="42"/>
    </row>
    <row r="595" spans="13:13" ht="12.5">
      <c r="M595" s="42"/>
    </row>
    <row r="596" spans="13:13" ht="12.5">
      <c r="M596" s="42"/>
    </row>
    <row r="597" spans="13:13" ht="12.5">
      <c r="M597" s="42"/>
    </row>
    <row r="598" spans="13:13" ht="12.5">
      <c r="M598" s="42"/>
    </row>
    <row r="599" spans="13:13" ht="12.5">
      <c r="M599" s="42"/>
    </row>
    <row r="600" spans="13:13" ht="12.5">
      <c r="M600" s="42"/>
    </row>
    <row r="601" spans="13:13" ht="12.5">
      <c r="M601" s="42"/>
    </row>
    <row r="602" spans="13:13" ht="12.5">
      <c r="M602" s="42"/>
    </row>
    <row r="603" spans="13:13" ht="12.5">
      <c r="M603" s="42"/>
    </row>
    <row r="604" spans="13:13" ht="12.5">
      <c r="M604" s="42"/>
    </row>
    <row r="605" spans="13:13" ht="12.5">
      <c r="M605" s="42"/>
    </row>
    <row r="606" spans="13:13" ht="12.5">
      <c r="M606" s="42"/>
    </row>
    <row r="607" spans="13:13" ht="12.5">
      <c r="M607" s="42"/>
    </row>
    <row r="608" spans="13:13" ht="12.5">
      <c r="M608" s="42"/>
    </row>
    <row r="609" spans="13:13" ht="12.5">
      <c r="M609" s="42"/>
    </row>
    <row r="610" spans="13:13" ht="12.5">
      <c r="M610" s="42"/>
    </row>
    <row r="611" spans="13:13" ht="12.5">
      <c r="M611" s="42"/>
    </row>
    <row r="612" spans="13:13" ht="12.5">
      <c r="M612" s="42"/>
    </row>
    <row r="613" spans="13:13" ht="12.5">
      <c r="M613" s="42"/>
    </row>
    <row r="614" spans="13:13" ht="12.5">
      <c r="M614" s="42"/>
    </row>
    <row r="615" spans="13:13" ht="12.5">
      <c r="M615" s="42"/>
    </row>
    <row r="616" spans="13:13" ht="12.5">
      <c r="M616" s="42"/>
    </row>
    <row r="617" spans="13:13" ht="12.5">
      <c r="M617" s="42"/>
    </row>
    <row r="618" spans="13:13" ht="12.5">
      <c r="M618" s="42"/>
    </row>
    <row r="619" spans="13:13" ht="12.5">
      <c r="M619" s="42"/>
    </row>
    <row r="620" spans="13:13" ht="12.5">
      <c r="M620" s="42"/>
    </row>
    <row r="621" spans="13:13" ht="12.5">
      <c r="M621" s="42"/>
    </row>
    <row r="622" spans="13:13" ht="12.5">
      <c r="M622" s="42"/>
    </row>
    <row r="623" spans="13:13" ht="12.5">
      <c r="M623" s="42"/>
    </row>
    <row r="624" spans="13:13" ht="12.5">
      <c r="M624" s="42"/>
    </row>
    <row r="625" spans="13:13" ht="12.5">
      <c r="M625" s="42"/>
    </row>
    <row r="626" spans="13:13" ht="12.5">
      <c r="M626" s="42"/>
    </row>
    <row r="627" spans="13:13" ht="12.5">
      <c r="M627" s="42"/>
    </row>
    <row r="628" spans="13:13" ht="12.5">
      <c r="M628" s="42"/>
    </row>
    <row r="629" spans="13:13" ht="12.5">
      <c r="M629" s="42"/>
    </row>
    <row r="630" spans="13:13" ht="12.5">
      <c r="M630" s="42"/>
    </row>
    <row r="631" spans="13:13" ht="12.5">
      <c r="M631" s="42"/>
    </row>
    <row r="632" spans="13:13" ht="12.5">
      <c r="M632" s="42"/>
    </row>
    <row r="633" spans="13:13" ht="12.5">
      <c r="M633" s="42"/>
    </row>
    <row r="634" spans="13:13" ht="12.5">
      <c r="M634" s="42"/>
    </row>
    <row r="635" spans="13:13" ht="12.5">
      <c r="M635" s="42"/>
    </row>
    <row r="636" spans="13:13" ht="12.5">
      <c r="M636" s="42"/>
    </row>
    <row r="637" spans="13:13" ht="12.5">
      <c r="M637" s="42"/>
    </row>
    <row r="638" spans="13:13" ht="12.5">
      <c r="M638" s="42"/>
    </row>
    <row r="639" spans="13:13" ht="12.5">
      <c r="M639" s="42"/>
    </row>
    <row r="640" spans="13:13" ht="12.5">
      <c r="M640" s="42"/>
    </row>
    <row r="641" spans="13:13" ht="12.5">
      <c r="M641" s="42"/>
    </row>
    <row r="642" spans="13:13" ht="12.5">
      <c r="M642" s="42"/>
    </row>
    <row r="643" spans="13:13" ht="12.5">
      <c r="M643" s="42"/>
    </row>
    <row r="644" spans="13:13" ht="12.5">
      <c r="M644" s="42"/>
    </row>
    <row r="645" spans="13:13" ht="12.5">
      <c r="M645" s="42"/>
    </row>
    <row r="646" spans="13:13" ht="12.5">
      <c r="M646" s="42"/>
    </row>
    <row r="647" spans="13:13" ht="12.5">
      <c r="M647" s="42"/>
    </row>
    <row r="648" spans="13:13" ht="12.5">
      <c r="M648" s="42"/>
    </row>
    <row r="649" spans="13:13" ht="12.5">
      <c r="M649" s="42"/>
    </row>
    <row r="650" spans="13:13" ht="12.5">
      <c r="M650" s="42"/>
    </row>
    <row r="651" spans="13:13" ht="12.5">
      <c r="M651" s="42"/>
    </row>
    <row r="652" spans="13:13" ht="12.5">
      <c r="M652" s="42"/>
    </row>
    <row r="653" spans="13:13" ht="12.5">
      <c r="M653" s="42"/>
    </row>
    <row r="654" spans="13:13" ht="12.5">
      <c r="M654" s="42"/>
    </row>
    <row r="655" spans="13:13" ht="12.5">
      <c r="M655" s="42"/>
    </row>
    <row r="656" spans="13:13" ht="12.5">
      <c r="M656" s="42"/>
    </row>
    <row r="657" spans="13:13" ht="12.5">
      <c r="M657" s="42"/>
    </row>
    <row r="658" spans="13:13" ht="12.5">
      <c r="M658" s="42"/>
    </row>
    <row r="659" spans="13:13" ht="12.5">
      <c r="M659" s="42"/>
    </row>
    <row r="660" spans="13:13" ht="12.5">
      <c r="M660" s="42"/>
    </row>
    <row r="661" spans="13:13" ht="12.5">
      <c r="M661" s="42"/>
    </row>
    <row r="662" spans="13:13" ht="12.5">
      <c r="M662" s="42"/>
    </row>
    <row r="663" spans="13:13" ht="12.5">
      <c r="M663" s="42"/>
    </row>
    <row r="664" spans="13:13" ht="12.5">
      <c r="M664" s="42"/>
    </row>
    <row r="665" spans="13:13" ht="12.5">
      <c r="M665" s="42"/>
    </row>
    <row r="666" spans="13:13" ht="12.5">
      <c r="M666" s="42"/>
    </row>
    <row r="667" spans="13:13" ht="12.5">
      <c r="M667" s="42"/>
    </row>
    <row r="668" spans="13:13" ht="12.5">
      <c r="M668" s="42"/>
    </row>
    <row r="669" spans="13:13" ht="12.5">
      <c r="M669" s="42"/>
    </row>
    <row r="670" spans="13:13" ht="12.5">
      <c r="M670" s="42"/>
    </row>
    <row r="671" spans="13:13" ht="12.5">
      <c r="M671" s="42"/>
    </row>
    <row r="672" spans="13:13" ht="12.5">
      <c r="M672" s="42"/>
    </row>
    <row r="673" spans="13:13" ht="12.5">
      <c r="M673" s="42"/>
    </row>
    <row r="674" spans="13:13" ht="12.5">
      <c r="M674" s="42"/>
    </row>
    <row r="675" spans="13:13" ht="12.5">
      <c r="M675" s="42"/>
    </row>
    <row r="676" spans="13:13" ht="12.5">
      <c r="M676" s="42"/>
    </row>
    <row r="677" spans="13:13" ht="12.5">
      <c r="M677" s="42"/>
    </row>
    <row r="678" spans="13:13" ht="12.5">
      <c r="M678" s="42"/>
    </row>
    <row r="679" spans="13:13" ht="12.5">
      <c r="M679" s="42"/>
    </row>
    <row r="680" spans="13:13" ht="12.5">
      <c r="M680" s="42"/>
    </row>
    <row r="681" spans="13:13" ht="12.5">
      <c r="M681" s="42"/>
    </row>
    <row r="682" spans="13:13" ht="12.5">
      <c r="M682" s="42"/>
    </row>
    <row r="683" spans="13:13" ht="12.5">
      <c r="M683" s="42"/>
    </row>
    <row r="684" spans="13:13" ht="12.5">
      <c r="M684" s="42"/>
    </row>
    <row r="685" spans="13:13" ht="12.5">
      <c r="M685" s="42"/>
    </row>
    <row r="686" spans="13:13" ht="12.5">
      <c r="M686" s="42"/>
    </row>
    <row r="687" spans="13:13" ht="12.5">
      <c r="M687" s="42"/>
    </row>
    <row r="688" spans="13:13" ht="12.5">
      <c r="M688" s="42"/>
    </row>
    <row r="689" spans="13:13" ht="12.5">
      <c r="M689" s="42"/>
    </row>
    <row r="690" spans="13:13" ht="12.5">
      <c r="M690" s="42"/>
    </row>
    <row r="691" spans="13:13" ht="12.5">
      <c r="M691" s="42"/>
    </row>
    <row r="692" spans="13:13" ht="12.5">
      <c r="M692" s="42"/>
    </row>
    <row r="693" spans="13:13" ht="12.5">
      <c r="M693" s="42"/>
    </row>
    <row r="694" spans="13:13" ht="12.5">
      <c r="M694" s="42"/>
    </row>
    <row r="695" spans="13:13" ht="12.5">
      <c r="M695" s="42"/>
    </row>
    <row r="696" spans="13:13" ht="12.5">
      <c r="M696" s="42"/>
    </row>
    <row r="697" spans="13:13" ht="12.5">
      <c r="M697" s="42"/>
    </row>
    <row r="698" spans="13:13" ht="12.5">
      <c r="M698" s="42"/>
    </row>
    <row r="699" spans="13:13" ht="12.5">
      <c r="M699" s="42"/>
    </row>
    <row r="700" spans="13:13" ht="12.5">
      <c r="M700" s="42"/>
    </row>
    <row r="701" spans="13:13" ht="12.5">
      <c r="M701" s="42"/>
    </row>
    <row r="702" spans="13:13" ht="12.5">
      <c r="M702" s="42"/>
    </row>
    <row r="703" spans="13:13" ht="12.5">
      <c r="M703" s="42"/>
    </row>
    <row r="704" spans="13:13" ht="12.5">
      <c r="M704" s="42"/>
    </row>
    <row r="705" spans="13:13" ht="12.5">
      <c r="M705" s="42"/>
    </row>
    <row r="706" spans="13:13" ht="12.5">
      <c r="M706" s="42"/>
    </row>
    <row r="707" spans="13:13" ht="12.5">
      <c r="M707" s="42"/>
    </row>
    <row r="708" spans="13:13" ht="12.5">
      <c r="M708" s="42"/>
    </row>
    <row r="709" spans="13:13" ht="12.5">
      <c r="M709" s="42"/>
    </row>
    <row r="710" spans="13:13" ht="12.5">
      <c r="M710" s="42"/>
    </row>
    <row r="711" spans="13:13" ht="12.5">
      <c r="M711" s="42"/>
    </row>
    <row r="712" spans="13:13" ht="12.5">
      <c r="M712" s="42"/>
    </row>
    <row r="713" spans="13:13" ht="12.5">
      <c r="M713" s="42"/>
    </row>
    <row r="714" spans="13:13" ht="12.5">
      <c r="M714" s="42"/>
    </row>
    <row r="715" spans="13:13" ht="12.5">
      <c r="M715" s="42"/>
    </row>
    <row r="716" spans="13:13" ht="12.5">
      <c r="M716" s="42"/>
    </row>
    <row r="717" spans="13:13" ht="12.5">
      <c r="M717" s="42"/>
    </row>
    <row r="718" spans="13:13" ht="12.5">
      <c r="M718" s="42"/>
    </row>
    <row r="719" spans="13:13" ht="12.5">
      <c r="M719" s="42"/>
    </row>
    <row r="720" spans="13:13" ht="12.5">
      <c r="M720" s="42"/>
    </row>
    <row r="721" spans="13:13" ht="12.5">
      <c r="M721" s="42"/>
    </row>
    <row r="722" spans="13:13" ht="12.5">
      <c r="M722" s="42"/>
    </row>
    <row r="723" spans="13:13" ht="12.5">
      <c r="M723" s="42"/>
    </row>
    <row r="724" spans="13:13" ht="12.5">
      <c r="M724" s="42"/>
    </row>
    <row r="725" spans="13:13" ht="12.5">
      <c r="M725" s="42"/>
    </row>
    <row r="726" spans="13:13" ht="12.5">
      <c r="M726" s="42"/>
    </row>
    <row r="727" spans="13:13" ht="12.5">
      <c r="M727" s="42"/>
    </row>
    <row r="728" spans="13:13" ht="12.5">
      <c r="M728" s="42"/>
    </row>
    <row r="729" spans="13:13" ht="12.5">
      <c r="M729" s="42"/>
    </row>
    <row r="730" spans="13:13" ht="12.5">
      <c r="M730" s="42"/>
    </row>
    <row r="731" spans="13:13" ht="12.5">
      <c r="M731" s="42"/>
    </row>
    <row r="732" spans="13:13" ht="12.5">
      <c r="M732" s="42"/>
    </row>
    <row r="733" spans="13:13" ht="12.5">
      <c r="M733" s="42"/>
    </row>
    <row r="734" spans="13:13" ht="12.5">
      <c r="M734" s="42"/>
    </row>
    <row r="735" spans="13:13" ht="12.5">
      <c r="M735" s="42"/>
    </row>
    <row r="736" spans="13:13" ht="12.5">
      <c r="M736" s="42"/>
    </row>
    <row r="737" spans="13:13" ht="12.5">
      <c r="M737" s="42"/>
    </row>
    <row r="738" spans="13:13" ht="12.5">
      <c r="M738" s="42"/>
    </row>
    <row r="739" spans="13:13" ht="12.5">
      <c r="M739" s="42"/>
    </row>
    <row r="740" spans="13:13" ht="12.5">
      <c r="M740" s="42"/>
    </row>
    <row r="741" spans="13:13" ht="12.5">
      <c r="M741" s="42"/>
    </row>
    <row r="742" spans="13:13" ht="12.5">
      <c r="M742" s="42"/>
    </row>
    <row r="743" spans="13:13" ht="12.5">
      <c r="M743" s="42"/>
    </row>
    <row r="744" spans="13:13" ht="12.5">
      <c r="M744" s="42"/>
    </row>
    <row r="745" spans="13:13" ht="12.5">
      <c r="M745" s="42"/>
    </row>
    <row r="746" spans="13:13" ht="12.5">
      <c r="M746" s="42"/>
    </row>
    <row r="747" spans="13:13" ht="12.5">
      <c r="M747" s="42"/>
    </row>
    <row r="748" spans="13:13" ht="12.5">
      <c r="M748" s="42"/>
    </row>
    <row r="749" spans="13:13" ht="12.5">
      <c r="M749" s="42"/>
    </row>
    <row r="750" spans="13:13" ht="12.5">
      <c r="M750" s="42"/>
    </row>
    <row r="751" spans="13:13" ht="12.5">
      <c r="M751" s="42"/>
    </row>
    <row r="752" spans="13:13" ht="12.5">
      <c r="M752" s="42"/>
    </row>
    <row r="753" spans="13:13" ht="12.5">
      <c r="M753" s="42"/>
    </row>
    <row r="754" spans="13:13" ht="12.5">
      <c r="M754" s="42"/>
    </row>
    <row r="755" spans="13:13" ht="12.5">
      <c r="M755" s="42"/>
    </row>
    <row r="756" spans="13:13" ht="12.5">
      <c r="M756" s="42"/>
    </row>
    <row r="757" spans="13:13" ht="12.5">
      <c r="M757" s="42"/>
    </row>
    <row r="758" spans="13:13" ht="12.5">
      <c r="M758" s="42"/>
    </row>
    <row r="759" spans="13:13" ht="12.5">
      <c r="M759" s="42"/>
    </row>
    <row r="760" spans="13:13" ht="12.5">
      <c r="M760" s="42"/>
    </row>
    <row r="761" spans="13:13" ht="12.5">
      <c r="M761" s="42"/>
    </row>
    <row r="762" spans="13:13" ht="12.5">
      <c r="M762" s="42"/>
    </row>
    <row r="763" spans="13:13" ht="12.5">
      <c r="M763" s="42"/>
    </row>
    <row r="764" spans="13:13" ht="12.5">
      <c r="M764" s="42"/>
    </row>
    <row r="765" spans="13:13" ht="12.5">
      <c r="M765" s="42"/>
    </row>
    <row r="766" spans="13:13" ht="12.5">
      <c r="M766" s="42"/>
    </row>
    <row r="767" spans="13:13" ht="12.5">
      <c r="M767" s="42"/>
    </row>
    <row r="768" spans="13:13" ht="12.5">
      <c r="M768" s="42"/>
    </row>
    <row r="769" spans="13:13" ht="12.5">
      <c r="M769" s="42"/>
    </row>
    <row r="770" spans="13:13" ht="12.5">
      <c r="M770" s="42"/>
    </row>
    <row r="771" spans="13:13" ht="12.5">
      <c r="M771" s="42"/>
    </row>
    <row r="772" spans="13:13" ht="12.5">
      <c r="M772" s="42"/>
    </row>
    <row r="773" spans="13:13" ht="12.5">
      <c r="M773" s="42"/>
    </row>
    <row r="774" spans="13:13" ht="12.5">
      <c r="M774" s="42"/>
    </row>
    <row r="775" spans="13:13" ht="12.5">
      <c r="M775" s="42"/>
    </row>
    <row r="776" spans="13:13" ht="12.5">
      <c r="M776" s="42"/>
    </row>
    <row r="777" spans="13:13" ht="12.5">
      <c r="M777" s="42"/>
    </row>
    <row r="778" spans="13:13" ht="12.5">
      <c r="M778" s="42"/>
    </row>
    <row r="779" spans="13:13" ht="12.5">
      <c r="M779" s="42"/>
    </row>
    <row r="780" spans="13:13" ht="12.5">
      <c r="M780" s="42"/>
    </row>
    <row r="781" spans="13:13" ht="12.5">
      <c r="M781" s="42"/>
    </row>
    <row r="782" spans="13:13" ht="12.5">
      <c r="M782" s="42"/>
    </row>
    <row r="783" spans="13:13" ht="12.5">
      <c r="M783" s="42"/>
    </row>
    <row r="784" spans="13:13" ht="12.5">
      <c r="M784" s="42"/>
    </row>
    <row r="785" spans="13:13" ht="12.5">
      <c r="M785" s="42"/>
    </row>
    <row r="786" spans="13:13" ht="12.5">
      <c r="M786" s="42"/>
    </row>
    <row r="787" spans="13:13" ht="12.5">
      <c r="M787" s="42"/>
    </row>
    <row r="788" spans="13:13" ht="12.5">
      <c r="M788" s="42"/>
    </row>
    <row r="789" spans="13:13" ht="12.5">
      <c r="M789" s="42"/>
    </row>
    <row r="790" spans="13:13" ht="12.5">
      <c r="M790" s="42"/>
    </row>
    <row r="791" spans="13:13" ht="12.5">
      <c r="M791" s="42"/>
    </row>
    <row r="792" spans="13:13" ht="12.5">
      <c r="M792" s="42"/>
    </row>
    <row r="793" spans="13:13" ht="12.5">
      <c r="M793" s="42"/>
    </row>
    <row r="794" spans="13:13" ht="12.5">
      <c r="M794" s="42"/>
    </row>
    <row r="795" spans="13:13" ht="12.5">
      <c r="M795" s="42"/>
    </row>
    <row r="796" spans="13:13" ht="12.5">
      <c r="M796" s="42"/>
    </row>
    <row r="797" spans="13:13" ht="12.5">
      <c r="M797" s="42"/>
    </row>
    <row r="798" spans="13:13" ht="12.5">
      <c r="M798" s="42"/>
    </row>
    <row r="799" spans="13:13" ht="12.5">
      <c r="M799" s="42"/>
    </row>
    <row r="800" spans="13:13" ht="12.5">
      <c r="M800" s="42"/>
    </row>
    <row r="801" spans="13:13" ht="12.5">
      <c r="M801" s="42"/>
    </row>
    <row r="802" spans="13:13" ht="12.5">
      <c r="M802" s="42"/>
    </row>
    <row r="803" spans="13:13" ht="12.5">
      <c r="M803" s="42"/>
    </row>
    <row r="804" spans="13:13" ht="12.5">
      <c r="M804" s="42"/>
    </row>
    <row r="805" spans="13:13" ht="12.5">
      <c r="M805" s="42"/>
    </row>
    <row r="806" spans="13:13" ht="12.5">
      <c r="M806" s="42"/>
    </row>
    <row r="807" spans="13:13" ht="12.5">
      <c r="M807" s="42"/>
    </row>
    <row r="808" spans="13:13" ht="12.5">
      <c r="M808" s="42"/>
    </row>
    <row r="809" spans="13:13" ht="12.5">
      <c r="M809" s="42"/>
    </row>
    <row r="810" spans="13:13" ht="12.5">
      <c r="M810" s="42"/>
    </row>
    <row r="811" spans="13:13" ht="12.5">
      <c r="M811" s="42"/>
    </row>
    <row r="812" spans="13:13" ht="12.5">
      <c r="M812" s="42"/>
    </row>
    <row r="813" spans="13:13" ht="12.5">
      <c r="M813" s="42"/>
    </row>
    <row r="814" spans="13:13" ht="12.5">
      <c r="M814" s="42"/>
    </row>
    <row r="815" spans="13:13" ht="12.5">
      <c r="M815" s="42"/>
    </row>
    <row r="816" spans="13:13" ht="12.5">
      <c r="M816" s="42"/>
    </row>
    <row r="817" spans="13:13" ht="12.5">
      <c r="M817" s="42"/>
    </row>
    <row r="818" spans="13:13" ht="12.5">
      <c r="M818" s="42"/>
    </row>
    <row r="819" spans="13:13" ht="12.5">
      <c r="M819" s="42"/>
    </row>
    <row r="820" spans="13:13" ht="12.5">
      <c r="M820" s="42"/>
    </row>
    <row r="821" spans="13:13" ht="12.5">
      <c r="M821" s="42"/>
    </row>
    <row r="822" spans="13:13" ht="12.5">
      <c r="M822" s="42"/>
    </row>
    <row r="823" spans="13:13" ht="12.5">
      <c r="M823" s="42"/>
    </row>
    <row r="824" spans="13:13" ht="12.5">
      <c r="M824" s="42"/>
    </row>
    <row r="825" spans="13:13" ht="12.5">
      <c r="M825" s="42"/>
    </row>
    <row r="826" spans="13:13" ht="12.5">
      <c r="M826" s="42"/>
    </row>
    <row r="827" spans="13:13" ht="12.5">
      <c r="M827" s="42"/>
    </row>
    <row r="828" spans="13:13" ht="12.5">
      <c r="M828" s="42"/>
    </row>
    <row r="829" spans="13:13" ht="12.5">
      <c r="M829" s="42"/>
    </row>
    <row r="830" spans="13:13" ht="12.5">
      <c r="M830" s="42"/>
    </row>
    <row r="831" spans="13:13" ht="12.5">
      <c r="M831" s="42"/>
    </row>
    <row r="832" spans="13:13" ht="12.5">
      <c r="M832" s="42"/>
    </row>
    <row r="833" spans="13:13" ht="12.5">
      <c r="M833" s="42"/>
    </row>
    <row r="834" spans="13:13" ht="12.5">
      <c r="M834" s="42"/>
    </row>
    <row r="835" spans="13:13" ht="12.5">
      <c r="M835" s="42"/>
    </row>
    <row r="836" spans="13:13" ht="12.5">
      <c r="M836" s="42"/>
    </row>
    <row r="837" spans="13:13" ht="12.5">
      <c r="M837" s="42"/>
    </row>
    <row r="838" spans="13:13" ht="12.5">
      <c r="M838" s="42"/>
    </row>
    <row r="839" spans="13:13" ht="12.5">
      <c r="M839" s="42"/>
    </row>
    <row r="840" spans="13:13" ht="12.5">
      <c r="M840" s="42"/>
    </row>
    <row r="841" spans="13:13" ht="12.5">
      <c r="M841" s="42"/>
    </row>
    <row r="842" spans="13:13" ht="12.5">
      <c r="M842" s="42"/>
    </row>
    <row r="843" spans="13:13" ht="12.5">
      <c r="M843" s="42"/>
    </row>
    <row r="844" spans="13:13" ht="12.5">
      <c r="M844" s="42"/>
    </row>
    <row r="845" spans="13:13" ht="12.5">
      <c r="M845" s="42"/>
    </row>
    <row r="846" spans="13:13" ht="12.5">
      <c r="M846" s="42"/>
    </row>
    <row r="847" spans="13:13" ht="12.5">
      <c r="M847" s="42"/>
    </row>
    <row r="848" spans="13:13" ht="12.5">
      <c r="M848" s="42"/>
    </row>
    <row r="849" spans="13:13" ht="12.5">
      <c r="M849" s="42"/>
    </row>
    <row r="850" spans="13:13" ht="12.5">
      <c r="M850" s="42"/>
    </row>
    <row r="851" spans="13:13" ht="12.5">
      <c r="M851" s="42"/>
    </row>
    <row r="852" spans="13:13" ht="12.5">
      <c r="M852" s="42"/>
    </row>
    <row r="853" spans="13:13" ht="12.5">
      <c r="M853" s="42"/>
    </row>
    <row r="854" spans="13:13" ht="12.5">
      <c r="M854" s="42"/>
    </row>
    <row r="855" spans="13:13" ht="12.5">
      <c r="M855" s="42"/>
    </row>
    <row r="856" spans="13:13" ht="12.5">
      <c r="M856" s="42"/>
    </row>
    <row r="857" spans="13:13" ht="12.5">
      <c r="M857" s="42"/>
    </row>
    <row r="858" spans="13:13" ht="12.5">
      <c r="M858" s="42"/>
    </row>
    <row r="859" spans="13:13" ht="12.5">
      <c r="M859" s="42"/>
    </row>
    <row r="860" spans="13:13" ht="12.5">
      <c r="M860" s="42"/>
    </row>
    <row r="861" spans="13:13" ht="12.5">
      <c r="M861" s="42"/>
    </row>
    <row r="862" spans="13:13" ht="12.5">
      <c r="M862" s="42"/>
    </row>
    <row r="863" spans="13:13" ht="12.5">
      <c r="M863" s="42"/>
    </row>
    <row r="864" spans="13:13" ht="12.5">
      <c r="M864" s="42"/>
    </row>
    <row r="865" spans="13:13" ht="12.5">
      <c r="M865" s="42"/>
    </row>
    <row r="866" spans="13:13" ht="12.5">
      <c r="M866" s="42"/>
    </row>
    <row r="867" spans="13:13" ht="12.5">
      <c r="M867" s="42"/>
    </row>
    <row r="868" spans="13:13" ht="12.5">
      <c r="M868" s="42"/>
    </row>
    <row r="869" spans="13:13" ht="12.5">
      <c r="M869" s="42"/>
    </row>
    <row r="870" spans="13:13" ht="12.5">
      <c r="M870" s="42"/>
    </row>
    <row r="871" spans="13:13" ht="12.5">
      <c r="M871" s="42"/>
    </row>
    <row r="872" spans="13:13" ht="12.5">
      <c r="M872" s="42"/>
    </row>
    <row r="873" spans="13:13" ht="12.5">
      <c r="M873" s="42"/>
    </row>
    <row r="874" spans="13:13" ht="12.5">
      <c r="M874" s="42"/>
    </row>
    <row r="875" spans="13:13" ht="12.5">
      <c r="M875" s="42"/>
    </row>
    <row r="876" spans="13:13" ht="12.5">
      <c r="M876" s="42"/>
    </row>
    <row r="877" spans="13:13" ht="12.5">
      <c r="M877" s="42"/>
    </row>
    <row r="878" spans="13:13" ht="12.5">
      <c r="M878" s="42"/>
    </row>
    <row r="879" spans="13:13" ht="12.5">
      <c r="M879" s="42"/>
    </row>
    <row r="880" spans="13:13" ht="12.5">
      <c r="M880" s="42"/>
    </row>
    <row r="881" spans="13:13" ht="12.5">
      <c r="M881" s="42"/>
    </row>
    <row r="882" spans="13:13" ht="12.5">
      <c r="M882" s="42"/>
    </row>
    <row r="883" spans="13:13" ht="12.5">
      <c r="M883" s="42"/>
    </row>
    <row r="884" spans="13:13" ht="12.5">
      <c r="M884" s="42"/>
    </row>
    <row r="885" spans="13:13" ht="12.5">
      <c r="M885" s="42"/>
    </row>
    <row r="886" spans="13:13" ht="12.5">
      <c r="M886" s="42"/>
    </row>
    <row r="887" spans="13:13" ht="12.5">
      <c r="M887" s="42"/>
    </row>
    <row r="888" spans="13:13" ht="12.5">
      <c r="M888" s="42"/>
    </row>
    <row r="889" spans="13:13" ht="12.5">
      <c r="M889" s="42"/>
    </row>
    <row r="890" spans="13:13" ht="12.5">
      <c r="M890" s="42"/>
    </row>
    <row r="891" spans="13:13" ht="12.5">
      <c r="M891" s="42"/>
    </row>
    <row r="892" spans="13:13" ht="12.5">
      <c r="M892" s="42"/>
    </row>
    <row r="893" spans="13:13" ht="12.5">
      <c r="M893" s="42"/>
    </row>
    <row r="894" spans="13:13" ht="12.5">
      <c r="M894" s="42"/>
    </row>
    <row r="895" spans="13:13" ht="12.5">
      <c r="M895" s="42"/>
    </row>
    <row r="896" spans="13:13" ht="12.5">
      <c r="M896" s="42"/>
    </row>
    <row r="897" spans="13:13" ht="12.5">
      <c r="M897" s="42"/>
    </row>
    <row r="898" spans="13:13" ht="12.5">
      <c r="M898" s="42"/>
    </row>
    <row r="899" spans="13:13" ht="12.5">
      <c r="M899" s="42"/>
    </row>
    <row r="900" spans="13:13" ht="12.5">
      <c r="M900" s="42"/>
    </row>
    <row r="901" spans="13:13" ht="12.5">
      <c r="M901" s="42"/>
    </row>
    <row r="902" spans="13:13" ht="12.5">
      <c r="M902" s="42"/>
    </row>
    <row r="903" spans="13:13" ht="12.5">
      <c r="M903" s="42"/>
    </row>
    <row r="904" spans="13:13" ht="12.5">
      <c r="M904" s="42"/>
    </row>
    <row r="905" spans="13:13" ht="12.5">
      <c r="M905" s="42"/>
    </row>
    <row r="906" spans="13:13" ht="12.5">
      <c r="M906" s="42"/>
    </row>
    <row r="907" spans="13:13" ht="12.5">
      <c r="M907" s="42"/>
    </row>
    <row r="908" spans="13:13" ht="12.5">
      <c r="M908" s="42"/>
    </row>
    <row r="909" spans="13:13" ht="12.5">
      <c r="M909" s="42"/>
    </row>
    <row r="910" spans="13:13" ht="12.5">
      <c r="M910" s="42"/>
    </row>
    <row r="911" spans="13:13" ht="12.5">
      <c r="M911" s="42"/>
    </row>
    <row r="912" spans="13:13" ht="12.5">
      <c r="M912" s="42"/>
    </row>
    <row r="913" spans="13:13" ht="12.5">
      <c r="M913" s="42"/>
    </row>
    <row r="914" spans="13:13" ht="12.5">
      <c r="M914" s="42"/>
    </row>
    <row r="915" spans="13:13" ht="12.5">
      <c r="M915" s="42"/>
    </row>
    <row r="916" spans="13:13" ht="12.5">
      <c r="M916" s="42"/>
    </row>
    <row r="917" spans="13:13" ht="12.5">
      <c r="M917" s="42"/>
    </row>
    <row r="918" spans="13:13" ht="12.5">
      <c r="M918" s="42"/>
    </row>
    <row r="919" spans="13:13" ht="12.5">
      <c r="M919" s="42"/>
    </row>
    <row r="920" spans="13:13" ht="12.5">
      <c r="M920" s="42"/>
    </row>
    <row r="921" spans="13:13" ht="12.5">
      <c r="M921" s="42"/>
    </row>
    <row r="922" spans="13:13" ht="12.5">
      <c r="M922" s="42"/>
    </row>
    <row r="923" spans="13:13" ht="12.5">
      <c r="M923" s="42"/>
    </row>
    <row r="924" spans="13:13" ht="12.5">
      <c r="M924" s="42"/>
    </row>
    <row r="925" spans="13:13" ht="12.5">
      <c r="M925" s="42"/>
    </row>
    <row r="926" spans="13:13" ht="12.5">
      <c r="M926" s="42"/>
    </row>
    <row r="927" spans="13:13" ht="12.5">
      <c r="M927" s="42"/>
    </row>
    <row r="928" spans="13:13" ht="12.5">
      <c r="M928" s="42"/>
    </row>
    <row r="929" spans="13:13" ht="12.5">
      <c r="M929" s="42"/>
    </row>
    <row r="930" spans="13:13" ht="12.5">
      <c r="M930" s="42"/>
    </row>
    <row r="931" spans="13:13" ht="12.5">
      <c r="M931" s="42"/>
    </row>
    <row r="932" spans="13:13" ht="12.5">
      <c r="M932" s="42"/>
    </row>
    <row r="933" spans="13:13" ht="12.5">
      <c r="M933" s="42"/>
    </row>
    <row r="934" spans="13:13" ht="12.5">
      <c r="M934" s="42"/>
    </row>
    <row r="935" spans="13:13" ht="12.5">
      <c r="M935" s="42"/>
    </row>
    <row r="936" spans="13:13" ht="12.5">
      <c r="M936" s="42"/>
    </row>
    <row r="937" spans="13:13" ht="12.5">
      <c r="M937" s="42"/>
    </row>
    <row r="938" spans="13:13" ht="12.5">
      <c r="M938" s="42"/>
    </row>
    <row r="939" spans="13:13" ht="12.5">
      <c r="M939" s="42"/>
    </row>
    <row r="940" spans="13:13" ht="12.5">
      <c r="M940" s="42"/>
    </row>
    <row r="941" spans="13:13" ht="12.5">
      <c r="M941" s="42"/>
    </row>
    <row r="942" spans="13:13" ht="12.5">
      <c r="M942" s="42"/>
    </row>
    <row r="943" spans="13:13" ht="12.5">
      <c r="M943" s="42"/>
    </row>
    <row r="944" spans="13:13" ht="12.5">
      <c r="M944" s="42"/>
    </row>
    <row r="945" spans="13:13" ht="12.5">
      <c r="M945" s="42"/>
    </row>
    <row r="946" spans="13:13" ht="12.5">
      <c r="M946" s="42"/>
    </row>
    <row r="947" spans="13:13" ht="12.5">
      <c r="M947" s="42"/>
    </row>
    <row r="948" spans="13:13" ht="12.5">
      <c r="M948" s="42"/>
    </row>
    <row r="949" spans="13:13" ht="12.5">
      <c r="M949" s="42"/>
    </row>
    <row r="950" spans="13:13" ht="12.5">
      <c r="M950" s="42"/>
    </row>
    <row r="951" spans="13:13" ht="12.5">
      <c r="M951" s="42"/>
    </row>
    <row r="952" spans="13:13" ht="12.5">
      <c r="M952" s="42"/>
    </row>
    <row r="953" spans="13:13" ht="12.5">
      <c r="M953" s="42"/>
    </row>
    <row r="954" spans="13:13" ht="12.5">
      <c r="M954" s="42"/>
    </row>
    <row r="955" spans="13:13" ht="12.5">
      <c r="M955" s="42"/>
    </row>
    <row r="956" spans="13:13" ht="12.5">
      <c r="M956" s="42"/>
    </row>
    <row r="957" spans="13:13" ht="12.5">
      <c r="M957" s="42"/>
    </row>
    <row r="958" spans="13:13" ht="12.5">
      <c r="M958" s="42"/>
    </row>
    <row r="959" spans="13:13" ht="12.5">
      <c r="M959" s="42"/>
    </row>
    <row r="960" spans="13:13" ht="12.5">
      <c r="M960" s="42"/>
    </row>
    <row r="961" spans="13:13" ht="12.5">
      <c r="M961" s="42"/>
    </row>
    <row r="962" spans="13:13" ht="12.5">
      <c r="M962" s="42"/>
    </row>
    <row r="963" spans="13:13" ht="12.5">
      <c r="M963" s="42"/>
    </row>
    <row r="964" spans="13:13" ht="12.5">
      <c r="M964" s="42"/>
    </row>
    <row r="965" spans="13:13" ht="12.5">
      <c r="M965" s="42"/>
    </row>
    <row r="966" spans="13:13" ht="12.5">
      <c r="M966" s="42"/>
    </row>
    <row r="967" spans="13:13" ht="12.5">
      <c r="M967" s="42"/>
    </row>
    <row r="968" spans="13:13" ht="12.5">
      <c r="M968" s="42"/>
    </row>
    <row r="969" spans="13:13" ht="12.5">
      <c r="M969" s="42"/>
    </row>
    <row r="970" spans="13:13" ht="12.5">
      <c r="M970" s="42"/>
    </row>
    <row r="971" spans="13:13" ht="12.5">
      <c r="M971" s="42"/>
    </row>
    <row r="972" spans="13:13" ht="12.5">
      <c r="M972" s="42"/>
    </row>
    <row r="973" spans="13:13" ht="12.5">
      <c r="M973" s="42"/>
    </row>
    <row r="974" spans="13:13" ht="12.5">
      <c r="M974" s="42"/>
    </row>
    <row r="975" spans="13:13" ht="12.5">
      <c r="M975" s="42"/>
    </row>
    <row r="976" spans="13:13" ht="12.5">
      <c r="M976" s="42"/>
    </row>
    <row r="977" spans="13:13" ht="12.5">
      <c r="M977" s="42"/>
    </row>
    <row r="978" spans="13:13" ht="12.5">
      <c r="M978" s="42"/>
    </row>
    <row r="979" spans="13:13" ht="12.5">
      <c r="M979" s="42"/>
    </row>
    <row r="980" spans="13:13" ht="12.5">
      <c r="M980" s="42"/>
    </row>
    <row r="981" spans="13:13" ht="12.5">
      <c r="M981" s="42"/>
    </row>
    <row r="982" spans="13:13" ht="12.5">
      <c r="M982" s="42"/>
    </row>
    <row r="983" spans="13:13" ht="12.5">
      <c r="M983" s="42"/>
    </row>
    <row r="984" spans="13:13" ht="12.5">
      <c r="M984" s="42"/>
    </row>
    <row r="985" spans="13:13" ht="12.5">
      <c r="M985" s="42"/>
    </row>
    <row r="986" spans="13:13" ht="12.5">
      <c r="M986" s="42"/>
    </row>
    <row r="987" spans="13:13" ht="12.5">
      <c r="M987" s="42"/>
    </row>
    <row r="988" spans="13:13" ht="12.5">
      <c r="M988" s="42"/>
    </row>
    <row r="989" spans="13:13" ht="12.5">
      <c r="M989" s="42"/>
    </row>
    <row r="990" spans="13:13" ht="12.5">
      <c r="M990" s="42"/>
    </row>
    <row r="991" spans="13:13" ht="12.5">
      <c r="M991" s="42"/>
    </row>
  </sheetData>
  <mergeCells count="3">
    <mergeCell ref="C1:M1"/>
    <mergeCell ref="C2:M2"/>
    <mergeCell ref="C3:M3"/>
  </mergeCells>
  <dataValidations count="1">
    <dataValidation type="list" allowBlank="1" sqref="O2">
      <formula1>$N$6:$N$15</formula1>
    </dataValidation>
  </dataValidations>
  <hyperlinks>
    <hyperlink ref="N1" r:id="rId1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H169"/>
  <sheetViews>
    <sheetView showGridLines="0" tabSelected="1" workbookViewId="0">
      <selection activeCell="F10" sqref="F1:I1048576"/>
    </sheetView>
  </sheetViews>
  <sheetFormatPr defaultColWidth="12.6328125" defaultRowHeight="15.75" customHeight="1"/>
  <cols>
    <col min="1" max="1" width="1.08984375" customWidth="1"/>
    <col min="2" max="2" width="3.26953125" customWidth="1"/>
    <col min="3" max="3" width="19.6328125" customWidth="1"/>
    <col min="4" max="4" width="5.26953125" customWidth="1"/>
    <col min="5" max="5" width="15.08984375" customWidth="1"/>
    <col min="6" max="9" width="3.1796875" customWidth="1"/>
    <col min="10" max="26" width="2.453125" customWidth="1"/>
    <col min="27" max="27" width="2" customWidth="1"/>
    <col min="28" max="28" width="2.26953125" customWidth="1"/>
    <col min="29" max="29" width="2.453125" customWidth="1"/>
    <col min="30" max="30" width="3.453125" customWidth="1"/>
    <col min="31" max="31" width="3.36328125" customWidth="1"/>
    <col min="32" max="33" width="3" hidden="1" customWidth="1"/>
    <col min="34" max="50" width="2.453125" hidden="1" customWidth="1"/>
    <col min="51" max="54" width="3" hidden="1" customWidth="1"/>
    <col min="55" max="55" width="3.26953125" hidden="1" customWidth="1"/>
    <col min="56" max="56" width="3.453125" hidden="1" customWidth="1"/>
    <col min="57" max="57" width="3" hidden="1" customWidth="1"/>
    <col min="58" max="59" width="3.36328125" hidden="1" customWidth="1"/>
    <col min="60" max="60" width="3.26953125" hidden="1" customWidth="1"/>
    <col min="61" max="64" width="12.6328125" hidden="1"/>
    <col min="65" max="98" width="3.08984375" hidden="1" customWidth="1"/>
    <col min="99" max="112" width="3.26953125" hidden="1" customWidth="1"/>
  </cols>
  <sheetData>
    <row r="1" spans="1:112" ht="24" customHeight="1">
      <c r="A1" s="43"/>
      <c r="B1" s="334" t="s">
        <v>177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335" t="s">
        <v>178</v>
      </c>
      <c r="Y1" s="264"/>
      <c r="Z1" s="264"/>
      <c r="AA1" s="264"/>
      <c r="AB1" s="264"/>
      <c r="AC1" s="264"/>
      <c r="AD1" s="264"/>
      <c r="AE1" s="45"/>
      <c r="AF1" s="46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8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50"/>
      <c r="BN1" s="49"/>
      <c r="BO1" s="49"/>
      <c r="BP1" s="49"/>
      <c r="BQ1" s="49"/>
      <c r="BR1" s="50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51"/>
      <c r="CJ1" s="49"/>
      <c r="CK1" s="52"/>
      <c r="CL1" s="53"/>
      <c r="CM1" s="52"/>
      <c r="CN1" s="52"/>
      <c r="CO1" s="52"/>
      <c r="CP1" s="52"/>
      <c r="CQ1" s="52"/>
      <c r="CR1" s="52"/>
      <c r="CS1" s="53"/>
      <c r="CT1" s="52"/>
      <c r="CU1" s="52"/>
      <c r="CV1" s="53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</row>
    <row r="2" spans="1:112" ht="53.25" customHeight="1">
      <c r="A2" s="54"/>
      <c r="B2" s="336" t="s">
        <v>179</v>
      </c>
      <c r="C2" s="337"/>
      <c r="D2" s="338"/>
      <c r="E2" s="339" t="str">
        <f ca="1">Пр.взв!C2</f>
        <v>Первенство России по самбо юниорки 18-20 лет (отбор на Первенство Мира и Европы) ЕКП № 23752</v>
      </c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40"/>
      <c r="AE2" s="45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55">
        <f ca="1">Пр.взв!O3</f>
        <v>0</v>
      </c>
      <c r="AZ2" s="56"/>
      <c r="BA2" s="57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50"/>
      <c r="BN2" s="49"/>
      <c r="BO2" s="49"/>
      <c r="BP2" s="49"/>
      <c r="BQ2" s="49"/>
      <c r="BR2" s="50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330"/>
      <c r="CJ2" s="264"/>
      <c r="CK2" s="52"/>
      <c r="CL2" s="53"/>
      <c r="CM2" s="52"/>
      <c r="CN2" s="52"/>
      <c r="CO2" s="52"/>
      <c r="CP2" s="52"/>
      <c r="CQ2" s="52"/>
      <c r="CR2" s="52"/>
      <c r="CS2" s="53"/>
      <c r="CT2" s="52"/>
      <c r="CU2" s="52"/>
      <c r="CV2" s="341"/>
      <c r="CW2" s="264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</row>
    <row r="3" spans="1:112" ht="15.5">
      <c r="A3" s="59"/>
      <c r="B3" s="342" t="s">
        <v>180</v>
      </c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305"/>
      <c r="Q3" s="317" t="str">
        <f ca="1">AY3&amp;" "&amp;AZ3</f>
        <v>0 участников</v>
      </c>
      <c r="R3" s="264"/>
      <c r="S3" s="264"/>
      <c r="T3" s="264"/>
      <c r="U3" s="264"/>
      <c r="V3" s="264"/>
      <c r="W3" s="264"/>
      <c r="X3" s="264"/>
      <c r="Y3" s="305"/>
      <c r="Z3" s="304" t="str">
        <f>Пр.взв!G4</f>
        <v>В.к.  59  кг</v>
      </c>
      <c r="AA3" s="264"/>
      <c r="AB3" s="264"/>
      <c r="AC3" s="264"/>
      <c r="AD3" s="305"/>
      <c r="AE3" s="60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2">
        <f ca="1">AY2</f>
        <v>0</v>
      </c>
      <c r="AZ3" s="329" t="s">
        <v>5</v>
      </c>
      <c r="BA3" s="264"/>
      <c r="BB3" s="264"/>
      <c r="BC3" s="330">
        <f ca="1">AY2/2+0.5</f>
        <v>0.5</v>
      </c>
      <c r="BD3" s="264"/>
      <c r="BE3" s="49"/>
      <c r="BF3" s="49"/>
      <c r="BG3" s="49"/>
      <c r="BH3" s="48"/>
      <c r="BI3" s="49"/>
      <c r="BJ3" s="49"/>
      <c r="BK3" s="331"/>
      <c r="BL3" s="49"/>
      <c r="BM3" s="50"/>
      <c r="BN3" s="49"/>
      <c r="BO3" s="49"/>
      <c r="BP3" s="49"/>
      <c r="BQ3" s="49"/>
      <c r="BR3" s="50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63"/>
      <c r="CJ3" s="49"/>
      <c r="CK3" s="52"/>
      <c r="CL3" s="64"/>
      <c r="CM3" s="52"/>
      <c r="CN3" s="52"/>
      <c r="CO3" s="52"/>
      <c r="CP3" s="52"/>
      <c r="CQ3" s="52"/>
      <c r="CR3" s="52"/>
      <c r="CS3" s="64"/>
      <c r="CT3" s="52"/>
      <c r="CU3" s="52"/>
      <c r="CV3" s="64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</row>
    <row r="4" spans="1:112" ht="15.5">
      <c r="A4" s="318"/>
      <c r="B4" s="319" t="s">
        <v>9</v>
      </c>
      <c r="C4" s="321" t="s">
        <v>10</v>
      </c>
      <c r="D4" s="323" t="s">
        <v>12</v>
      </c>
      <c r="E4" s="325" t="s">
        <v>14</v>
      </c>
      <c r="F4" s="326" t="s">
        <v>181</v>
      </c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8"/>
      <c r="AB4" s="306" t="s">
        <v>182</v>
      </c>
      <c r="AC4" s="308" t="s">
        <v>183</v>
      </c>
      <c r="AD4" s="309" t="s">
        <v>184</v>
      </c>
      <c r="AE4" s="311"/>
      <c r="AF4" s="312" t="s">
        <v>184</v>
      </c>
      <c r="AG4" s="313"/>
      <c r="AH4" s="289">
        <v>1</v>
      </c>
      <c r="AI4" s="289">
        <v>2</v>
      </c>
      <c r="AJ4" s="289">
        <v>3</v>
      </c>
      <c r="AK4" s="289">
        <v>4</v>
      </c>
      <c r="AL4" s="289">
        <v>5</v>
      </c>
      <c r="AM4" s="289">
        <v>6</v>
      </c>
      <c r="AN4" s="289">
        <v>7</v>
      </c>
      <c r="AO4" s="289">
        <v>8</v>
      </c>
      <c r="AP4" s="313" t="s">
        <v>185</v>
      </c>
      <c r="AQ4" s="289" t="s">
        <v>186</v>
      </c>
      <c r="AR4" s="313" t="s">
        <v>187</v>
      </c>
      <c r="AS4" s="313" t="s">
        <v>184</v>
      </c>
      <c r="AT4" s="61"/>
      <c r="AU4" s="61"/>
      <c r="AV4" s="61"/>
      <c r="AW4" s="61"/>
      <c r="AX4" s="61"/>
      <c r="AY4" s="65">
        <v>5</v>
      </c>
      <c r="AZ4" s="330" t="s">
        <v>188</v>
      </c>
      <c r="BA4" s="264"/>
      <c r="BB4" s="49"/>
      <c r="BC4" s="332" t="s">
        <v>189</v>
      </c>
      <c r="BD4" s="264"/>
      <c r="BE4" s="333">
        <f ca="1">SUM(AY4*AY2,AY8,BA8,BC8,BE8)</f>
        <v>0</v>
      </c>
      <c r="BF4" s="264"/>
      <c r="BG4" s="286" t="s">
        <v>188</v>
      </c>
      <c r="BH4" s="264"/>
      <c r="BI4" s="330" t="s">
        <v>188</v>
      </c>
      <c r="BJ4" s="264"/>
      <c r="BK4" s="264"/>
      <c r="BL4" s="49"/>
      <c r="BM4" s="66"/>
      <c r="BN4" s="67"/>
      <c r="BO4" s="67"/>
      <c r="BP4" s="67"/>
      <c r="BQ4" s="68"/>
      <c r="BR4" s="69" t="s">
        <v>190</v>
      </c>
      <c r="BS4" s="49"/>
      <c r="BT4" s="49"/>
      <c r="BU4" s="49"/>
      <c r="BV4" s="49"/>
      <c r="BW4" s="70" t="s">
        <v>191</v>
      </c>
      <c r="BX4" s="71"/>
      <c r="BY4" s="71"/>
      <c r="BZ4" s="71"/>
      <c r="CA4" s="71"/>
      <c r="CB4" s="71"/>
      <c r="CC4" s="71"/>
      <c r="CD4" s="72"/>
      <c r="CE4" s="73" t="s">
        <v>192</v>
      </c>
      <c r="CF4" s="73"/>
      <c r="CG4" s="73"/>
      <c r="CH4" s="73"/>
      <c r="CI4" s="63"/>
      <c r="CJ4" s="73" t="s">
        <v>193</v>
      </c>
      <c r="CK4" s="53"/>
      <c r="CL4" s="64"/>
      <c r="CM4" s="52"/>
      <c r="CN4" s="52"/>
      <c r="CO4" s="53" t="s">
        <v>194</v>
      </c>
      <c r="CP4" s="53"/>
      <c r="CQ4" s="53"/>
      <c r="CR4" s="53"/>
      <c r="CS4" s="64"/>
      <c r="CT4" s="53" t="s">
        <v>195</v>
      </c>
      <c r="CU4" s="53"/>
      <c r="CV4" s="64"/>
      <c r="CW4" s="52"/>
      <c r="CX4" s="52"/>
      <c r="CY4" s="53" t="s">
        <v>196</v>
      </c>
      <c r="CZ4" s="52"/>
      <c r="DA4" s="52"/>
      <c r="DB4" s="52"/>
      <c r="DC4" s="52"/>
      <c r="DD4" s="52"/>
      <c r="DE4" s="52"/>
      <c r="DF4" s="52"/>
      <c r="DG4" s="52"/>
      <c r="DH4" s="52"/>
    </row>
    <row r="5" spans="1:112" ht="14">
      <c r="A5" s="264"/>
      <c r="B5" s="320"/>
      <c r="C5" s="322"/>
      <c r="D5" s="324"/>
      <c r="E5" s="307"/>
      <c r="F5" s="314">
        <v>1</v>
      </c>
      <c r="G5" s="315"/>
      <c r="H5" s="314">
        <v>2</v>
      </c>
      <c r="I5" s="315"/>
      <c r="J5" s="314">
        <v>3</v>
      </c>
      <c r="K5" s="315"/>
      <c r="L5" s="316">
        <v>4</v>
      </c>
      <c r="M5" s="315"/>
      <c r="N5" s="314">
        <v>5</v>
      </c>
      <c r="O5" s="315"/>
      <c r="P5" s="316">
        <v>6</v>
      </c>
      <c r="Q5" s="315"/>
      <c r="R5" s="314">
        <v>7</v>
      </c>
      <c r="S5" s="315"/>
      <c r="T5" s="316">
        <v>8</v>
      </c>
      <c r="U5" s="315"/>
      <c r="V5" s="316" t="s">
        <v>197</v>
      </c>
      <c r="W5" s="315"/>
      <c r="X5" s="314" t="s">
        <v>198</v>
      </c>
      <c r="Y5" s="315"/>
      <c r="Z5" s="314" t="s">
        <v>199</v>
      </c>
      <c r="AA5" s="315"/>
      <c r="AB5" s="307"/>
      <c r="AC5" s="307"/>
      <c r="AD5" s="310"/>
      <c r="AE5" s="305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3"/>
      <c r="AT5" s="61"/>
      <c r="AU5" s="61"/>
      <c r="AV5" s="61"/>
      <c r="AW5" s="61"/>
      <c r="AX5" s="61"/>
      <c r="AY5" s="61"/>
      <c r="AZ5" s="74" t="s">
        <v>200</v>
      </c>
      <c r="BA5" s="75" t="s">
        <v>201</v>
      </c>
      <c r="BB5" s="76" t="s">
        <v>199</v>
      </c>
      <c r="BC5" s="77"/>
      <c r="BD5" s="77"/>
      <c r="BE5" s="77"/>
      <c r="BF5" s="77"/>
      <c r="BG5" s="77"/>
      <c r="BH5" s="77"/>
      <c r="BI5" s="78"/>
      <c r="BJ5" s="78"/>
      <c r="BK5" s="49"/>
      <c r="BL5" s="49"/>
      <c r="BM5" s="79"/>
      <c r="BN5" s="49"/>
      <c r="BO5" s="73"/>
      <c r="BP5" s="73">
        <v>1</v>
      </c>
      <c r="BQ5" s="80">
        <f ca="1">IFERROR(__xludf.DUMMYFUNCTION("QUERY(BP5:BP164,""select BP where BP is not null"")"),1)</f>
        <v>1</v>
      </c>
      <c r="BR5" s="50"/>
      <c r="BS5" s="49"/>
      <c r="BT5" s="49"/>
      <c r="BU5" s="73">
        <v>1</v>
      </c>
      <c r="BV5" s="81">
        <f ca="1">IFERROR(__xludf.DUMMYFUNCTION("QUERY(BU5:BU164,""select BU where BU is not null"")"),1)</f>
        <v>1</v>
      </c>
      <c r="BW5" s="82"/>
      <c r="BX5" s="49"/>
      <c r="BY5" s="49"/>
      <c r="BZ5" s="73">
        <v>1</v>
      </c>
      <c r="CA5" s="81">
        <f ca="1">IFERROR(__xludf.DUMMYFUNCTION("QUERY(BZ5:BZ164,""select BZ where BZ is not null"")"),1)</f>
        <v>1</v>
      </c>
      <c r="CB5" s="49"/>
      <c r="CC5" s="49"/>
      <c r="CD5" s="83"/>
      <c r="CE5" s="49"/>
      <c r="CF5" s="49"/>
      <c r="CG5" s="73"/>
      <c r="CH5" s="73">
        <v>1</v>
      </c>
      <c r="CI5" s="81">
        <f ca="1">IFERROR(__xludf.DUMMYFUNCTION("QUERY(CH5:CH164,""select CH where CH is not null"")"),1)</f>
        <v>1</v>
      </c>
      <c r="CJ5" s="73"/>
      <c r="CK5" s="84"/>
      <c r="CL5" s="64"/>
      <c r="CM5" s="53">
        <v>1</v>
      </c>
      <c r="CN5" s="81">
        <f ca="1">IFERROR(__xludf.DUMMYFUNCTION("QUERY(CM5:CM164,""select CM where CM is not null"")"),1)</f>
        <v>1</v>
      </c>
      <c r="CO5" s="52"/>
      <c r="CP5" s="52"/>
      <c r="CQ5" s="52"/>
      <c r="CR5" s="53">
        <v>1</v>
      </c>
      <c r="CS5" s="81">
        <f ca="1">IFERROR(__xludf.DUMMYFUNCTION("QUERY(CR5:CR164,""select CR where CR is not null"")"),1)</f>
        <v>1</v>
      </c>
      <c r="CT5" s="52"/>
      <c r="CU5" s="52"/>
      <c r="CV5" s="64"/>
      <c r="CW5" s="53">
        <v>1</v>
      </c>
      <c r="CX5" s="81">
        <f ca="1">IFERROR(__xludf.DUMMYFUNCTION("QUERY(CW5:CW164,""select CW where CW is not null"")"),1)</f>
        <v>1</v>
      </c>
      <c r="CY5" s="52"/>
      <c r="CZ5" s="52"/>
      <c r="DA5" s="64"/>
      <c r="DB5" s="53">
        <v>1</v>
      </c>
      <c r="DC5" s="81">
        <f ca="1">IFERROR(__xludf.DUMMYFUNCTION("QUERY(DB5:DB164,""select DB where DB is not null"")"),1)</f>
        <v>1</v>
      </c>
      <c r="DD5" s="81"/>
      <c r="DE5" s="81"/>
      <c r="DF5" s="81"/>
      <c r="DG5" s="81"/>
      <c r="DH5" s="81"/>
    </row>
    <row r="6" spans="1:112" ht="13.5" customHeight="1">
      <c r="A6" s="300"/>
      <c r="B6" s="299">
        <v>1</v>
      </c>
      <c r="C6" s="301" t="str">
        <f>(VLOOKUP($B6,Пр.взв!$D$6:$J$63,2,0))</f>
        <v>ДАВЫДЮК Дарья</v>
      </c>
      <c r="D6" s="302" t="str">
        <f>(VLOOKUP($B6,Пр.взв!$D$6:$J$63,5,0))</f>
        <v>КМС</v>
      </c>
      <c r="E6" s="303" t="str">
        <f>(VLOOKUP($B6,Пр.взв!$D$6:$M$63,8,0))</f>
        <v>Р.Крым</v>
      </c>
      <c r="F6" s="273">
        <v>2</v>
      </c>
      <c r="G6" s="86"/>
      <c r="H6" s="266">
        <v>3</v>
      </c>
      <c r="I6" s="86"/>
      <c r="J6" s="266" t="str">
        <f>IF(H6="Х","Х",IF($AC6&lt;6," ","Х"))</f>
        <v xml:space="preserve"> </v>
      </c>
      <c r="K6" s="87"/>
      <c r="L6" s="266" t="str">
        <f>IF(J6="Х","Х",IF(K6&lt;3," ",IF($AC6&lt;6," ","Х")))</f>
        <v xml:space="preserve"> </v>
      </c>
      <c r="M6" s="87"/>
      <c r="N6" s="266" t="str">
        <f>IF(L6="Х","Х",IF(M6&lt;3," ",IF($AC6&lt;6," ","Х")))</f>
        <v xml:space="preserve"> </v>
      </c>
      <c r="O6" s="87"/>
      <c r="P6" s="266" t="str">
        <f>IF(N6="Х","Х",IF(O6&lt;3," ",IF($AC6&lt;6," ","Х")))</f>
        <v xml:space="preserve"> </v>
      </c>
      <c r="Q6" s="87"/>
      <c r="R6" s="266" t="str">
        <f>IF(P6="Х","Х",IF(Q6&lt;3," ",IF($AC6&lt;6," ","Х")))</f>
        <v xml:space="preserve"> </v>
      </c>
      <c r="S6" s="87"/>
      <c r="T6" s="266" t="str">
        <f>IF(R6="Х","Х",IF(S6&lt;3," ",IF($AC6&lt;6," ","Х")))</f>
        <v xml:space="preserve"> </v>
      </c>
      <c r="U6" s="88"/>
      <c r="V6" s="266" t="str">
        <f>IF(T6="Х","Х",IF(U6&lt;3," ",IF($AC6&lt;6," ","Х")))</f>
        <v xml:space="preserve"> </v>
      </c>
      <c r="W6" s="88"/>
      <c r="X6" s="266" t="str">
        <f>IF(V6="А1",$AZ$7,IF(V6="Б2",$AZ$6,IF(V6="Б1",$BA$7,IF(V6="А2",$BA$6,IF(V6="Х","Х",IF(V6&lt;6," "," "))))))</f>
        <v xml:space="preserve"> </v>
      </c>
      <c r="Y6" s="89"/>
      <c r="Z6" s="266" t="str">
        <f>IF(V6="Х","Х",IF(ISBLANK(Y6),"",IF(Y6&gt;2.5," ",IF(B6=BB$6,BB$7,BB$6))))</f>
        <v/>
      </c>
      <c r="AA6" s="89"/>
      <c r="AB6" s="275" t="str">
        <f>IF(H6="Х",F$5,IF(J6="Х",H$5,IF(L6="Х",J$5,IF(N6="Х",L$5,IF(P6="Х",N$5,IF(R6="Х",P$5,IF(T6="Х",R$5,IF(X6="Х",T$5,""))))))))</f>
        <v/>
      </c>
      <c r="AC6" s="276">
        <f>SUM(G6+I6+K6+M6+O6+Q6+S6+U6+Y6+AA6)</f>
        <v>0</v>
      </c>
      <c r="AD6" s="277" t="str">
        <f>AF6</f>
        <v>1-22</v>
      </c>
      <c r="AE6" s="278" t="str">
        <f>AD6</f>
        <v>1-22</v>
      </c>
      <c r="AF6" s="280" t="str">
        <f>COUNTIF(AG$6:AG$148,"&gt;"&amp;AG$6:AG$148)+1&amp;REPT("-"&amp;COUNTIF(AG$6:AG$148,"&gt;="&amp;AG$6:AG$148),COUNTIF(AG$6:AG$148,AG6)&gt;1)</f>
        <v>1-22</v>
      </c>
      <c r="AG6" s="282">
        <f>(AR6*100)+(AP6*10)-AC6</f>
        <v>1280</v>
      </c>
      <c r="AH6" s="288" t="str">
        <f>IF(OR(F6="Х",F6="св")," ",IF(AND(G6&gt;=0,G6&lt;3),"1"," "))</f>
        <v>1</v>
      </c>
      <c r="AI6" s="289" t="str">
        <f>IF(OR(H6="Х",H6="св")," ",IF(AND(I6&gt;=0,I6&lt;3),"1"," "))</f>
        <v>1</v>
      </c>
      <c r="AJ6" s="289" t="str">
        <f>IF(OR(J6="Х",J6="св")," ",IF(AND(K6&gt;=0,K6&lt;3),"1"," "))</f>
        <v>1</v>
      </c>
      <c r="AK6" s="289" t="str">
        <f>IF(OR(L6="Х",L6="св")," ",IF(AND(M6&gt;=0,M6&lt;3),"1"," "))</f>
        <v>1</v>
      </c>
      <c r="AL6" s="289" t="str">
        <f>IF(OR(N6="Х",N6="св")," ",IF(AND(O6&gt;=0,O6&lt;3),"1"," "))</f>
        <v>1</v>
      </c>
      <c r="AM6" s="289" t="str">
        <f>IF(OR(P6="Х",P6="св")," ",IF(AND(Q6&gt;=0,Q6&lt;3),"1"," "))</f>
        <v>1</v>
      </c>
      <c r="AN6" s="289" t="str">
        <f>IF(OR(R6="Х",R6="св")," ",IF(AND(S6&gt;=0,S6&lt;3),"1"," "))</f>
        <v>1</v>
      </c>
      <c r="AO6" s="289" t="str">
        <f>IF(OR(T6="Х",T6="св")," ",IF(AND(U6&gt;=0,U6&lt;3),"1"," "))</f>
        <v>1</v>
      </c>
      <c r="AP6" s="289">
        <f>COUNTIF(AH6:AO7,1)</f>
        <v>8</v>
      </c>
      <c r="AQ6" s="289">
        <f>AG6-AC6</f>
        <v>1280</v>
      </c>
      <c r="AR6" s="292">
        <f>IF(F6=0,0,IF(F6="Х",1,IF(H6="Х",2,IF(J6="Х",3,IF(L6="Х",4,IF(N6="Х",5,IF(P6="Х",6,IF(R6="Х",7,IF(T6="Х",8,IF(V6="Х",9,IF(Y6&gt;2.5,10,IF(AA6&gt;2.5,11,IF(AA6&gt;=0,12,IF(AA6=" ",0,))))))))))))))</f>
        <v>12</v>
      </c>
      <c r="AS6" s="289" t="str">
        <f>COUNTIF(AG$6:AG$134,"&gt;"&amp;AG$6:AG$134)+1&amp;REPT("-"&amp;COUNTIF(AG$6:AG$134,"&gt;="&amp;AG$6:AG$134),COUNTIF(AG$6:AG$134,AG6)&gt;1)</f>
        <v>1-22</v>
      </c>
      <c r="AT6" s="288" t="str">
        <f t="shared" ref="AT6:AW6" si="0">COUNTIF(AU$6:AU$134,"&gt;"&amp;AU$6:AU$134)+1&amp;REPT("-"&amp;COUNTIF(AU$6:AU$134,"&gt;="&amp;AU$6:AU$134),COUNTIF(AU$6:AU$134,AU6)&gt;1)</f>
        <v>1-64</v>
      </c>
      <c r="AU6" s="288" t="str">
        <f t="shared" si="0"/>
        <v>1-0</v>
      </c>
      <c r="AV6" s="288" t="str">
        <f t="shared" si="0"/>
        <v>1</v>
      </c>
      <c r="AW6" s="288" t="str">
        <f t="shared" si="0"/>
        <v>64</v>
      </c>
      <c r="AX6" s="293">
        <f>IF(X6="Х","Х",IF(Y6&lt;3,B6,"Х"))</f>
        <v>1</v>
      </c>
      <c r="AY6" s="92"/>
      <c r="AZ6" s="93" t="e">
        <f t="array" ref="AZ6">INDEX(B6:V134,MATCH("А1",V6:V134,0),MATCH("№ п/ж",B4:C4,0))</f>
        <v>#N/A</v>
      </c>
      <c r="BA6" s="93" t="e">
        <f t="array" ref="BA6">INDEX(B6:V134,MATCH("Б1",V6:V134,0),MATCH("№ п/ж",B4:C4,0))</f>
        <v>#N/A</v>
      </c>
      <c r="BB6" s="93" t="e">
        <f>IF(ISERROR(BC6),AZ7,AZ6)</f>
        <v>#N/A</v>
      </c>
      <c r="BC6" s="94" t="e">
        <f t="array" ref="BC6">INDEX(B$6:V$134,MATCH(AZ6,AX$6:AX$134,0),MATCH("№ п/ж",B$4:C$4,0))</f>
        <v>#N/A</v>
      </c>
      <c r="BD6" s="93" t="e">
        <f t="shared" ref="BD6:BD7" si="1">INDEX(B$6:V$134,MATCH(BA6,AX$6:AX$134,0),MATCH("№ п/ж",B$4:C$4,0))</f>
        <v>#N/A</v>
      </c>
      <c r="BE6" s="95"/>
      <c r="BF6" s="95"/>
      <c r="BG6" s="92"/>
      <c r="BH6" s="92"/>
      <c r="BI6" s="96"/>
      <c r="BJ6" s="96"/>
      <c r="BK6" s="49"/>
      <c r="BL6" s="49"/>
      <c r="BM6" s="343">
        <f t="array" ref="BM6:BM164">IF($B6:$B164="","",(IF(F6:F164="х"," ",$B6:$B164)))</f>
        <v>1</v>
      </c>
      <c r="BN6" s="296">
        <f t="array" ref="BN6:BN164">IF(BR6:BR164=" "," ",F6:F164)</f>
        <v>2</v>
      </c>
      <c r="BO6" s="98">
        <f>IF(BM6&lt;BN6,BM6,"")</f>
        <v>1</v>
      </c>
      <c r="BP6" s="99">
        <f t="array" ref="BP6:BP164">IF(BO6:BO164="св",0,BO6:BO164)</f>
        <v>1</v>
      </c>
      <c r="BQ6" s="100">
        <f ca="1">IFERROR(__xludf.DUMMYFUNCTION("""COMPUTED_VALUE"""),1)</f>
        <v>1</v>
      </c>
      <c r="BR6" s="346">
        <f t="array" ref="BR6:BR164">IF($H6:$H164="","",(IF(H6:H164="х"," ",$B6:$B164)))</f>
        <v>1</v>
      </c>
      <c r="BS6" s="349">
        <f t="array" ref="BS6:BS164">IF(BR6:BR164=" "," ",H6:H164)</f>
        <v>3</v>
      </c>
      <c r="BT6" s="98">
        <f>IF(BR6&lt;BS6,BR6,"")</f>
        <v>1</v>
      </c>
      <c r="BU6" s="99">
        <f t="array" ref="BU6:BU164">IF(BT6:BT164="св",0,BT6:BT164)</f>
        <v>1</v>
      </c>
      <c r="BV6" s="101">
        <f ca="1">IFERROR(__xludf.DUMMYFUNCTION("""COMPUTED_VALUE"""),1)</f>
        <v>1</v>
      </c>
      <c r="BW6" s="350">
        <f t="array" ref="BW6:BW164">IF($J6:$J164="","",(IF(J6:J164="х"," ",$B6:$B164)))</f>
        <v>1</v>
      </c>
      <c r="BX6" s="286" t="str">
        <f t="array" ref="BX6:BX164">IF(BW6:BW164=" "," ",J6:J164)</f>
        <v xml:space="preserve"> </v>
      </c>
      <c r="BY6" s="102">
        <f t="array" ref="BY6">IF(BW6&lt;BX6,BW6,"")</f>
        <v>1</v>
      </c>
      <c r="BZ6" s="102">
        <f t="shared" ref="BZ6:BZ31" si="2">IF(BY6="св",0,BY6)</f>
        <v>1</v>
      </c>
      <c r="CA6" s="103">
        <f ca="1">IFERROR(__xludf.DUMMYFUNCTION("""COMPUTED_VALUE"""),1)</f>
        <v>1</v>
      </c>
      <c r="CB6" s="63">
        <f t="shared" ref="CB6:CB31" ca="1" si="3">IF(CA6=0,"св",CA6)</f>
        <v>1</v>
      </c>
      <c r="CC6" s="97" t="str">
        <f ca="1">IFERROR(__xludf.DUMMYFUNCTION("QUERY(BY6:BZ164,""select BW,BX where BX is not null"")"),"#VALUE!")</f>
        <v>#VALUE!</v>
      </c>
      <c r="CD6" s="104"/>
      <c r="CE6" s="346">
        <f t="array" ref="CE6:CE164">IF($B6:$B164="","",(IF(L6:L164="х"," ",$B6:$B164)))</f>
        <v>1</v>
      </c>
      <c r="CF6" s="349" t="str">
        <f t="array" ref="CF6:CF164">IF(CE6:CE164=" "," ",L6:L164)</f>
        <v xml:space="preserve"> </v>
      </c>
      <c r="CG6" s="98">
        <f t="array" ref="CG6">IF(CE6&lt;CF6,CE6,"")</f>
        <v>1</v>
      </c>
      <c r="CH6" s="99">
        <f t="array" ref="CH6:CH164">IF(CG6:CG164="св",0,CG6:CG164)</f>
        <v>1</v>
      </c>
      <c r="CI6" s="105">
        <f ca="1">IFERROR(__xludf.DUMMYFUNCTION("""COMPUTED_VALUE"""),1)</f>
        <v>1</v>
      </c>
      <c r="CJ6" s="347">
        <f t="array" ref="CJ6:CJ164">IF($B6:$B164="","",(IF(N6:N164="х"," ",$B6:$B164)))</f>
        <v>1</v>
      </c>
      <c r="CK6" s="349" t="str">
        <f t="array" ref="CK6:CK164">IF(CJ6:CJ164=" "," ",N6:N164)</f>
        <v xml:space="preserve"> </v>
      </c>
      <c r="CL6" s="98">
        <f t="array" ref="CL6">IF(CJ6&lt;CK6,CJ6,"")</f>
        <v>1</v>
      </c>
      <c r="CM6" s="99">
        <f t="array" ref="CM6:CM164">IF(CL6:CL164="св",0,CL6:CL164)</f>
        <v>1</v>
      </c>
      <c r="CN6" s="105">
        <f ca="1">IFERROR(__xludf.DUMMYFUNCTION("""COMPUTED_VALUE"""),1)</f>
        <v>1</v>
      </c>
      <c r="CO6" s="347">
        <f t="array" ref="CO6:CO164">IF($B6:$B164="","",(IF(P6:P164="х"," ",$B6:$B164)))</f>
        <v>1</v>
      </c>
      <c r="CP6" s="349" t="str">
        <f t="array" ref="CP6:CP164">IF(CO6:CO164=" "," ",P6:P164)</f>
        <v xml:space="preserve"> </v>
      </c>
      <c r="CQ6" s="98">
        <f t="array" ref="CQ6">IF(CO6&lt;CP6,CO6,"")</f>
        <v>1</v>
      </c>
      <c r="CR6" s="99">
        <f t="array" ref="CR6:CR164">IF(CQ6:CQ164="св",0,CQ6:CQ164)</f>
        <v>1</v>
      </c>
      <c r="CS6" s="105">
        <f ca="1">IFERROR(__xludf.DUMMYFUNCTION("""COMPUTED_VALUE"""),1)</f>
        <v>1</v>
      </c>
      <c r="CT6" s="347">
        <f t="array" ref="CT6:CT164">IF($B6:$B164="","",(IF(R6:R164="х"," ",$B6:$B164)))</f>
        <v>1</v>
      </c>
      <c r="CU6" s="349" t="str">
        <f t="array" ref="CU6:CU164">IF(CT6:CT164=" "," ",R6:R164)</f>
        <v xml:space="preserve"> </v>
      </c>
      <c r="CV6" s="98">
        <f t="array" ref="CV6">IF(CT6&lt;CU6,CT6,"")</f>
        <v>1</v>
      </c>
      <c r="CW6" s="99">
        <f t="array" ref="CW6:CW164">IF(CV6:CV164="св",0,CV6:CV164)</f>
        <v>1</v>
      </c>
      <c r="CX6" s="105">
        <f ca="1">IFERROR(__xludf.DUMMYFUNCTION("""COMPUTED_VALUE"""),1)</f>
        <v>1</v>
      </c>
      <c r="CY6" s="347">
        <f t="array" ref="CY6:CY164">IF($B6:$B164="","",(IF(T6:T164="х"," ",$B6:$B164)))</f>
        <v>1</v>
      </c>
      <c r="CZ6" s="349" t="str">
        <f t="array" ref="CZ6:CZ164">IF(CY6:CY164=" "," ",T6:T164)</f>
        <v xml:space="preserve"> </v>
      </c>
      <c r="DA6" s="98">
        <f t="array" ref="DA6">IF(CY6&lt;CZ6,CY6,"")</f>
        <v>1</v>
      </c>
      <c r="DB6" s="99">
        <f t="array" ref="DB6:DB164">IF(DA6:DA164="св",0,DA6:DA164)</f>
        <v>1</v>
      </c>
      <c r="DC6" s="105">
        <f ca="1">IFERROR(__xludf.DUMMYFUNCTION("""COMPUTED_VALUE"""),1)</f>
        <v>1</v>
      </c>
      <c r="DD6" s="347">
        <f t="array" ref="DD6:DD164">IF($B6:$B164="","",(IF(T6:T164="х"," ",$B6:$B164)))</f>
        <v>1</v>
      </c>
      <c r="DE6" s="103"/>
      <c r="DF6" s="103"/>
      <c r="DG6" s="103"/>
      <c r="DH6" s="103"/>
    </row>
    <row r="7" spans="1:112" ht="13.5" customHeight="1">
      <c r="A7" s="264"/>
      <c r="B7" s="269"/>
      <c r="C7" s="269"/>
      <c r="D7" s="269"/>
      <c r="E7" s="269"/>
      <c r="F7" s="274"/>
      <c r="G7" s="106"/>
      <c r="H7" s="267"/>
      <c r="I7" s="106"/>
      <c r="J7" s="267"/>
      <c r="K7" s="106"/>
      <c r="L7" s="267"/>
      <c r="M7" s="106"/>
      <c r="N7" s="267"/>
      <c r="O7" s="106"/>
      <c r="P7" s="267"/>
      <c r="Q7" s="106"/>
      <c r="R7" s="267"/>
      <c r="S7" s="106"/>
      <c r="T7" s="267"/>
      <c r="U7" s="107"/>
      <c r="V7" s="267"/>
      <c r="W7" s="107"/>
      <c r="X7" s="267"/>
      <c r="Y7" s="106"/>
      <c r="Z7" s="267"/>
      <c r="AA7" s="106"/>
      <c r="AB7" s="274"/>
      <c r="AC7" s="269"/>
      <c r="AD7" s="267"/>
      <c r="AE7" s="279"/>
      <c r="AF7" s="281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64"/>
      <c r="AY7" s="92"/>
      <c r="AZ7" s="93" t="e">
        <f t="array" ref="AZ7">INDEX(B6:V134,MATCH("Б2",V6:V134,0),MATCH("№ п/ж",B4:C4,0))</f>
        <v>#N/A</v>
      </c>
      <c r="BA7" s="108" t="e">
        <f t="array" ref="BA7">INDEX(B6:V134,MATCH("А2",V6:V134,0),MATCH("№ п/ж",B4:C4,0))</f>
        <v>#N/A</v>
      </c>
      <c r="BB7" s="93" t="e">
        <f>IF(ISERROR(BD6),BA7,BA6)</f>
        <v>#N/A</v>
      </c>
      <c r="BC7" s="94" t="e">
        <f t="array" ref="BC7">INDEX(B6:V118,MATCH(AZ7,AX6:AX118,0),MATCH("№ п/ж",B4:C4,0))</f>
        <v>#N/A</v>
      </c>
      <c r="BD7" s="93" t="e">
        <f t="shared" si="1"/>
        <v>#N/A</v>
      </c>
      <c r="BE7" s="95"/>
      <c r="BF7" s="95"/>
      <c r="BG7" s="92"/>
      <c r="BH7" s="92"/>
      <c r="BI7" s="96"/>
      <c r="BJ7" s="96"/>
      <c r="BK7" s="49"/>
      <c r="BL7" s="49"/>
      <c r="BM7" s="344" t="str">
        <v/>
      </c>
      <c r="BN7" s="345">
        <v>0</v>
      </c>
      <c r="BO7" s="109">
        <f>IF(BO6="","",BN6)</f>
        <v>2</v>
      </c>
      <c r="BP7" s="102">
        <v>2</v>
      </c>
      <c r="BQ7" s="110">
        <f ca="1">IFERROR(__xludf.DUMMYFUNCTION("""COMPUTED_VALUE"""),2)</f>
        <v>2</v>
      </c>
      <c r="BR7" s="345" t="str">
        <v/>
      </c>
      <c r="BS7" s="345">
        <v>0</v>
      </c>
      <c r="BT7" s="109">
        <f>IF(BT6="","",BS6)</f>
        <v>3</v>
      </c>
      <c r="BU7" s="102">
        <v>3</v>
      </c>
      <c r="BV7" s="111">
        <f ca="1">IFERROR(__xludf.DUMMYFUNCTION("""COMPUTED_VALUE"""),3)</f>
        <v>3</v>
      </c>
      <c r="BW7" s="285" t="str">
        <v/>
      </c>
      <c r="BX7" s="264">
        <v>0</v>
      </c>
      <c r="BY7" s="102" t="str">
        <f>IF(BY6="","",BX6)</f>
        <v xml:space="preserve"> </v>
      </c>
      <c r="BZ7" s="102" t="str">
        <f t="shared" si="2"/>
        <v xml:space="preserve"> </v>
      </c>
      <c r="CA7" s="63">
        <f ca="1">IFERROR(__xludf.DUMMYFUNCTION("""COMPUTED_VALUE"""),2)</f>
        <v>2</v>
      </c>
      <c r="CB7" s="63">
        <f t="shared" ca="1" si="3"/>
        <v>2</v>
      </c>
      <c r="CC7" s="63"/>
      <c r="CD7" s="112"/>
      <c r="CE7" s="345" t="str">
        <v/>
      </c>
      <c r="CF7" s="345">
        <v>0</v>
      </c>
      <c r="CG7" s="113" t="str">
        <f>IF(CG6="","",CF6)</f>
        <v xml:space="preserve"> </v>
      </c>
      <c r="CH7" s="114" t="str">
        <v xml:space="preserve"> </v>
      </c>
      <c r="CI7" s="115">
        <f ca="1">IFERROR(__xludf.DUMMYFUNCTION("""COMPUTED_VALUE"""),2)</f>
        <v>2</v>
      </c>
      <c r="CJ7" s="348" t="str">
        <v/>
      </c>
      <c r="CK7" s="345">
        <v>0</v>
      </c>
      <c r="CL7" s="113" t="str">
        <f>IF(CL6="","",CK6)</f>
        <v xml:space="preserve"> </v>
      </c>
      <c r="CM7" s="116" t="str">
        <v xml:space="preserve"> </v>
      </c>
      <c r="CN7" s="117">
        <f ca="1">IFERROR(__xludf.DUMMYFUNCTION("""COMPUTED_VALUE"""),2)</f>
        <v>2</v>
      </c>
      <c r="CO7" s="348" t="str">
        <v/>
      </c>
      <c r="CP7" s="345">
        <v>0</v>
      </c>
      <c r="CQ7" s="113" t="str">
        <f>IF(CQ6="","",CP6)</f>
        <v xml:space="preserve"> </v>
      </c>
      <c r="CR7" s="116" t="str">
        <v xml:space="preserve"> </v>
      </c>
      <c r="CS7" s="118">
        <f ca="1">IFERROR(__xludf.DUMMYFUNCTION("""COMPUTED_VALUE"""),2)</f>
        <v>2</v>
      </c>
      <c r="CT7" s="348" t="str">
        <v/>
      </c>
      <c r="CU7" s="345">
        <v>0</v>
      </c>
      <c r="CV7" s="113" t="str">
        <f>IF(CV6="","",CU6)</f>
        <v xml:space="preserve"> </v>
      </c>
      <c r="CW7" s="52" t="str">
        <v xml:space="preserve"> </v>
      </c>
      <c r="CX7" s="52">
        <f ca="1">IFERROR(__xludf.DUMMYFUNCTION("""COMPUTED_VALUE"""),2)</f>
        <v>2</v>
      </c>
      <c r="CY7" s="348" t="str">
        <v/>
      </c>
      <c r="CZ7" s="345">
        <v>0</v>
      </c>
      <c r="DA7" s="113" t="str">
        <f>IF(DA6="","",CZ6)</f>
        <v xml:space="preserve"> </v>
      </c>
      <c r="DB7" s="52" t="str">
        <v xml:space="preserve"> </v>
      </c>
      <c r="DC7" s="52">
        <f ca="1">IFERROR(__xludf.DUMMYFUNCTION("""COMPUTED_VALUE"""),2)</f>
        <v>2</v>
      </c>
      <c r="DD7" s="348" t="str">
        <v/>
      </c>
      <c r="DE7" s="52"/>
      <c r="DF7" s="52"/>
      <c r="DG7" s="52"/>
      <c r="DH7" s="52"/>
    </row>
    <row r="8" spans="1:112" ht="13.5" customHeight="1">
      <c r="A8" s="300"/>
      <c r="B8" s="268">
        <v>2</v>
      </c>
      <c r="C8" s="270" t="str">
        <f>(VLOOKUP($B8,Пр.взв!$D$6:$J$63,2,0))</f>
        <v>ДЖУМАЕВА Яна</v>
      </c>
      <c r="D8" s="271" t="str">
        <f>(VLOOKUP($B8,Пр.взв!$D$6:$J$63,5,0))</f>
        <v>КМС</v>
      </c>
      <c r="E8" s="272" t="str">
        <f>(VLOOKUP($B8,Пр.взв!$D$6:$M$63,8,0))</f>
        <v>Свердловская</v>
      </c>
      <c r="F8" s="273">
        <v>1</v>
      </c>
      <c r="G8" s="86"/>
      <c r="H8" s="266">
        <v>4</v>
      </c>
      <c r="I8" s="86"/>
      <c r="J8" s="266" t="str">
        <f>IF(H8="Х","Х",IF($AC8&lt;6," ","Х"))</f>
        <v xml:space="preserve"> </v>
      </c>
      <c r="K8" s="87"/>
      <c r="L8" s="266" t="str">
        <f>IF(J8="Х","Х",IF(K8&lt;3," ",IF($AC8&lt;6," ","Х")))</f>
        <v xml:space="preserve"> </v>
      </c>
      <c r="M8" s="87"/>
      <c r="N8" s="266" t="str">
        <f>IF(L8="Х","Х",IF(M8&lt;3," ",IF($AC8&lt;6," ","Х")))</f>
        <v xml:space="preserve"> </v>
      </c>
      <c r="O8" s="87"/>
      <c r="P8" s="266" t="str">
        <f>IF(N8="Х","Х",IF(O8&lt;3," ",IF($AC8&lt;6," ","Х")))</f>
        <v xml:space="preserve"> </v>
      </c>
      <c r="Q8" s="87"/>
      <c r="R8" s="266" t="str">
        <f>IF(P8="Х","Х",IF(Q8&lt;3," ",IF($AC8&lt;6," ","Х")))</f>
        <v xml:space="preserve"> </v>
      </c>
      <c r="S8" s="87"/>
      <c r="T8" s="266" t="str">
        <f>IF(R8="Х","Х",IF(S8&lt;3," ",IF($AC8&lt;6," ","Х")))</f>
        <v xml:space="preserve"> </v>
      </c>
      <c r="U8" s="88"/>
      <c r="V8" s="266" t="str">
        <f>IF(T8="Х","Х",IF(U8&lt;3," ",IF($AC8&lt;6," ","Х")))</f>
        <v xml:space="preserve"> </v>
      </c>
      <c r="W8" s="88"/>
      <c r="X8" s="266" t="str">
        <f>IF(V8="А1",$AZ$7,IF(V8="Б2",$AZ$6,IF(V8="Б1",$BA$7,IF(V8="А2",$BA$6,IF(V8="Х","Х",IF(V8&lt;6," "," "))))))</f>
        <v xml:space="preserve"> </v>
      </c>
      <c r="Y8" s="89"/>
      <c r="Z8" s="266" t="str">
        <f>IF(V8="Х","Х",IF(ISBLANK(Y8),"",IF(Y8&gt;2.5," ",IF(B8=BB$6,BB$7,BB$6))))</f>
        <v/>
      </c>
      <c r="AA8" s="89"/>
      <c r="AB8" s="275" t="str">
        <f>IF(H8="Х",F$5,IF(J8="Х",H$5,IF(L8="Х",J$5,IF(N8="Х",L$5,IF(P8="Х",N$5,IF(R8="Х",P$5,IF(T8="Х",R$5,IF(X8="Х",T$5,""))))))))</f>
        <v/>
      </c>
      <c r="AC8" s="276">
        <f>SUM(G8+I8+K8+M8+O8+Q8+S8+U8+Y8+AA8)</f>
        <v>0</v>
      </c>
      <c r="AD8" s="277" t="str">
        <f>AF8</f>
        <v>1-22</v>
      </c>
      <c r="AE8" s="278" t="str">
        <f>AD8</f>
        <v>1-22</v>
      </c>
      <c r="AF8" s="280" t="str">
        <f>COUNTIF(AG$6:AG$148,"&gt;"&amp;AG$6:AG$148)+1&amp;REPT("-"&amp;COUNTIF(AG$6:AG$148,"&gt;="&amp;AG$6:AG$148),COUNTIF(AG$6:AG$148,AG8)&gt;1)</f>
        <v>1-22</v>
      </c>
      <c r="AG8" s="282">
        <f>(AR8*100)+(AP8*10)-AC8</f>
        <v>1280</v>
      </c>
      <c r="AH8" s="288" t="str">
        <f>IF(OR(F8="Х",F8="св")," ",IF(AND(G8&gt;=0,G8&lt;3),"1"," "))</f>
        <v>1</v>
      </c>
      <c r="AI8" s="289" t="str">
        <f>IF(OR(H8="Х",H8="св")," ",IF(AND(I8&gt;=0,I8&lt;3),"1"," "))</f>
        <v>1</v>
      </c>
      <c r="AJ8" s="289" t="str">
        <f>IF(OR(J8="Х",J8="св")," ",IF(AND(K8&gt;=0,K8&lt;3),"1"," "))</f>
        <v>1</v>
      </c>
      <c r="AK8" s="289" t="str">
        <f>IF(OR(L8="Х",L8="св")," ",IF(AND(M8&gt;=0,M8&lt;3),"1"," "))</f>
        <v>1</v>
      </c>
      <c r="AL8" s="289" t="str">
        <f>IF(OR(N8="Х",N8="св")," ",IF(AND(O8&gt;=0,O8&lt;3),"1"," "))</f>
        <v>1</v>
      </c>
      <c r="AM8" s="289" t="str">
        <f>IF(OR(P8="Х",P8="св")," ",IF(AND(Q8&gt;=0,Q8&lt;3),"1"," "))</f>
        <v>1</v>
      </c>
      <c r="AN8" s="289" t="str">
        <f>IF(OR(R8="Х",R8="св")," ",IF(AND(S8&gt;=0,S8&lt;3),"1"," "))</f>
        <v>1</v>
      </c>
      <c r="AO8" s="289" t="str">
        <f>IF(OR(T8="Х",T8="св")," ",IF(AND(U8&gt;=0,U8&lt;3),"1"," "))</f>
        <v>1</v>
      </c>
      <c r="AP8" s="289">
        <f>COUNTIF(AH8:AO9,1)</f>
        <v>8</v>
      </c>
      <c r="AQ8" s="289">
        <f>AG8-AC8</f>
        <v>1280</v>
      </c>
      <c r="AR8" s="292">
        <f>IF(F8=0,0,IF(F8="Х",1,IF(H8="Х",2,IF(J8="Х",3,IF(L8="Х",4,IF(N8="Х",5,IF(P8="Х",6,IF(R8="Х",7,IF(T8="Х",8,IF(V8="Х",9,IF(Y8&gt;2.5,10,IF(AA8&gt;2.5,11,IF(AA8&gt;=0,12,IF(AA8=" ",0,))))))))))))))</f>
        <v>12</v>
      </c>
      <c r="AS8" s="289" t="str">
        <f>COUNTIF(AG$6:AG$134,"&gt;"&amp;AG$6:AG$134)+1&amp;REPT("-"&amp;COUNTIF(AG$6:AG$134,"&gt;="&amp;AG$6:AG$134),COUNTIF(AG$6:AG$134,AG8)&gt;1)</f>
        <v>1-22</v>
      </c>
      <c r="AT8" s="288" t="str">
        <f t="shared" ref="AT8:AW8" si="4">COUNTIF(AU$6:AU$134,"&gt;"&amp;AU$6:AU$134)+1&amp;REPT("-"&amp;COUNTIF(AU$6:AU$134,"&gt;="&amp;AU$6:AU$134),COUNTIF(AU$6:AU$134,AU8)&gt;1)</f>
        <v>1-64</v>
      </c>
      <c r="AU8" s="288" t="str">
        <f t="shared" si="4"/>
        <v>1-0</v>
      </c>
      <c r="AV8" s="288" t="str">
        <f t="shared" si="4"/>
        <v>1</v>
      </c>
      <c r="AW8" s="288" t="str">
        <f t="shared" si="4"/>
        <v>63</v>
      </c>
      <c r="AX8" s="293">
        <f>IF(X8="Х","Х",IF(Y8&lt;3,B8,"Х"))</f>
        <v>2</v>
      </c>
      <c r="AY8" s="119">
        <f ca="1">IF(AZ8&lt;$AY$4,0,AZ8)</f>
        <v>0</v>
      </c>
      <c r="AZ8" s="120">
        <f ca="1">SUM(AY2)*1/2*AY4*2/3</f>
        <v>0</v>
      </c>
      <c r="BA8" s="119">
        <f ca="1">IF(BB8&lt;$AY$4,0,BB8)</f>
        <v>0</v>
      </c>
      <c r="BB8" s="121">
        <f ca="1">SUM(AY2)*1/2*AY4*2/3*1/2</f>
        <v>0</v>
      </c>
      <c r="BC8" s="119">
        <f ca="1">IF(BD8&lt;$AY$4,0,BD8)</f>
        <v>0</v>
      </c>
      <c r="BD8" s="121">
        <f ca="1">SUM(AY2)*1/2*AY4*2/3*1/2*1/2</f>
        <v>0</v>
      </c>
      <c r="BE8" s="119">
        <f ca="1">IF(BF8&lt;$AY$4,0,BF8)</f>
        <v>0</v>
      </c>
      <c r="BF8" s="121">
        <f ca="1">SUM(AY2)*1/2*AY4*2/3*1/2*1/2*1/2</f>
        <v>0</v>
      </c>
      <c r="BG8" s="58"/>
      <c r="BH8" s="49"/>
      <c r="BI8" s="122"/>
      <c r="BJ8" s="122"/>
      <c r="BK8" s="52"/>
      <c r="BL8" s="52"/>
      <c r="BM8" s="294">
        <v>2</v>
      </c>
      <c r="BN8" s="287">
        <v>1</v>
      </c>
      <c r="BO8" s="98" t="str">
        <f>IF(BM8&lt;BN8,BM8,"")</f>
        <v/>
      </c>
      <c r="BP8" s="124" t="str">
        <v/>
      </c>
      <c r="BQ8" s="125">
        <f ca="1">IFERROR(__xludf.DUMMYFUNCTION("""COMPUTED_VALUE"""),3)</f>
        <v>3</v>
      </c>
      <c r="BR8" s="295">
        <v>2</v>
      </c>
      <c r="BS8" s="287">
        <v>4</v>
      </c>
      <c r="BT8" s="109">
        <f>IF(BR8&lt;BS8,BR8,"")</f>
        <v>2</v>
      </c>
      <c r="BU8" s="124">
        <v>2</v>
      </c>
      <c r="BV8" s="124">
        <f ca="1">IFERROR(__xludf.DUMMYFUNCTION("""COMPUTED_VALUE"""),2)</f>
        <v>2</v>
      </c>
      <c r="BW8" s="284">
        <v>2</v>
      </c>
      <c r="BX8" s="286" t="str">
        <v xml:space="preserve"> </v>
      </c>
      <c r="BY8" s="102">
        <f t="array" ref="BY8">IF(BW8&lt;BX8,BW8,"")</f>
        <v>2</v>
      </c>
      <c r="BZ8" s="102">
        <f t="shared" si="2"/>
        <v>2</v>
      </c>
      <c r="CA8" s="63">
        <f ca="1">IFERROR(__xludf.DUMMYFUNCTION("""COMPUTED_VALUE"""),3)</f>
        <v>3</v>
      </c>
      <c r="CB8" s="63">
        <f t="shared" ca="1" si="3"/>
        <v>3</v>
      </c>
      <c r="CC8" s="63"/>
      <c r="CD8" s="112"/>
      <c r="CE8" s="286">
        <v>2</v>
      </c>
      <c r="CF8" s="296" t="str">
        <v xml:space="preserve"> </v>
      </c>
      <c r="CG8" s="98">
        <f t="array" ref="CG8">IF(CE8&lt;CF8,CE8,"")</f>
        <v>2</v>
      </c>
      <c r="CH8" s="63">
        <v>2</v>
      </c>
      <c r="CI8" s="115">
        <f ca="1">IFERROR(__xludf.DUMMYFUNCTION("""COMPUTED_VALUE"""),3)</f>
        <v>3</v>
      </c>
      <c r="CJ8" s="65">
        <v>2</v>
      </c>
      <c r="CK8" s="129" t="str">
        <v xml:space="preserve"> </v>
      </c>
      <c r="CL8" s="98">
        <f t="array" ref="CL8">IF(CJ8&lt;CK8,CJ8,"")</f>
        <v>2</v>
      </c>
      <c r="CM8" s="52">
        <v>2</v>
      </c>
      <c r="CN8" s="52">
        <f ca="1">IFERROR(__xludf.DUMMYFUNCTION("""COMPUTED_VALUE"""),3)</f>
        <v>3</v>
      </c>
      <c r="CO8" s="287">
        <v>2</v>
      </c>
      <c r="CP8" s="287" t="str">
        <v xml:space="preserve"> </v>
      </c>
      <c r="CQ8" s="98">
        <f t="array" ref="CQ8">IF(CO8&lt;CP8,CO8,"")</f>
        <v>2</v>
      </c>
      <c r="CR8" s="64">
        <v>2</v>
      </c>
      <c r="CS8" s="64">
        <f ca="1">IFERROR(__xludf.DUMMYFUNCTION("""COMPUTED_VALUE"""),3)</f>
        <v>3</v>
      </c>
      <c r="CT8" s="287">
        <v>2</v>
      </c>
      <c r="CU8" s="287" t="str">
        <v xml:space="preserve"> </v>
      </c>
      <c r="CV8" s="98">
        <f t="array" ref="CV8">IF(CT8&lt;CU8,CT8,"")</f>
        <v>2</v>
      </c>
      <c r="CW8" s="52">
        <v>2</v>
      </c>
      <c r="CX8" s="52">
        <f ca="1">IFERROR(__xludf.DUMMYFUNCTION("""COMPUTED_VALUE"""),3)</f>
        <v>3</v>
      </c>
      <c r="CY8" s="287">
        <v>2</v>
      </c>
      <c r="CZ8" s="287" t="str">
        <v xml:space="preserve"> </v>
      </c>
      <c r="DA8" s="98">
        <f t="array" ref="DA8">IF(CY8&lt;CZ8,CY8,"")</f>
        <v>2</v>
      </c>
      <c r="DB8" s="52">
        <v>2</v>
      </c>
      <c r="DC8" s="52">
        <f ca="1">IFERROR(__xludf.DUMMYFUNCTION("""COMPUTED_VALUE"""),3)</f>
        <v>3</v>
      </c>
      <c r="DD8" s="52">
        <v>2</v>
      </c>
      <c r="DE8" s="52"/>
      <c r="DF8" s="52"/>
      <c r="DG8" s="52"/>
      <c r="DH8" s="52"/>
    </row>
    <row r="9" spans="1:112" ht="13.5" customHeight="1">
      <c r="A9" s="264"/>
      <c r="B9" s="269"/>
      <c r="C9" s="269"/>
      <c r="D9" s="269"/>
      <c r="E9" s="269"/>
      <c r="F9" s="274"/>
      <c r="G9" s="106"/>
      <c r="H9" s="267"/>
      <c r="I9" s="106"/>
      <c r="J9" s="267"/>
      <c r="K9" s="106"/>
      <c r="L9" s="267"/>
      <c r="M9" s="106"/>
      <c r="N9" s="267"/>
      <c r="O9" s="106"/>
      <c r="P9" s="267"/>
      <c r="Q9" s="106"/>
      <c r="R9" s="267"/>
      <c r="S9" s="106"/>
      <c r="T9" s="267"/>
      <c r="U9" s="107"/>
      <c r="V9" s="267"/>
      <c r="W9" s="107"/>
      <c r="X9" s="267"/>
      <c r="Y9" s="106"/>
      <c r="Z9" s="267"/>
      <c r="AA9" s="106"/>
      <c r="AB9" s="274"/>
      <c r="AC9" s="269"/>
      <c r="AD9" s="267"/>
      <c r="AE9" s="279"/>
      <c r="AF9" s="281"/>
      <c r="AG9" s="283"/>
      <c r="AH9" s="283"/>
      <c r="AI9" s="283"/>
      <c r="AJ9" s="283"/>
      <c r="AK9" s="283"/>
      <c r="AL9" s="283"/>
      <c r="AM9" s="283"/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64"/>
      <c r="AY9" s="351" t="s">
        <v>202</v>
      </c>
      <c r="AZ9" s="352"/>
      <c r="BA9" s="352"/>
      <c r="BB9" s="352"/>
      <c r="BC9" s="352"/>
      <c r="BD9" s="352"/>
      <c r="BE9" s="352"/>
      <c r="BF9" s="352"/>
      <c r="BG9" s="353"/>
      <c r="BH9" s="130"/>
      <c r="BI9" s="122"/>
      <c r="BJ9" s="122"/>
      <c r="BK9" s="52"/>
      <c r="BL9" s="52"/>
      <c r="BM9" s="285" t="str">
        <v/>
      </c>
      <c r="BN9" s="264">
        <v>0</v>
      </c>
      <c r="BO9" s="109" t="str">
        <f>IF(BO8="","",BN8)</f>
        <v/>
      </c>
      <c r="BP9" s="109" t="str">
        <v/>
      </c>
      <c r="BQ9" s="125">
        <f ca="1">IFERROR(__xludf.DUMMYFUNCTION("""COMPUTED_VALUE"""),4)</f>
        <v>4</v>
      </c>
      <c r="BR9" s="264" t="str">
        <v/>
      </c>
      <c r="BS9" s="264">
        <v>0</v>
      </c>
      <c r="BT9" s="109">
        <f>IF(BT8="","",BS8)</f>
        <v>4</v>
      </c>
      <c r="BU9" s="109">
        <v>4</v>
      </c>
      <c r="BV9" s="124">
        <f ca="1">IFERROR(__xludf.DUMMYFUNCTION("""COMPUTED_VALUE"""),4)</f>
        <v>4</v>
      </c>
      <c r="BW9" s="285" t="str">
        <v/>
      </c>
      <c r="BX9" s="264">
        <v>0</v>
      </c>
      <c r="BY9" s="102" t="str">
        <f>IF(BY8="","",BX8)</f>
        <v xml:space="preserve"> </v>
      </c>
      <c r="BZ9" s="102" t="str">
        <f t="shared" si="2"/>
        <v xml:space="preserve"> </v>
      </c>
      <c r="CA9" s="63">
        <f ca="1">IFERROR(__xludf.DUMMYFUNCTION("""COMPUTED_VALUE"""),4)</f>
        <v>4</v>
      </c>
      <c r="CB9" s="63">
        <f t="shared" ca="1" si="3"/>
        <v>4</v>
      </c>
      <c r="CC9" s="63"/>
      <c r="CD9" s="112"/>
      <c r="CE9" s="264" t="str">
        <v/>
      </c>
      <c r="CF9" s="264">
        <v>0</v>
      </c>
      <c r="CG9" s="113" t="str">
        <f>IF(CG8="","",CF8)</f>
        <v xml:space="preserve"> </v>
      </c>
      <c r="CH9" s="128" t="str">
        <v xml:space="preserve"> </v>
      </c>
      <c r="CI9" s="115">
        <f ca="1">IFERROR(__xludf.DUMMYFUNCTION("""COMPUTED_VALUE"""),4)</f>
        <v>4</v>
      </c>
      <c r="CJ9" s="49" t="str">
        <v/>
      </c>
      <c r="CK9" s="131">
        <v>0</v>
      </c>
      <c r="CL9" s="113" t="str">
        <f>IF(CL8="","",CK8)</f>
        <v xml:space="preserve"> </v>
      </c>
      <c r="CM9" s="52" t="str">
        <v xml:space="preserve"> </v>
      </c>
      <c r="CN9" s="52">
        <f ca="1">IFERROR(__xludf.DUMMYFUNCTION("""COMPUTED_VALUE"""),4)</f>
        <v>4</v>
      </c>
      <c r="CO9" s="264" t="str">
        <v/>
      </c>
      <c r="CP9" s="264">
        <v>0</v>
      </c>
      <c r="CQ9" s="113" t="str">
        <f>IF(CQ8="","",CP8)</f>
        <v xml:space="preserve"> </v>
      </c>
      <c r="CR9" s="52" t="str">
        <v xml:space="preserve"> </v>
      </c>
      <c r="CS9" s="64">
        <f ca="1">IFERROR(__xludf.DUMMYFUNCTION("""COMPUTED_VALUE"""),4)</f>
        <v>4</v>
      </c>
      <c r="CT9" s="264" t="str">
        <v/>
      </c>
      <c r="CU9" s="264">
        <v>0</v>
      </c>
      <c r="CV9" s="113" t="str">
        <f>IF(CV8="","",CU8)</f>
        <v xml:space="preserve"> </v>
      </c>
      <c r="CW9" s="52" t="str">
        <v xml:space="preserve"> </v>
      </c>
      <c r="CX9" s="52">
        <f ca="1">IFERROR(__xludf.DUMMYFUNCTION("""COMPUTED_VALUE"""),4)</f>
        <v>4</v>
      </c>
      <c r="CY9" s="264" t="str">
        <v/>
      </c>
      <c r="CZ9" s="264">
        <v>0</v>
      </c>
      <c r="DA9" s="113" t="str">
        <f>IF(DA8="","",CZ8)</f>
        <v xml:space="preserve"> </v>
      </c>
      <c r="DB9" s="52" t="str">
        <v xml:space="preserve"> </v>
      </c>
      <c r="DC9" s="52">
        <f ca="1">IFERROR(__xludf.DUMMYFUNCTION("""COMPUTED_VALUE"""),4)</f>
        <v>4</v>
      </c>
      <c r="DD9" s="52" t="str">
        <v/>
      </c>
      <c r="DE9" s="52"/>
      <c r="DF9" s="52"/>
      <c r="DG9" s="52"/>
      <c r="DH9" s="52"/>
    </row>
    <row r="10" spans="1:112" ht="13.5" customHeight="1">
      <c r="A10" s="132"/>
      <c r="B10" s="268">
        <v>3</v>
      </c>
      <c r="C10" s="270" t="str">
        <f>(VLOOKUP($B10,Пр.взв!$D$6:$J$63,2,0))</f>
        <v>МАКАРЕНКО Екатерина</v>
      </c>
      <c r="D10" s="271" t="str">
        <f>(VLOOKUP($B10,Пр.взв!$D$6:$J$63,5,0))</f>
        <v>КМС</v>
      </c>
      <c r="E10" s="272" t="str">
        <f>(VLOOKUP($B10,Пр.взв!$D$6:$M$63,8,0))</f>
        <v>Калининградская</v>
      </c>
      <c r="F10" s="273">
        <v>4</v>
      </c>
      <c r="G10" s="86"/>
      <c r="H10" s="266">
        <v>1</v>
      </c>
      <c r="I10" s="86"/>
      <c r="J10" s="266" t="str">
        <f>IF(H10="Х","Х",IF($AC10&lt;6," ","Х"))</f>
        <v xml:space="preserve"> </v>
      </c>
      <c r="K10" s="87"/>
      <c r="L10" s="266" t="str">
        <f>IF(J10="Х","Х",IF(K10&lt;3," ",IF($AC10&lt;6," ","Х")))</f>
        <v xml:space="preserve"> </v>
      </c>
      <c r="M10" s="87"/>
      <c r="N10" s="266" t="str">
        <f>IF(L10="Х","Х",IF(M10&lt;3," ",IF($AC10&lt;6," ","Х")))</f>
        <v xml:space="preserve"> </v>
      </c>
      <c r="O10" s="87"/>
      <c r="P10" s="266" t="str">
        <f>IF(N10="Х","Х",IF(O10&lt;3," ",IF($AC10&lt;6," ","Х")))</f>
        <v xml:space="preserve"> </v>
      </c>
      <c r="Q10" s="87"/>
      <c r="R10" s="266" t="str">
        <f>IF(P10="Х","Х",IF(Q10&lt;3," ",IF($AC10&lt;6," ","Х")))</f>
        <v xml:space="preserve"> </v>
      </c>
      <c r="S10" s="87"/>
      <c r="T10" s="266" t="str">
        <f>IF(R10="Х","Х",IF(S10&lt;3," ",IF($AC10&lt;6," ","Х")))</f>
        <v xml:space="preserve"> </v>
      </c>
      <c r="U10" s="88"/>
      <c r="V10" s="266" t="str">
        <f>IF(T10="Х","Х",IF(U10&lt;3," ",IF($AC10&lt;6," ","Х")))</f>
        <v xml:space="preserve"> </v>
      </c>
      <c r="W10" s="88"/>
      <c r="X10" s="266" t="str">
        <f>IF(V10="А1",$AZ$7,IF(V10="Б2",$AZ$6,IF(V10="Б1",$BA$7,IF(V10="А2",$BA$6,IF(V10="Х","Х",IF(V10&lt;6," "," "))))))</f>
        <v xml:space="preserve"> </v>
      </c>
      <c r="Y10" s="89"/>
      <c r="Z10" s="266" t="str">
        <f>IF(V10="Х","Х",IF(ISBLANK(Y10),"",IF(Y10&gt;2.5," ",IF(B10=BB$6,BB$7,BB$6))))</f>
        <v/>
      </c>
      <c r="AA10" s="89"/>
      <c r="AB10" s="275" t="str">
        <f>IF(H10="Х",F$5,IF(J10="Х",H$5,IF(L10="Х",J$5,IF(N10="Х",L$5,IF(P10="Х",N$5,IF(R10="Х",P$5,IF(T10="Х",R$5,IF(X10="Х",T$5,""))))))))</f>
        <v/>
      </c>
      <c r="AC10" s="276">
        <f>SUM(G10+I10+K10+M10+O10+Q10+S10+U10+Y10+AA10)</f>
        <v>0</v>
      </c>
      <c r="AD10" s="277" t="str">
        <f>AF10</f>
        <v>1-22</v>
      </c>
      <c r="AE10" s="278" t="str">
        <f>AD10</f>
        <v>1-22</v>
      </c>
      <c r="AF10" s="280" t="str">
        <f>COUNTIF(AG$6:AG$148,"&gt;"&amp;AG$6:AG$148)+1&amp;REPT("-"&amp;COUNTIF(AG$6:AG$148,"&gt;="&amp;AG$6:AG$148),COUNTIF(AG$6:AG$148,AG10)&gt;1)</f>
        <v>1-22</v>
      </c>
      <c r="AG10" s="282">
        <f>(AR10*100)+(AP10*10)-AC10</f>
        <v>1280</v>
      </c>
      <c r="AH10" s="288" t="str">
        <f>IF(OR(F10="Х",F10="св")," ",IF(AND(G10&gt;=0,G10&lt;3),"1"," "))</f>
        <v>1</v>
      </c>
      <c r="AI10" s="289" t="str">
        <f>IF(OR(H10="Х",H10="св")," ",IF(AND(I10&gt;=0,I10&lt;3),"1"," "))</f>
        <v>1</v>
      </c>
      <c r="AJ10" s="289" t="str">
        <f>IF(OR(J10="Х",J10="св")," ",IF(AND(K10&gt;=0,K10&lt;3),"1"," "))</f>
        <v>1</v>
      </c>
      <c r="AK10" s="289" t="str">
        <f>IF(OR(L10="Х",L10="св")," ",IF(AND(M10&gt;=0,M10&lt;3),"1"," "))</f>
        <v>1</v>
      </c>
      <c r="AL10" s="289" t="str">
        <f>IF(OR(N10="Х",N10="св")," ",IF(AND(O10&gt;=0,O10&lt;3),"1"," "))</f>
        <v>1</v>
      </c>
      <c r="AM10" s="289" t="str">
        <f>IF(OR(P10="Х",P10="св")," ",IF(AND(Q10&gt;=0,Q10&lt;3),"1"," "))</f>
        <v>1</v>
      </c>
      <c r="AN10" s="289" t="str">
        <f>IF(OR(R10="Х",R10="св")," ",IF(AND(S10&gt;=0,S10&lt;3),"1"," "))</f>
        <v>1</v>
      </c>
      <c r="AO10" s="289" t="str">
        <f>IF(OR(T10="Х",T10="св")," ",IF(AND(U10&gt;=0,U10&lt;3),"1"," "))</f>
        <v>1</v>
      </c>
      <c r="AP10" s="289">
        <f>COUNTIF(AH10:AO11,1)</f>
        <v>8</v>
      </c>
      <c r="AQ10" s="289">
        <f>AG10-AC10</f>
        <v>1280</v>
      </c>
      <c r="AR10" s="292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289" t="str">
        <f>COUNTIF(AG$6:AG$134,"&gt;"&amp;AG$6:AG$134)+1&amp;REPT("-"&amp;COUNTIF(AG$6:AG$134,"&gt;="&amp;AG$6:AG$134),COUNTIF(AG$6:AG$134,AG10)&gt;1)</f>
        <v>1-22</v>
      </c>
      <c r="AT10" s="288" t="str">
        <f t="shared" ref="AT10:AW10" si="5">COUNTIF(AU$6:AU$134,"&gt;"&amp;AU$6:AU$134)+1&amp;REPT("-"&amp;COUNTIF(AU$6:AU$134,"&gt;="&amp;AU$6:AU$134),COUNTIF(AU$6:AU$134,AU10)&gt;1)</f>
        <v>1-64</v>
      </c>
      <c r="AU10" s="288" t="str">
        <f t="shared" si="5"/>
        <v>1-0</v>
      </c>
      <c r="AV10" s="288" t="str">
        <f t="shared" si="5"/>
        <v>1</v>
      </c>
      <c r="AW10" s="288" t="str">
        <f t="shared" si="5"/>
        <v>62</v>
      </c>
      <c r="AX10" s="293">
        <f>IF(X10="Х","Х",IF(Y10&lt;3,B10,"Х"))</f>
        <v>3</v>
      </c>
      <c r="AY10" s="354">
        <v>3</v>
      </c>
      <c r="AZ10" s="281"/>
      <c r="BA10" s="355">
        <v>4</v>
      </c>
      <c r="BB10" s="281"/>
      <c r="BC10" s="356">
        <v>5</v>
      </c>
      <c r="BD10" s="352"/>
      <c r="BE10" s="357">
        <v>6</v>
      </c>
      <c r="BF10" s="352"/>
      <c r="BG10" s="133">
        <v>7</v>
      </c>
      <c r="BH10" s="133">
        <v>8</v>
      </c>
      <c r="BI10" s="287"/>
      <c r="BJ10" s="264"/>
      <c r="BK10" s="341"/>
      <c r="BL10" s="264"/>
      <c r="BM10" s="294">
        <v>3</v>
      </c>
      <c r="BN10" s="287">
        <v>4</v>
      </c>
      <c r="BO10" s="98">
        <f>IF(BM10&lt;BN10,BM10,"")</f>
        <v>3</v>
      </c>
      <c r="BP10" s="124">
        <v>3</v>
      </c>
      <c r="BQ10" s="125">
        <f ca="1">IFERROR(__xludf.DUMMYFUNCTION("""COMPUTED_VALUE"""),5)</f>
        <v>5</v>
      </c>
      <c r="BR10" s="295">
        <v>3</v>
      </c>
      <c r="BS10" s="287">
        <v>1</v>
      </c>
      <c r="BT10" s="109" t="str">
        <f>IF(BR10&lt;BS10,BR10,"")</f>
        <v/>
      </c>
      <c r="BU10" s="124" t="str">
        <v/>
      </c>
      <c r="BV10" s="124">
        <f ca="1">IFERROR(__xludf.DUMMYFUNCTION("""COMPUTED_VALUE"""),5)</f>
        <v>5</v>
      </c>
      <c r="BW10" s="284">
        <v>3</v>
      </c>
      <c r="BX10" s="286" t="str">
        <v xml:space="preserve"> </v>
      </c>
      <c r="BY10" s="102">
        <f t="array" ref="BY10">IF(BW10&lt;BX10,BW10,"")</f>
        <v>3</v>
      </c>
      <c r="BZ10" s="102">
        <f t="shared" si="2"/>
        <v>3</v>
      </c>
      <c r="CA10" s="63">
        <f ca="1">IFERROR(__xludf.DUMMYFUNCTION("""COMPUTED_VALUE"""),5)</f>
        <v>5</v>
      </c>
      <c r="CB10" s="63">
        <f t="shared" ca="1" si="3"/>
        <v>5</v>
      </c>
      <c r="CC10" s="63"/>
      <c r="CD10" s="112"/>
      <c r="CE10" s="286">
        <v>3</v>
      </c>
      <c r="CF10" s="296" t="str">
        <v xml:space="preserve"> </v>
      </c>
      <c r="CG10" s="98">
        <f t="array" ref="CG10">IF(CE10&lt;CF10,CE10,"")</f>
        <v>3</v>
      </c>
      <c r="CH10" s="63">
        <v>3</v>
      </c>
      <c r="CI10" s="115">
        <f ca="1">IFERROR(__xludf.DUMMYFUNCTION("""COMPUTED_VALUE"""),5)</f>
        <v>5</v>
      </c>
      <c r="CJ10" s="65">
        <v>3</v>
      </c>
      <c r="CK10" s="129" t="str">
        <v xml:space="preserve"> </v>
      </c>
      <c r="CL10" s="98">
        <f t="array" ref="CL10">IF(CJ10&lt;CK10,CJ10,"")</f>
        <v>3</v>
      </c>
      <c r="CM10" s="52">
        <v>3</v>
      </c>
      <c r="CN10" s="52">
        <f ca="1">IFERROR(__xludf.DUMMYFUNCTION("""COMPUTED_VALUE"""),5)</f>
        <v>5</v>
      </c>
      <c r="CO10" s="287">
        <v>3</v>
      </c>
      <c r="CP10" s="287" t="str">
        <v xml:space="preserve"> </v>
      </c>
      <c r="CQ10" s="98">
        <f t="array" ref="CQ10">IF(CO10&lt;CP10,CO10,"")</f>
        <v>3</v>
      </c>
      <c r="CR10" s="64">
        <v>3</v>
      </c>
      <c r="CS10" s="64">
        <f ca="1">IFERROR(__xludf.DUMMYFUNCTION("""COMPUTED_VALUE"""),5)</f>
        <v>5</v>
      </c>
      <c r="CT10" s="287">
        <v>3</v>
      </c>
      <c r="CU10" s="287" t="str">
        <v xml:space="preserve"> </v>
      </c>
      <c r="CV10" s="98">
        <f t="array" ref="CV10">IF(CT10&lt;CU10,CT10,"")</f>
        <v>3</v>
      </c>
      <c r="CW10" s="52">
        <v>3</v>
      </c>
      <c r="CX10" s="52">
        <f ca="1">IFERROR(__xludf.DUMMYFUNCTION("""COMPUTED_VALUE"""),5)</f>
        <v>5</v>
      </c>
      <c r="CY10" s="287">
        <v>3</v>
      </c>
      <c r="CZ10" s="287" t="str">
        <v xml:space="preserve"> </v>
      </c>
      <c r="DA10" s="98">
        <f t="array" ref="DA10">IF(CY10&lt;CZ10,CY10,"")</f>
        <v>3</v>
      </c>
      <c r="DB10" s="52">
        <v>3</v>
      </c>
      <c r="DC10" s="52">
        <f ca="1">IFERROR(__xludf.DUMMYFUNCTION("""COMPUTED_VALUE"""),5)</f>
        <v>5</v>
      </c>
      <c r="DD10" s="52">
        <v>3</v>
      </c>
      <c r="DE10" s="52"/>
      <c r="DF10" s="52"/>
      <c r="DG10" s="52"/>
      <c r="DH10" s="52"/>
    </row>
    <row r="11" spans="1:112" ht="13.5" customHeight="1">
      <c r="A11" s="132"/>
      <c r="B11" s="269"/>
      <c r="C11" s="269"/>
      <c r="D11" s="269"/>
      <c r="E11" s="269"/>
      <c r="F11" s="274"/>
      <c r="G11" s="106"/>
      <c r="H11" s="267"/>
      <c r="I11" s="106"/>
      <c r="J11" s="267"/>
      <c r="K11" s="106"/>
      <c r="L11" s="267"/>
      <c r="M11" s="106"/>
      <c r="N11" s="267"/>
      <c r="O11" s="106"/>
      <c r="P11" s="267"/>
      <c r="Q11" s="106"/>
      <c r="R11" s="267"/>
      <c r="S11" s="106"/>
      <c r="T11" s="267"/>
      <c r="U11" s="107"/>
      <c r="V11" s="267"/>
      <c r="W11" s="107"/>
      <c r="X11" s="267"/>
      <c r="Y11" s="106"/>
      <c r="Z11" s="267"/>
      <c r="AA11" s="106"/>
      <c r="AB11" s="274"/>
      <c r="AC11" s="269"/>
      <c r="AD11" s="267"/>
      <c r="AE11" s="279"/>
      <c r="AF11" s="281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64"/>
      <c r="AY11" s="134" t="str">
        <f t="array" aca="1" ref="AY11:AY169" ca="1">IF(CA6:CA164&gt;$AY$3,"",CA6:CA164)</f>
        <v/>
      </c>
      <c r="AZ11" s="135"/>
      <c r="BA11" s="136" t="str">
        <f t="array" aca="1" ref="BA11:BA169" ca="1">IF(CI6:CI164&gt;$AY$3,"",CI6:CI164)</f>
        <v/>
      </c>
      <c r="BB11" s="137"/>
      <c r="BC11" s="138" t="str">
        <f t="array" aca="1" ref="BC11:BC169" ca="1">IF(CN6:CN164&gt;$AY$3,"",CN6:CN164)</f>
        <v/>
      </c>
      <c r="BD11" s="139" t="str">
        <f t="array" aca="1" ref="BD11:BD169" ca="1">IF(BQ6:BQ164&gt;$AY$3,"",BQ6:BQ164)</f>
        <v/>
      </c>
      <c r="BE11" s="138" t="str">
        <f t="array" aca="1" ref="BE11:BE169" ca="1">IF(CS6:CS164&gt;$AY$3,"",CS6:CS164)</f>
        <v/>
      </c>
      <c r="BF11" s="140" t="str">
        <f t="array" aca="1" ref="BF11:BF169" ca="1">IF(BV6:BV164&gt;$AY$3,"",BV6:BV164)</f>
        <v/>
      </c>
      <c r="BG11" s="134" t="str">
        <f t="array" aca="1" ref="BG11:BG169" ca="1">IF(CX6:CX164&gt;$AY$3,"",CX6:CX164)</f>
        <v/>
      </c>
      <c r="BH11" s="138" t="str">
        <f t="array" aca="1" ref="BH11:BH169" ca="1">IF(CX6:CX164&gt;$AY$3,"",CX6:CX164)</f>
        <v/>
      </c>
      <c r="BI11" s="358"/>
      <c r="BJ11" s="264"/>
      <c r="BK11" s="264"/>
      <c r="BL11" s="264"/>
      <c r="BM11" s="285" t="str">
        <v/>
      </c>
      <c r="BN11" s="264">
        <v>0</v>
      </c>
      <c r="BO11" s="109">
        <f>IF(BO10="","",BN10)</f>
        <v>4</v>
      </c>
      <c r="BP11" s="109">
        <v>4</v>
      </c>
      <c r="BQ11" s="125">
        <f ca="1">IFERROR(__xludf.DUMMYFUNCTION("""COMPUTED_VALUE"""),6)</f>
        <v>6</v>
      </c>
      <c r="BR11" s="264" t="str">
        <v/>
      </c>
      <c r="BS11" s="264">
        <v>0</v>
      </c>
      <c r="BT11" s="109" t="str">
        <f>IF(BT10="","",BS10)</f>
        <v/>
      </c>
      <c r="BU11" s="109" t="str">
        <v/>
      </c>
      <c r="BV11" s="124">
        <f ca="1">IFERROR(__xludf.DUMMYFUNCTION("""COMPUTED_VALUE"""),7)</f>
        <v>7</v>
      </c>
      <c r="BW11" s="285" t="str">
        <v/>
      </c>
      <c r="BX11" s="264">
        <v>0</v>
      </c>
      <c r="BY11" s="102" t="str">
        <f>IF(BY10="","",BX10)</f>
        <v xml:space="preserve"> </v>
      </c>
      <c r="BZ11" s="102" t="str">
        <f t="shared" si="2"/>
        <v xml:space="preserve"> </v>
      </c>
      <c r="CA11" s="63">
        <f ca="1">IFERROR(__xludf.DUMMYFUNCTION("""COMPUTED_VALUE"""),6)</f>
        <v>6</v>
      </c>
      <c r="CB11" s="63">
        <f t="shared" ca="1" si="3"/>
        <v>6</v>
      </c>
      <c r="CC11" s="63"/>
      <c r="CD11" s="112"/>
      <c r="CE11" s="264" t="str">
        <v/>
      </c>
      <c r="CF11" s="264">
        <v>0</v>
      </c>
      <c r="CG11" s="113" t="str">
        <f>IF(CG10="","",CF10)</f>
        <v xml:space="preserve"> </v>
      </c>
      <c r="CH11" s="128" t="str">
        <v xml:space="preserve"> </v>
      </c>
      <c r="CI11" s="115">
        <f ca="1">IFERROR(__xludf.DUMMYFUNCTION("""COMPUTED_VALUE"""),6)</f>
        <v>6</v>
      </c>
      <c r="CJ11" s="49" t="str">
        <v/>
      </c>
      <c r="CK11" s="131">
        <v>0</v>
      </c>
      <c r="CL11" s="113" t="str">
        <f>IF(CL10="","",CK10)</f>
        <v xml:space="preserve"> </v>
      </c>
      <c r="CM11" s="52" t="str">
        <v xml:space="preserve"> </v>
      </c>
      <c r="CN11" s="52">
        <f ca="1">IFERROR(__xludf.DUMMYFUNCTION("""COMPUTED_VALUE"""),6)</f>
        <v>6</v>
      </c>
      <c r="CO11" s="264" t="str">
        <v/>
      </c>
      <c r="CP11" s="264">
        <v>0</v>
      </c>
      <c r="CQ11" s="113" t="str">
        <f>IF(CQ10="","",CP10)</f>
        <v xml:space="preserve"> </v>
      </c>
      <c r="CR11" s="52" t="str">
        <v xml:space="preserve"> </v>
      </c>
      <c r="CS11" s="64">
        <f ca="1">IFERROR(__xludf.DUMMYFUNCTION("""COMPUTED_VALUE"""),6)</f>
        <v>6</v>
      </c>
      <c r="CT11" s="264" t="str">
        <v/>
      </c>
      <c r="CU11" s="264">
        <v>0</v>
      </c>
      <c r="CV11" s="113" t="str">
        <f>IF(CV10="","",CU10)</f>
        <v xml:space="preserve"> </v>
      </c>
      <c r="CW11" s="52" t="str">
        <v xml:space="preserve"> </v>
      </c>
      <c r="CX11" s="52">
        <f ca="1">IFERROR(__xludf.DUMMYFUNCTION("""COMPUTED_VALUE"""),6)</f>
        <v>6</v>
      </c>
      <c r="CY11" s="264" t="str">
        <v/>
      </c>
      <c r="CZ11" s="264">
        <v>0</v>
      </c>
      <c r="DA11" s="113" t="str">
        <f>IF(DA10="","",CZ10)</f>
        <v xml:space="preserve"> </v>
      </c>
      <c r="DB11" s="52" t="str">
        <v xml:space="preserve"> </v>
      </c>
      <c r="DC11" s="52">
        <f ca="1">IFERROR(__xludf.DUMMYFUNCTION("""COMPUTED_VALUE"""),6)</f>
        <v>6</v>
      </c>
      <c r="DD11" s="52" t="str">
        <v/>
      </c>
      <c r="DE11" s="52"/>
      <c r="DF11" s="52"/>
      <c r="DG11" s="52"/>
      <c r="DH11" s="52"/>
    </row>
    <row r="12" spans="1:112" ht="13.5" customHeight="1">
      <c r="A12" s="132"/>
      <c r="B12" s="268">
        <v>4</v>
      </c>
      <c r="C12" s="270" t="str">
        <f>(VLOOKUP($B12,Пр.взв!$D$6:$J$63,2,0))</f>
        <v>ИЛЮКОВА Карина</v>
      </c>
      <c r="D12" s="271" t="str">
        <f>(VLOOKUP($B12,Пр.взв!$D$6:$J$63,5,0))</f>
        <v>КМС</v>
      </c>
      <c r="E12" s="272" t="str">
        <f>(VLOOKUP($B12,Пр.взв!$D$6:$M$63,8,0))</f>
        <v>Москва</v>
      </c>
      <c r="F12" s="273">
        <v>3</v>
      </c>
      <c r="G12" s="86"/>
      <c r="H12" s="266">
        <v>2</v>
      </c>
      <c r="I12" s="86"/>
      <c r="J12" s="266" t="str">
        <f>IF(H12="Х","Х",IF($AC12&lt;6," ","Х"))</f>
        <v xml:space="preserve"> </v>
      </c>
      <c r="K12" s="87"/>
      <c r="L12" s="266" t="str">
        <f>IF(J12="Х","Х",IF(K12&lt;3," ",IF($AC12&lt;6," ","Х")))</f>
        <v xml:space="preserve"> </v>
      </c>
      <c r="M12" s="87"/>
      <c r="N12" s="266" t="str">
        <f>IF(L12="Х","Х",IF(M12&lt;3," ",IF($AC12&lt;6," ","Х")))</f>
        <v xml:space="preserve"> </v>
      </c>
      <c r="O12" s="87"/>
      <c r="P12" s="266" t="str">
        <f>IF(N12="Х","Х",IF(O12&lt;3," ",IF($AC12&lt;6," ","Х")))</f>
        <v xml:space="preserve"> </v>
      </c>
      <c r="Q12" s="87"/>
      <c r="R12" s="266" t="str">
        <f>IF(P12="Х","Х",IF(Q12&lt;3," ",IF($AC12&lt;6," ","Х")))</f>
        <v xml:space="preserve"> </v>
      </c>
      <c r="S12" s="87"/>
      <c r="T12" s="266" t="str">
        <f>IF(R12="Х","Х",IF(S12&lt;3," ",IF($AC12&lt;6," ","Х")))</f>
        <v xml:space="preserve"> </v>
      </c>
      <c r="U12" s="88"/>
      <c r="V12" s="266" t="str">
        <f>IF(T12="Х","Х",IF(U12&lt;3," ",IF($AC12&lt;6," ","Х")))</f>
        <v xml:space="preserve"> </v>
      </c>
      <c r="W12" s="88"/>
      <c r="X12" s="266" t="str">
        <f>IF(V12="А1",$AZ$7,IF(V12="Б2",$AZ$6,IF(V12="Б1",$BA$7,IF(V12="А2",$BA$6,IF(V12="Х","Х",IF(V12&lt;6," "," "))))))</f>
        <v xml:space="preserve"> </v>
      </c>
      <c r="Y12" s="89"/>
      <c r="Z12" s="266" t="str">
        <f>IF(V12="Х","Х",IF(ISBLANK(Y12),"",IF(Y12&gt;2.5," ",IF(B12=BB$6,BB$7,BB$6))))</f>
        <v/>
      </c>
      <c r="AA12" s="89"/>
      <c r="AB12" s="275" t="str">
        <f>IF(H12="Х",F$5,IF(J12="Х",H$5,IF(L12="Х",J$5,IF(N12="Х",L$5,IF(P12="Х",N$5,IF(R12="Х",P$5,IF(T12="Х",R$5,IF(X12="Х",T$5,""))))))))</f>
        <v/>
      </c>
      <c r="AC12" s="276">
        <f>SUM(G12+I12+K12+M12+O12+Q12+S12+U12+Y12+AA12)</f>
        <v>0</v>
      </c>
      <c r="AD12" s="277" t="str">
        <f>AF12</f>
        <v>1-22</v>
      </c>
      <c r="AE12" s="278" t="str">
        <f>AD12</f>
        <v>1-22</v>
      </c>
      <c r="AF12" s="280" t="str">
        <f>COUNTIF(AG$6:AG$148,"&gt;"&amp;AG$6:AG$148)+1&amp;REPT("-"&amp;COUNTIF(AG$6:AG$148,"&gt;="&amp;AG$6:AG$148),COUNTIF(AG$6:AG$148,AG12)&gt;1)</f>
        <v>1-22</v>
      </c>
      <c r="AG12" s="282">
        <f>(AR12*100)+(AP12*10)-AC12</f>
        <v>1280</v>
      </c>
      <c r="AH12" s="288" t="str">
        <f>IF(OR(F12="Х",F12="св")," ",IF(AND(G12&gt;=0,G12&lt;3),"1"," "))</f>
        <v>1</v>
      </c>
      <c r="AI12" s="289" t="str">
        <f>IF(OR(H12="Х",H12="св")," ",IF(AND(I12&gt;=0,I12&lt;3),"1"," "))</f>
        <v>1</v>
      </c>
      <c r="AJ12" s="289" t="str">
        <f>IF(OR(J12="Х",J12="св")," ",IF(AND(K12&gt;=0,K12&lt;3),"1"," "))</f>
        <v>1</v>
      </c>
      <c r="AK12" s="289" t="str">
        <f>IF(OR(L12="Х",L12="св")," ",IF(AND(M12&gt;=0,M12&lt;3),"1"," "))</f>
        <v>1</v>
      </c>
      <c r="AL12" s="289" t="str">
        <f>IF(OR(N12="Х",N12="св")," ",IF(AND(O12&gt;=0,O12&lt;3),"1"," "))</f>
        <v>1</v>
      </c>
      <c r="AM12" s="289" t="str">
        <f>IF(OR(P12="Х",P12="св")," ",IF(AND(Q12&gt;=0,Q12&lt;3),"1"," "))</f>
        <v>1</v>
      </c>
      <c r="AN12" s="289" t="str">
        <f>IF(OR(R12="Х",R12="св")," ",IF(AND(S12&gt;=0,S12&lt;3),"1"," "))</f>
        <v>1</v>
      </c>
      <c r="AO12" s="289" t="str">
        <f>IF(OR(T12="Х",T12="св")," ",IF(AND(U12&gt;=0,U12&lt;3),"1"," "))</f>
        <v>1</v>
      </c>
      <c r="AP12" s="289">
        <f>COUNTIF(AH12:AO13,1)</f>
        <v>8</v>
      </c>
      <c r="AQ12" s="289">
        <f>AG12-AC12</f>
        <v>1280</v>
      </c>
      <c r="AR12" s="292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289" t="str">
        <f>COUNTIF(AG$6:AG$134,"&gt;"&amp;AG$6:AG$134)+1&amp;REPT("-"&amp;COUNTIF(AG$6:AG$134,"&gt;="&amp;AG$6:AG$134),COUNTIF(AG$6:AG$134,AG12)&gt;1)</f>
        <v>1-22</v>
      </c>
      <c r="AT12" s="288" t="str">
        <f t="shared" ref="AT12:AW12" si="6">COUNTIF(AU$6:AU$134,"&gt;"&amp;AU$6:AU$134)+1&amp;REPT("-"&amp;COUNTIF(AU$6:AU$134,"&gt;="&amp;AU$6:AU$134),COUNTIF(AU$6:AU$134,AU12)&gt;1)</f>
        <v>1-64</v>
      </c>
      <c r="AU12" s="288" t="str">
        <f t="shared" si="6"/>
        <v>1-0</v>
      </c>
      <c r="AV12" s="288" t="str">
        <f t="shared" si="6"/>
        <v>1</v>
      </c>
      <c r="AW12" s="288" t="str">
        <f t="shared" si="6"/>
        <v>61</v>
      </c>
      <c r="AX12" s="293">
        <f>IF(X12="Х","Х",IF(Y12&lt;3,B12,"Х"))</f>
        <v>4</v>
      </c>
      <c r="AY12" s="141" t="str">
        <f ca="1"/>
        <v/>
      </c>
      <c r="AZ12" s="97"/>
      <c r="BA12" s="141" t="str">
        <f ca="1"/>
        <v/>
      </c>
      <c r="BB12" s="142"/>
      <c r="BC12" s="141" t="str">
        <f ca="1"/>
        <v/>
      </c>
      <c r="BD12" s="143" t="str">
        <f ca="1"/>
        <v/>
      </c>
      <c r="BE12" s="141" t="str">
        <f ca="1"/>
        <v/>
      </c>
      <c r="BF12" s="144" t="str">
        <f ca="1"/>
        <v/>
      </c>
      <c r="BG12" s="141" t="str">
        <f ca="1"/>
        <v/>
      </c>
      <c r="BH12" s="141" t="str">
        <f ca="1"/>
        <v/>
      </c>
      <c r="BI12" s="358"/>
      <c r="BJ12" s="264"/>
      <c r="BK12" s="358"/>
      <c r="BL12" s="264"/>
      <c r="BM12" s="294">
        <v>4</v>
      </c>
      <c r="BN12" s="287">
        <v>3</v>
      </c>
      <c r="BO12" s="98" t="str">
        <f>IF(BM12&lt;BN12,BM12,"")</f>
        <v/>
      </c>
      <c r="BP12" s="124" t="str">
        <v/>
      </c>
      <c r="BQ12" s="125">
        <f ca="1">IFERROR(__xludf.DUMMYFUNCTION("""COMPUTED_VALUE"""),7)</f>
        <v>7</v>
      </c>
      <c r="BR12" s="295">
        <v>4</v>
      </c>
      <c r="BS12" s="287">
        <v>2</v>
      </c>
      <c r="BT12" s="109" t="str">
        <f>IF(BR12&lt;BS12,BR12,"")</f>
        <v/>
      </c>
      <c r="BU12" s="124" t="str">
        <v/>
      </c>
      <c r="BV12" s="124">
        <f ca="1">IFERROR(__xludf.DUMMYFUNCTION("""COMPUTED_VALUE"""),6)</f>
        <v>6</v>
      </c>
      <c r="BW12" s="284">
        <v>4</v>
      </c>
      <c r="BX12" s="286" t="str">
        <v xml:space="preserve"> </v>
      </c>
      <c r="BY12" s="102">
        <f t="array" ref="BY12">IF(BW12&lt;BX12,BW12,"")</f>
        <v>4</v>
      </c>
      <c r="BZ12" s="102">
        <f t="shared" si="2"/>
        <v>4</v>
      </c>
      <c r="CA12" s="63">
        <f ca="1">IFERROR(__xludf.DUMMYFUNCTION("""COMPUTED_VALUE"""),7)</f>
        <v>7</v>
      </c>
      <c r="CB12" s="63">
        <f t="shared" ca="1" si="3"/>
        <v>7</v>
      </c>
      <c r="CC12" s="63"/>
      <c r="CD12" s="112"/>
      <c r="CE12" s="286">
        <v>4</v>
      </c>
      <c r="CF12" s="296" t="str">
        <v xml:space="preserve"> </v>
      </c>
      <c r="CG12" s="98">
        <f t="array" ref="CG12">IF(CE12&lt;CF12,CE12,"")</f>
        <v>4</v>
      </c>
      <c r="CH12" s="63">
        <v>4</v>
      </c>
      <c r="CI12" s="115">
        <f ca="1">IFERROR(__xludf.DUMMYFUNCTION("""COMPUTED_VALUE"""),7)</f>
        <v>7</v>
      </c>
      <c r="CJ12" s="65">
        <v>4</v>
      </c>
      <c r="CK12" s="129" t="str">
        <v xml:space="preserve"> </v>
      </c>
      <c r="CL12" s="98">
        <f t="array" ref="CL12">IF(CJ12&lt;CK12,CJ12,"")</f>
        <v>4</v>
      </c>
      <c r="CM12" s="52">
        <v>4</v>
      </c>
      <c r="CN12" s="52">
        <f ca="1">IFERROR(__xludf.DUMMYFUNCTION("""COMPUTED_VALUE"""),7)</f>
        <v>7</v>
      </c>
      <c r="CO12" s="287">
        <v>4</v>
      </c>
      <c r="CP12" s="287" t="str">
        <v xml:space="preserve"> </v>
      </c>
      <c r="CQ12" s="98">
        <f t="array" ref="CQ12">IF(CO12&lt;CP12,CO12,"")</f>
        <v>4</v>
      </c>
      <c r="CR12" s="64">
        <v>4</v>
      </c>
      <c r="CS12" s="64">
        <f ca="1">IFERROR(__xludf.DUMMYFUNCTION("""COMPUTED_VALUE"""),7)</f>
        <v>7</v>
      </c>
      <c r="CT12" s="287">
        <v>4</v>
      </c>
      <c r="CU12" s="287" t="str">
        <v xml:space="preserve"> </v>
      </c>
      <c r="CV12" s="98">
        <f t="array" ref="CV12">IF(CT12&lt;CU12,CT12,"")</f>
        <v>4</v>
      </c>
      <c r="CW12" s="52">
        <v>4</v>
      </c>
      <c r="CX12" s="52">
        <f ca="1">IFERROR(__xludf.DUMMYFUNCTION("""COMPUTED_VALUE"""),7)</f>
        <v>7</v>
      </c>
      <c r="CY12" s="287">
        <v>4</v>
      </c>
      <c r="CZ12" s="287" t="str">
        <v xml:space="preserve"> </v>
      </c>
      <c r="DA12" s="98">
        <f t="array" ref="DA12">IF(CY12&lt;CZ12,CY12,"")</f>
        <v>4</v>
      </c>
      <c r="DB12" s="52">
        <v>4</v>
      </c>
      <c r="DC12" s="52">
        <f ca="1">IFERROR(__xludf.DUMMYFUNCTION("""COMPUTED_VALUE"""),7)</f>
        <v>7</v>
      </c>
      <c r="DD12" s="52">
        <v>4</v>
      </c>
      <c r="DE12" s="52"/>
      <c r="DF12" s="52"/>
      <c r="DG12" s="52"/>
      <c r="DH12" s="52"/>
    </row>
    <row r="13" spans="1:112" ht="13.5" customHeight="1">
      <c r="A13" s="132"/>
      <c r="B13" s="269"/>
      <c r="C13" s="269"/>
      <c r="D13" s="269"/>
      <c r="E13" s="269"/>
      <c r="F13" s="274"/>
      <c r="G13" s="106"/>
      <c r="H13" s="267"/>
      <c r="I13" s="106"/>
      <c r="J13" s="267"/>
      <c r="K13" s="106"/>
      <c r="L13" s="267"/>
      <c r="M13" s="106"/>
      <c r="N13" s="267"/>
      <c r="O13" s="106"/>
      <c r="P13" s="267"/>
      <c r="Q13" s="106"/>
      <c r="R13" s="267"/>
      <c r="S13" s="106"/>
      <c r="T13" s="267"/>
      <c r="U13" s="107"/>
      <c r="V13" s="267"/>
      <c r="W13" s="107"/>
      <c r="X13" s="267"/>
      <c r="Y13" s="106"/>
      <c r="Z13" s="267"/>
      <c r="AA13" s="106"/>
      <c r="AB13" s="274"/>
      <c r="AC13" s="269"/>
      <c r="AD13" s="267"/>
      <c r="AE13" s="279"/>
      <c r="AF13" s="281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64"/>
      <c r="AY13" s="145" t="str">
        <f ca="1"/>
        <v/>
      </c>
      <c r="AZ13" s="97"/>
      <c r="BA13" s="146" t="str">
        <f ca="1"/>
        <v/>
      </c>
      <c r="BB13" s="142"/>
      <c r="BC13" s="145" t="str">
        <f ca="1"/>
        <v/>
      </c>
      <c r="BD13" s="143" t="str">
        <f ca="1"/>
        <v/>
      </c>
      <c r="BE13" s="145" t="str">
        <f ca="1"/>
        <v/>
      </c>
      <c r="BF13" s="144" t="str">
        <f ca="1"/>
        <v/>
      </c>
      <c r="BG13" s="145" t="str">
        <f ca="1"/>
        <v/>
      </c>
      <c r="BH13" s="145" t="str">
        <f ca="1"/>
        <v/>
      </c>
      <c r="BI13" s="147"/>
      <c r="BJ13" s="148"/>
      <c r="BK13" s="149"/>
      <c r="BL13" s="150"/>
      <c r="BM13" s="285" t="str">
        <v/>
      </c>
      <c r="BN13" s="264">
        <v>0</v>
      </c>
      <c r="BO13" s="109" t="str">
        <f>IF(BO12="","",BN12)</f>
        <v/>
      </c>
      <c r="BP13" s="109" t="str">
        <v/>
      </c>
      <c r="BQ13" s="125">
        <f ca="1">IFERROR(__xludf.DUMMYFUNCTION("""COMPUTED_VALUE"""),8)</f>
        <v>8</v>
      </c>
      <c r="BR13" s="264" t="str">
        <v/>
      </c>
      <c r="BS13" s="264">
        <v>0</v>
      </c>
      <c r="BT13" s="109" t="str">
        <f>IF(BT12="","",BS12)</f>
        <v/>
      </c>
      <c r="BU13" s="109" t="str">
        <v/>
      </c>
      <c r="BV13" s="124">
        <f ca="1">IFERROR(__xludf.DUMMYFUNCTION("""COMPUTED_VALUE"""),8)</f>
        <v>8</v>
      </c>
      <c r="BW13" s="285" t="str">
        <v/>
      </c>
      <c r="BX13" s="264">
        <v>0</v>
      </c>
      <c r="BY13" s="102" t="str">
        <f>IF(BY12="","",BX12)</f>
        <v xml:space="preserve"> </v>
      </c>
      <c r="BZ13" s="102" t="str">
        <f t="shared" si="2"/>
        <v xml:space="preserve"> </v>
      </c>
      <c r="CA13" s="63">
        <f ca="1">IFERROR(__xludf.DUMMYFUNCTION("""COMPUTED_VALUE"""),8)</f>
        <v>8</v>
      </c>
      <c r="CB13" s="63">
        <f t="shared" ca="1" si="3"/>
        <v>8</v>
      </c>
      <c r="CC13" s="63"/>
      <c r="CD13" s="112"/>
      <c r="CE13" s="264" t="str">
        <v/>
      </c>
      <c r="CF13" s="264">
        <v>0</v>
      </c>
      <c r="CG13" s="113" t="str">
        <f>IF(CG12="","",CF12)</f>
        <v xml:space="preserve"> </v>
      </c>
      <c r="CH13" s="128" t="str">
        <v xml:space="preserve"> </v>
      </c>
      <c r="CI13" s="115">
        <f ca="1">IFERROR(__xludf.DUMMYFUNCTION("""COMPUTED_VALUE"""),8)</f>
        <v>8</v>
      </c>
      <c r="CJ13" s="49" t="str">
        <v/>
      </c>
      <c r="CK13" s="131">
        <v>0</v>
      </c>
      <c r="CL13" s="113" t="str">
        <f>IF(CL12="","",CK12)</f>
        <v xml:space="preserve"> </v>
      </c>
      <c r="CM13" s="52" t="str">
        <v xml:space="preserve"> </v>
      </c>
      <c r="CN13" s="52">
        <f ca="1">IFERROR(__xludf.DUMMYFUNCTION("""COMPUTED_VALUE"""),8)</f>
        <v>8</v>
      </c>
      <c r="CO13" s="264" t="str">
        <v/>
      </c>
      <c r="CP13" s="264">
        <v>0</v>
      </c>
      <c r="CQ13" s="113" t="str">
        <f>IF(CQ12="","",CP12)</f>
        <v xml:space="preserve"> </v>
      </c>
      <c r="CR13" s="52" t="str">
        <v xml:space="preserve"> </v>
      </c>
      <c r="CS13" s="64">
        <f ca="1">IFERROR(__xludf.DUMMYFUNCTION("""COMPUTED_VALUE"""),8)</f>
        <v>8</v>
      </c>
      <c r="CT13" s="264" t="str">
        <v/>
      </c>
      <c r="CU13" s="264">
        <v>0</v>
      </c>
      <c r="CV13" s="113" t="str">
        <f>IF(CV12="","",CU12)</f>
        <v xml:space="preserve"> </v>
      </c>
      <c r="CW13" s="52" t="str">
        <v xml:space="preserve"> </v>
      </c>
      <c r="CX13" s="52">
        <f ca="1">IFERROR(__xludf.DUMMYFUNCTION("""COMPUTED_VALUE"""),8)</f>
        <v>8</v>
      </c>
      <c r="CY13" s="264" t="str">
        <v/>
      </c>
      <c r="CZ13" s="264">
        <v>0</v>
      </c>
      <c r="DA13" s="113" t="str">
        <f>IF(DA12="","",CZ12)</f>
        <v xml:space="preserve"> </v>
      </c>
      <c r="DB13" s="52" t="str">
        <v xml:space="preserve"> </v>
      </c>
      <c r="DC13" s="52">
        <f ca="1">IFERROR(__xludf.DUMMYFUNCTION("""COMPUTED_VALUE"""),8)</f>
        <v>8</v>
      </c>
      <c r="DD13" s="52" t="str">
        <v/>
      </c>
      <c r="DE13" s="52"/>
      <c r="DF13" s="52"/>
      <c r="DG13" s="52"/>
      <c r="DH13" s="52"/>
    </row>
    <row r="14" spans="1:112" ht="13.5" customHeight="1">
      <c r="A14" s="132"/>
      <c r="B14" s="268">
        <v>5</v>
      </c>
      <c r="C14" s="270" t="str">
        <f>(VLOOKUP($B14,Пр.взв!$D$6:$J$63,2,0))</f>
        <v xml:space="preserve">ГАЙДУЧОК  Дарья </v>
      </c>
      <c r="D14" s="271" t="str">
        <f>(VLOOKUP($B14,Пр.взв!$D$6:$J$63,5,0))</f>
        <v>МС</v>
      </c>
      <c r="E14" s="272" t="str">
        <f>(VLOOKUP($B14,Пр.взв!$D$6:$M$63,8,0))</f>
        <v>Московская</v>
      </c>
      <c r="F14" s="273">
        <v>6</v>
      </c>
      <c r="G14" s="86"/>
      <c r="H14" s="266">
        <v>7</v>
      </c>
      <c r="I14" s="86"/>
      <c r="J14" s="266" t="str">
        <f>IF(H14="Х","Х",IF($AC14&lt;6," ","Х"))</f>
        <v xml:space="preserve"> </v>
      </c>
      <c r="K14" s="87"/>
      <c r="L14" s="266" t="str">
        <f>IF(J14="Х","Х",IF(K14&lt;3," ",IF($AC14&lt;6," ","Х")))</f>
        <v xml:space="preserve"> </v>
      </c>
      <c r="M14" s="87"/>
      <c r="N14" s="266" t="str">
        <f>IF(L14="Х","Х",IF(M14&lt;3," ",IF($AC14&lt;6," ","Х")))</f>
        <v xml:space="preserve"> </v>
      </c>
      <c r="O14" s="87"/>
      <c r="P14" s="266" t="str">
        <f>IF(N14="Х","Х",IF(O14&lt;3," ",IF($AC14&lt;6," ","Х")))</f>
        <v xml:space="preserve"> </v>
      </c>
      <c r="Q14" s="87"/>
      <c r="R14" s="266" t="str">
        <f>IF(P14="Х","Х",IF(Q14&lt;3," ",IF($AC14&lt;6," ","Х")))</f>
        <v xml:space="preserve"> </v>
      </c>
      <c r="S14" s="87"/>
      <c r="T14" s="266" t="str">
        <f>IF(R14="Х","Х",IF(S14&lt;3," ",IF($AC14&lt;6," ","Х")))</f>
        <v xml:space="preserve"> </v>
      </c>
      <c r="U14" s="88"/>
      <c r="V14" s="266" t="str">
        <f>IF(T14="Х","Х",IF(U14&lt;3," ",IF($AC14&lt;6," ","Х")))</f>
        <v xml:space="preserve"> </v>
      </c>
      <c r="W14" s="88"/>
      <c r="X14" s="266" t="str">
        <f>IF(V14="А1",$AZ$7,IF(V14="Б2",$AZ$6,IF(V14="Б1",$BA$7,IF(V14="А2",$BA$6,IF(V14="Х","Х",IF(V14&lt;6," "," "))))))</f>
        <v xml:space="preserve"> </v>
      </c>
      <c r="Y14" s="89"/>
      <c r="Z14" s="266" t="str">
        <f>IF(V14="Х","Х",IF(ISBLANK(Y14),"",IF(Y14&gt;2.5," ",IF(B14=BB$6,BB$7,BB$6))))</f>
        <v/>
      </c>
      <c r="AA14" s="89"/>
      <c r="AB14" s="275" t="str">
        <f>IF(H14="Х",F$5,IF(J14="Х",H$5,IF(L14="Х",J$5,IF(N14="Х",L$5,IF(P14="Х",N$5,IF(R14="Х",P$5,IF(T14="Х",R$5,IF(X14="Х",T$5,""))))))))</f>
        <v/>
      </c>
      <c r="AC14" s="276">
        <f>SUM(G14+I14+K14+M14+O14+Q14+S14+U14+Y14+AA14)</f>
        <v>0</v>
      </c>
      <c r="AD14" s="277" t="str">
        <f>AF14</f>
        <v>1-22</v>
      </c>
      <c r="AE14" s="278" t="str">
        <f>AD14</f>
        <v>1-22</v>
      </c>
      <c r="AF14" s="280" t="str">
        <f>COUNTIF(AG$6:AG$148,"&gt;"&amp;AG$6:AG$148)+1&amp;REPT("-"&amp;COUNTIF(AG$6:AG$148,"&gt;="&amp;AG$6:AG$148),COUNTIF(AG$6:AG$148,AG14)&gt;1)</f>
        <v>1-22</v>
      </c>
      <c r="AG14" s="282">
        <f>(AR14*100)+(AP14*10)-AC14</f>
        <v>1280</v>
      </c>
      <c r="AH14" s="288" t="str">
        <f>IF(OR(F14="Х",F14="св")," ",IF(AND(G14&gt;=0,G14&lt;3),"1"," "))</f>
        <v>1</v>
      </c>
      <c r="AI14" s="289" t="str">
        <f>IF(OR(H14="Х",H14="св")," ",IF(AND(I14&gt;=0,I14&lt;3),"1"," "))</f>
        <v>1</v>
      </c>
      <c r="AJ14" s="289" t="str">
        <f>IF(OR(J14="Х",J14="св")," ",IF(AND(K14&gt;=0,K14&lt;3),"1"," "))</f>
        <v>1</v>
      </c>
      <c r="AK14" s="289" t="str">
        <f>IF(OR(L14="Х",L14="св")," ",IF(AND(M14&gt;=0,M14&lt;3),"1"," "))</f>
        <v>1</v>
      </c>
      <c r="AL14" s="289" t="str">
        <f>IF(OR(N14="Х",N14="св")," ",IF(AND(O14&gt;=0,O14&lt;3),"1"," "))</f>
        <v>1</v>
      </c>
      <c r="AM14" s="289" t="str">
        <f>IF(OR(P14="Х",P14="св")," ",IF(AND(Q14&gt;=0,Q14&lt;3),"1"," "))</f>
        <v>1</v>
      </c>
      <c r="AN14" s="289" t="str">
        <f>IF(OR(R14="Х",R14="св")," ",IF(AND(S14&gt;=0,S14&lt;3),"1"," "))</f>
        <v>1</v>
      </c>
      <c r="AO14" s="289" t="str">
        <f>IF(OR(T14="Х",T14="св")," ",IF(AND(U14&gt;=0,U14&lt;3),"1"," "))</f>
        <v>1</v>
      </c>
      <c r="AP14" s="289">
        <f>COUNTIF(AH14:AO15,1)</f>
        <v>8</v>
      </c>
      <c r="AQ14" s="289">
        <f>AG14-AC14</f>
        <v>1280</v>
      </c>
      <c r="AR14" s="292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289" t="str">
        <f>COUNTIF(AG$6:AG$134,"&gt;"&amp;AG$6:AG$134)+1&amp;REPT("-"&amp;COUNTIF(AG$6:AG$134,"&gt;="&amp;AG$6:AG$134),COUNTIF(AG$6:AG$134,AG14)&gt;1)</f>
        <v>1-22</v>
      </c>
      <c r="AT14" s="288" t="str">
        <f t="shared" ref="AT14:AW14" si="7">COUNTIF(AU$6:AU$134,"&gt;"&amp;AU$6:AU$134)+1&amp;REPT("-"&amp;COUNTIF(AU$6:AU$134,"&gt;="&amp;AU$6:AU$134),COUNTIF(AU$6:AU$134,AU14)&gt;1)</f>
        <v>1-64</v>
      </c>
      <c r="AU14" s="288" t="str">
        <f t="shared" si="7"/>
        <v>1-0</v>
      </c>
      <c r="AV14" s="288" t="str">
        <f t="shared" si="7"/>
        <v>1</v>
      </c>
      <c r="AW14" s="288" t="str">
        <f t="shared" si="7"/>
        <v>60</v>
      </c>
      <c r="AX14" s="293">
        <f>IF(X14="Х","Х",IF(Y14&lt;3,B14,"Х"))</f>
        <v>5</v>
      </c>
      <c r="AY14" s="141" t="str">
        <f ca="1"/>
        <v/>
      </c>
      <c r="AZ14" s="97"/>
      <c r="BA14" s="141" t="str">
        <f ca="1"/>
        <v/>
      </c>
      <c r="BB14" s="142"/>
      <c r="BC14" s="141" t="str">
        <f ca="1"/>
        <v/>
      </c>
      <c r="BD14" s="143" t="str">
        <f ca="1"/>
        <v/>
      </c>
      <c r="BE14" s="141" t="str">
        <f ca="1"/>
        <v/>
      </c>
      <c r="BF14" s="144" t="str">
        <f ca="1"/>
        <v/>
      </c>
      <c r="BG14" s="141" t="str">
        <f ca="1"/>
        <v/>
      </c>
      <c r="BH14" s="141" t="str">
        <f ca="1"/>
        <v/>
      </c>
      <c r="BI14" s="147"/>
      <c r="BJ14" s="148"/>
      <c r="BK14" s="149"/>
      <c r="BL14" s="150"/>
      <c r="BM14" s="294">
        <v>5</v>
      </c>
      <c r="BN14" s="287">
        <v>6</v>
      </c>
      <c r="BO14" s="98">
        <f>IF(BM14&lt;BN14,BM14,"")</f>
        <v>5</v>
      </c>
      <c r="BP14" s="124">
        <v>5</v>
      </c>
      <c r="BQ14" s="125">
        <f ca="1">IFERROR(__xludf.DUMMYFUNCTION("""COMPUTED_VALUE"""),9)</f>
        <v>9</v>
      </c>
      <c r="BR14" s="295">
        <v>5</v>
      </c>
      <c r="BS14" s="287">
        <v>7</v>
      </c>
      <c r="BT14" s="109">
        <f>IF(BR14&lt;BS14,BR14,"")</f>
        <v>5</v>
      </c>
      <c r="BU14" s="124">
        <v>5</v>
      </c>
      <c r="BV14" s="124">
        <f ca="1">IFERROR(__xludf.DUMMYFUNCTION("""COMPUTED_VALUE"""),9)</f>
        <v>9</v>
      </c>
      <c r="BW14" s="284">
        <v>5</v>
      </c>
      <c r="BX14" s="286" t="str">
        <v xml:space="preserve"> </v>
      </c>
      <c r="BY14" s="102">
        <f t="array" ref="BY14">IF(BW14&lt;BX14,BW14,"")</f>
        <v>5</v>
      </c>
      <c r="BZ14" s="102">
        <f t="shared" si="2"/>
        <v>5</v>
      </c>
      <c r="CA14" s="63">
        <f ca="1">IFERROR(__xludf.DUMMYFUNCTION("""COMPUTED_VALUE"""),9)</f>
        <v>9</v>
      </c>
      <c r="CB14" s="63">
        <f t="shared" ca="1" si="3"/>
        <v>9</v>
      </c>
      <c r="CC14" s="63"/>
      <c r="CD14" s="112"/>
      <c r="CE14" s="286">
        <v>5</v>
      </c>
      <c r="CF14" s="296" t="str">
        <v xml:space="preserve"> </v>
      </c>
      <c r="CG14" s="98">
        <f t="array" ref="CG14">IF(CE14&lt;CF14,CE14,"")</f>
        <v>5</v>
      </c>
      <c r="CH14" s="63">
        <v>5</v>
      </c>
      <c r="CI14" s="115">
        <f ca="1">IFERROR(__xludf.DUMMYFUNCTION("""COMPUTED_VALUE"""),9)</f>
        <v>9</v>
      </c>
      <c r="CJ14" s="65">
        <v>5</v>
      </c>
      <c r="CK14" s="129" t="str">
        <v xml:space="preserve"> </v>
      </c>
      <c r="CL14" s="98">
        <f t="array" ref="CL14">IF(CJ14&lt;CK14,CJ14,"")</f>
        <v>5</v>
      </c>
      <c r="CM14" s="52">
        <v>5</v>
      </c>
      <c r="CN14" s="52">
        <f ca="1">IFERROR(__xludf.DUMMYFUNCTION("""COMPUTED_VALUE"""),9)</f>
        <v>9</v>
      </c>
      <c r="CO14" s="287">
        <v>5</v>
      </c>
      <c r="CP14" s="287" t="str">
        <v xml:space="preserve"> </v>
      </c>
      <c r="CQ14" s="98">
        <f t="array" ref="CQ14">IF(CO14&lt;CP14,CO14,"")</f>
        <v>5</v>
      </c>
      <c r="CR14" s="64">
        <v>5</v>
      </c>
      <c r="CS14" s="64">
        <f ca="1">IFERROR(__xludf.DUMMYFUNCTION("""COMPUTED_VALUE"""),9)</f>
        <v>9</v>
      </c>
      <c r="CT14" s="287">
        <v>5</v>
      </c>
      <c r="CU14" s="287" t="str">
        <v xml:space="preserve"> </v>
      </c>
      <c r="CV14" s="98">
        <f t="array" ref="CV14">IF(CT14&lt;CU14,CT14,"")</f>
        <v>5</v>
      </c>
      <c r="CW14" s="52">
        <v>5</v>
      </c>
      <c r="CX14" s="52">
        <f ca="1">IFERROR(__xludf.DUMMYFUNCTION("""COMPUTED_VALUE"""),9)</f>
        <v>9</v>
      </c>
      <c r="CY14" s="287">
        <v>5</v>
      </c>
      <c r="CZ14" s="287" t="str">
        <v xml:space="preserve"> </v>
      </c>
      <c r="DA14" s="98">
        <f t="array" ref="DA14">IF(CY14&lt;CZ14,CY14,"")</f>
        <v>5</v>
      </c>
      <c r="DB14" s="52">
        <v>5</v>
      </c>
      <c r="DC14" s="52">
        <f ca="1">IFERROR(__xludf.DUMMYFUNCTION("""COMPUTED_VALUE"""),9)</f>
        <v>9</v>
      </c>
      <c r="DD14" s="52">
        <v>5</v>
      </c>
      <c r="DE14" s="52"/>
      <c r="DF14" s="52"/>
      <c r="DG14" s="52"/>
      <c r="DH14" s="52"/>
    </row>
    <row r="15" spans="1:112" ht="13.5" customHeight="1">
      <c r="A15" s="132"/>
      <c r="B15" s="269"/>
      <c r="C15" s="269"/>
      <c r="D15" s="269"/>
      <c r="E15" s="269"/>
      <c r="F15" s="274"/>
      <c r="G15" s="106"/>
      <c r="H15" s="267"/>
      <c r="I15" s="106"/>
      <c r="J15" s="267"/>
      <c r="K15" s="106"/>
      <c r="L15" s="267"/>
      <c r="M15" s="106"/>
      <c r="N15" s="267"/>
      <c r="O15" s="106"/>
      <c r="P15" s="267"/>
      <c r="Q15" s="106"/>
      <c r="R15" s="267"/>
      <c r="S15" s="106"/>
      <c r="T15" s="267"/>
      <c r="U15" s="107"/>
      <c r="V15" s="267"/>
      <c r="W15" s="107"/>
      <c r="X15" s="267"/>
      <c r="Y15" s="106"/>
      <c r="Z15" s="267"/>
      <c r="AA15" s="106"/>
      <c r="AB15" s="274"/>
      <c r="AC15" s="269"/>
      <c r="AD15" s="267"/>
      <c r="AE15" s="279"/>
      <c r="AF15" s="281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64"/>
      <c r="AY15" s="145" t="str">
        <f ca="1"/>
        <v/>
      </c>
      <c r="AZ15" s="97"/>
      <c r="BA15" s="146" t="str">
        <f ca="1"/>
        <v/>
      </c>
      <c r="BB15" s="142"/>
      <c r="BC15" s="145" t="str">
        <f ca="1"/>
        <v/>
      </c>
      <c r="BD15" s="143" t="str">
        <f ca="1"/>
        <v/>
      </c>
      <c r="BE15" s="145" t="str">
        <f ca="1"/>
        <v/>
      </c>
      <c r="BF15" s="144" t="str">
        <f ca="1"/>
        <v/>
      </c>
      <c r="BG15" s="145" t="str">
        <f ca="1"/>
        <v/>
      </c>
      <c r="BH15" s="145" t="str">
        <f ca="1"/>
        <v/>
      </c>
      <c r="BI15" s="147"/>
      <c r="BJ15" s="148"/>
      <c r="BK15" s="149"/>
      <c r="BL15" s="150"/>
      <c r="BM15" s="285" t="str">
        <v/>
      </c>
      <c r="BN15" s="264">
        <v>0</v>
      </c>
      <c r="BO15" s="109">
        <f>IF(BO14="","",BN14)</f>
        <v>6</v>
      </c>
      <c r="BP15" s="109">
        <v>6</v>
      </c>
      <c r="BQ15" s="125">
        <f ca="1">IFERROR(__xludf.DUMMYFUNCTION("""COMPUTED_VALUE"""),10)</f>
        <v>10</v>
      </c>
      <c r="BR15" s="264" t="str">
        <v/>
      </c>
      <c r="BS15" s="264">
        <v>0</v>
      </c>
      <c r="BT15" s="109">
        <f>IF(BT14="","",BS14)</f>
        <v>7</v>
      </c>
      <c r="BU15" s="109">
        <v>7</v>
      </c>
      <c r="BV15" s="124">
        <f ca="1">IFERROR(__xludf.DUMMYFUNCTION("""COMPUTED_VALUE"""),11)</f>
        <v>11</v>
      </c>
      <c r="BW15" s="285" t="str">
        <v/>
      </c>
      <c r="BX15" s="264">
        <v>0</v>
      </c>
      <c r="BY15" s="102" t="str">
        <f>IF(BY14="","",BX14)</f>
        <v xml:space="preserve"> </v>
      </c>
      <c r="BZ15" s="102" t="str">
        <f t="shared" si="2"/>
        <v xml:space="preserve"> </v>
      </c>
      <c r="CA15" s="63">
        <f ca="1">IFERROR(__xludf.DUMMYFUNCTION("""COMPUTED_VALUE"""),10)</f>
        <v>10</v>
      </c>
      <c r="CB15" s="63">
        <f t="shared" ca="1" si="3"/>
        <v>10</v>
      </c>
      <c r="CC15" s="63"/>
      <c r="CD15" s="112"/>
      <c r="CE15" s="264" t="str">
        <v/>
      </c>
      <c r="CF15" s="264">
        <v>0</v>
      </c>
      <c r="CG15" s="113" t="str">
        <f>IF(CG14="","",CF14)</f>
        <v xml:space="preserve"> </v>
      </c>
      <c r="CH15" s="128" t="str">
        <v xml:space="preserve"> </v>
      </c>
      <c r="CI15" s="115">
        <f ca="1">IFERROR(__xludf.DUMMYFUNCTION("""COMPUTED_VALUE"""),10)</f>
        <v>10</v>
      </c>
      <c r="CJ15" s="49" t="str">
        <v/>
      </c>
      <c r="CK15" s="131">
        <v>0</v>
      </c>
      <c r="CL15" s="113" t="str">
        <f>IF(CL14="","",CK14)</f>
        <v xml:space="preserve"> </v>
      </c>
      <c r="CM15" s="52" t="str">
        <v xml:space="preserve"> </v>
      </c>
      <c r="CN15" s="52">
        <f ca="1">IFERROR(__xludf.DUMMYFUNCTION("""COMPUTED_VALUE"""),10)</f>
        <v>10</v>
      </c>
      <c r="CO15" s="264" t="str">
        <v/>
      </c>
      <c r="CP15" s="264">
        <v>0</v>
      </c>
      <c r="CQ15" s="113" t="str">
        <f>IF(CQ14="","",CP14)</f>
        <v xml:space="preserve"> </v>
      </c>
      <c r="CR15" s="52" t="str">
        <v xml:space="preserve"> </v>
      </c>
      <c r="CS15" s="64">
        <f ca="1">IFERROR(__xludf.DUMMYFUNCTION("""COMPUTED_VALUE"""),10)</f>
        <v>10</v>
      </c>
      <c r="CT15" s="264" t="str">
        <v/>
      </c>
      <c r="CU15" s="264">
        <v>0</v>
      </c>
      <c r="CV15" s="113" t="str">
        <f>IF(CV14="","",CU14)</f>
        <v xml:space="preserve"> </v>
      </c>
      <c r="CW15" s="52" t="str">
        <v xml:space="preserve"> </v>
      </c>
      <c r="CX15" s="52">
        <f ca="1">IFERROR(__xludf.DUMMYFUNCTION("""COMPUTED_VALUE"""),10)</f>
        <v>10</v>
      </c>
      <c r="CY15" s="264" t="str">
        <v/>
      </c>
      <c r="CZ15" s="264">
        <v>0</v>
      </c>
      <c r="DA15" s="113" t="str">
        <f>IF(DA14="","",CZ14)</f>
        <v xml:space="preserve"> </v>
      </c>
      <c r="DB15" s="52" t="str">
        <v xml:space="preserve"> </v>
      </c>
      <c r="DC15" s="52">
        <f ca="1">IFERROR(__xludf.DUMMYFUNCTION("""COMPUTED_VALUE"""),10)</f>
        <v>10</v>
      </c>
      <c r="DD15" s="52" t="str">
        <v/>
      </c>
      <c r="DE15" s="52"/>
      <c r="DF15" s="52"/>
      <c r="DG15" s="52"/>
      <c r="DH15" s="52"/>
    </row>
    <row r="16" spans="1:112" ht="13.5" customHeight="1">
      <c r="A16" s="132"/>
      <c r="B16" s="268">
        <v>6</v>
      </c>
      <c r="C16" s="270" t="str">
        <f>(VLOOKUP($B16,Пр.взв!$D$6:$J$63,2,0))</f>
        <v>БУБЯКИНА Ольга</v>
      </c>
      <c r="D16" s="271" t="str">
        <f>(VLOOKUP($B16,Пр.взв!$D$6:$J$63,5,0))</f>
        <v>КМС</v>
      </c>
      <c r="E16" s="272" t="str">
        <f>(VLOOKUP($B16,Пр.взв!$D$6:$M$63,8,0))</f>
        <v>Амурская</v>
      </c>
      <c r="F16" s="273">
        <v>5</v>
      </c>
      <c r="G16" s="86"/>
      <c r="H16" s="266">
        <v>8</v>
      </c>
      <c r="I16" s="86"/>
      <c r="J16" s="266" t="str">
        <f>IF(H16="Х","Х",IF($AC16&lt;6," ","Х"))</f>
        <v xml:space="preserve"> </v>
      </c>
      <c r="K16" s="87"/>
      <c r="L16" s="266" t="str">
        <f>IF(J16="Х","Х",IF(K16&lt;3," ",IF($AC16&lt;6," ","Х")))</f>
        <v xml:space="preserve"> </v>
      </c>
      <c r="M16" s="87"/>
      <c r="N16" s="266" t="str">
        <f>IF(L16="Х","Х",IF(M16&lt;3," ",IF($AC16&lt;6," ","Х")))</f>
        <v xml:space="preserve"> </v>
      </c>
      <c r="O16" s="87"/>
      <c r="P16" s="266" t="str">
        <f>IF(N16="Х","Х",IF(O16&lt;3," ",IF($AC16&lt;6," ","Х")))</f>
        <v xml:space="preserve"> </v>
      </c>
      <c r="Q16" s="87"/>
      <c r="R16" s="266" t="str">
        <f>IF(P16="Х","Х",IF(Q16&lt;3," ",IF($AC16&lt;6," ","Х")))</f>
        <v xml:space="preserve"> </v>
      </c>
      <c r="S16" s="87"/>
      <c r="T16" s="266" t="str">
        <f>IF(R16="Х","Х",IF(S16&lt;3," ",IF($AC16&lt;6," ","Х")))</f>
        <v xml:space="preserve"> </v>
      </c>
      <c r="U16" s="88"/>
      <c r="V16" s="266" t="str">
        <f>IF(T16="Х","Х",IF(U16&lt;3," ",IF($AC16&lt;6," ","Х")))</f>
        <v xml:space="preserve"> </v>
      </c>
      <c r="W16" s="88"/>
      <c r="X16" s="266" t="str">
        <f>IF(V16="А1",$AZ$7,IF(V16="Б2",$AZ$6,IF(V16="Б1",$BA$7,IF(V16="А2",$BA$6,IF(V16="Х","Х",IF(V16&lt;6," "," "))))))</f>
        <v xml:space="preserve"> </v>
      </c>
      <c r="Y16" s="89"/>
      <c r="Z16" s="266" t="str">
        <f>IF(V16="Х","Х",IF(ISBLANK(Y16),"",IF(Y16&gt;2.5," ",IF(B16=BB$6,BB$7,BB$6))))</f>
        <v/>
      </c>
      <c r="AA16" s="89"/>
      <c r="AB16" s="275" t="str">
        <f>IF(H16="Х",F$5,IF(J16="Х",H$5,IF(L16="Х",J$5,IF(N16="Х",L$5,IF(P16="Х",N$5,IF(R16="Х",P$5,IF(T16="Х",R$5,IF(X16="Х",T$5,""))))))))</f>
        <v/>
      </c>
      <c r="AC16" s="276">
        <f>SUM(G16+I16+K16+M16+O16+Q16+S16+U16+Y16+AA16)</f>
        <v>0</v>
      </c>
      <c r="AD16" s="277" t="str">
        <f>AF16</f>
        <v>1-22</v>
      </c>
      <c r="AE16" s="278" t="str">
        <f>AD16</f>
        <v>1-22</v>
      </c>
      <c r="AF16" s="280" t="str">
        <f>COUNTIF(AG$6:AG$148,"&gt;"&amp;AG$6:AG$148)+1&amp;REPT("-"&amp;COUNTIF(AG$6:AG$148,"&gt;="&amp;AG$6:AG$148),COUNTIF(AG$6:AG$148,AG16)&gt;1)</f>
        <v>1-22</v>
      </c>
      <c r="AG16" s="282">
        <f>(AR16*100)+(AP16*10)-AC16</f>
        <v>1280</v>
      </c>
      <c r="AH16" s="288" t="str">
        <f>IF(OR(F16="Х",F16="св")," ",IF(AND(G16&gt;=0,G16&lt;3),"1"," "))</f>
        <v>1</v>
      </c>
      <c r="AI16" s="289" t="str">
        <f>IF(OR(H16="Х",H16="св")," ",IF(AND(I16&gt;=0,I16&lt;3),"1"," "))</f>
        <v>1</v>
      </c>
      <c r="AJ16" s="289" t="str">
        <f>IF(OR(J16="Х",J16="св")," ",IF(AND(K16&gt;=0,K16&lt;3),"1"," "))</f>
        <v>1</v>
      </c>
      <c r="AK16" s="289" t="str">
        <f>IF(OR(L16="Х",L16="св")," ",IF(AND(M16&gt;=0,M16&lt;3),"1"," "))</f>
        <v>1</v>
      </c>
      <c r="AL16" s="289" t="str">
        <f>IF(OR(N16="Х",N16="св")," ",IF(AND(O16&gt;=0,O16&lt;3),"1"," "))</f>
        <v>1</v>
      </c>
      <c r="AM16" s="289" t="str">
        <f>IF(OR(P16="Х",P16="св")," ",IF(AND(Q16&gt;=0,Q16&lt;3),"1"," "))</f>
        <v>1</v>
      </c>
      <c r="AN16" s="289" t="str">
        <f>IF(OR(R16="Х",R16="св")," ",IF(AND(S16&gt;=0,S16&lt;3),"1"," "))</f>
        <v>1</v>
      </c>
      <c r="AO16" s="289" t="str">
        <f>IF(OR(T16="Х",T16="св")," ",IF(AND(U16&gt;=0,U16&lt;3),"1"," "))</f>
        <v>1</v>
      </c>
      <c r="AP16" s="289">
        <f>COUNTIF(AH16:AO17,1)</f>
        <v>8</v>
      </c>
      <c r="AQ16" s="289">
        <f>AG16-AC16</f>
        <v>1280</v>
      </c>
      <c r="AR16" s="292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289" t="str">
        <f>COUNTIF(AG$6:AG$134,"&gt;"&amp;AG$6:AG$134)+1&amp;REPT("-"&amp;COUNTIF(AG$6:AG$134,"&gt;="&amp;AG$6:AG$134),COUNTIF(AG$6:AG$134,AG16)&gt;1)</f>
        <v>1-22</v>
      </c>
      <c r="AT16" s="288" t="str">
        <f t="shared" ref="AT16:AW16" si="8">COUNTIF(AU$6:AU$134,"&gt;"&amp;AU$6:AU$134)+1&amp;REPT("-"&amp;COUNTIF(AU$6:AU$134,"&gt;="&amp;AU$6:AU$134),COUNTIF(AU$6:AU$134,AU16)&gt;1)</f>
        <v>1-64</v>
      </c>
      <c r="AU16" s="288" t="str">
        <f t="shared" si="8"/>
        <v>1-0</v>
      </c>
      <c r="AV16" s="288" t="str">
        <f t="shared" si="8"/>
        <v>1</v>
      </c>
      <c r="AW16" s="288" t="str">
        <f t="shared" si="8"/>
        <v>59</v>
      </c>
      <c r="AX16" s="293">
        <f>IF(X16="Х","Х",IF(Y16&lt;3,B16,"Х"))</f>
        <v>6</v>
      </c>
      <c r="AY16" s="141" t="str">
        <f ca="1"/>
        <v/>
      </c>
      <c r="AZ16" s="97"/>
      <c r="BA16" s="141" t="str">
        <f ca="1"/>
        <v/>
      </c>
      <c r="BB16" s="142"/>
      <c r="BC16" s="141" t="str">
        <f ca="1"/>
        <v/>
      </c>
      <c r="BD16" s="144" t="str">
        <f ca="1"/>
        <v/>
      </c>
      <c r="BE16" s="141" t="str">
        <f ca="1"/>
        <v/>
      </c>
      <c r="BF16" s="144" t="str">
        <f ca="1"/>
        <v/>
      </c>
      <c r="BG16" s="141" t="str">
        <f ca="1"/>
        <v/>
      </c>
      <c r="BH16" s="141" t="str">
        <f ca="1"/>
        <v/>
      </c>
      <c r="BI16" s="147"/>
      <c r="BJ16" s="148"/>
      <c r="BK16" s="149"/>
      <c r="BL16" s="150"/>
      <c r="BM16" s="294">
        <v>6</v>
      </c>
      <c r="BN16" s="287">
        <v>5</v>
      </c>
      <c r="BO16" s="98" t="str">
        <f>IF(BM16&lt;BN16,BM16,"")</f>
        <v/>
      </c>
      <c r="BP16" s="124" t="str">
        <v/>
      </c>
      <c r="BQ16" s="125">
        <f ca="1">IFERROR(__xludf.DUMMYFUNCTION("""COMPUTED_VALUE"""),11)</f>
        <v>11</v>
      </c>
      <c r="BR16" s="295">
        <v>6</v>
      </c>
      <c r="BS16" s="287">
        <v>8</v>
      </c>
      <c r="BT16" s="109">
        <f>IF(BR16&lt;BS16,BR16,"")</f>
        <v>6</v>
      </c>
      <c r="BU16" s="124">
        <v>6</v>
      </c>
      <c r="BV16" s="124">
        <f ca="1">IFERROR(__xludf.DUMMYFUNCTION("""COMPUTED_VALUE"""),10)</f>
        <v>10</v>
      </c>
      <c r="BW16" s="284">
        <v>6</v>
      </c>
      <c r="BX16" s="286" t="str">
        <v xml:space="preserve"> </v>
      </c>
      <c r="BY16" s="102">
        <f t="array" ref="BY16">IF(BW16&lt;BX16,BW16,"")</f>
        <v>6</v>
      </c>
      <c r="BZ16" s="102">
        <f t="shared" si="2"/>
        <v>6</v>
      </c>
      <c r="CA16" s="63">
        <f ca="1">IFERROR(__xludf.DUMMYFUNCTION("""COMPUTED_VALUE"""),11)</f>
        <v>11</v>
      </c>
      <c r="CB16" s="63">
        <f t="shared" ca="1" si="3"/>
        <v>11</v>
      </c>
      <c r="CC16" s="63"/>
      <c r="CD16" s="112"/>
      <c r="CE16" s="286">
        <v>6</v>
      </c>
      <c r="CF16" s="296" t="str">
        <v xml:space="preserve"> </v>
      </c>
      <c r="CG16" s="98">
        <f t="array" ref="CG16">IF(CE16&lt;CF16,CE16,"")</f>
        <v>6</v>
      </c>
      <c r="CH16" s="63">
        <v>6</v>
      </c>
      <c r="CI16" s="115">
        <f ca="1">IFERROR(__xludf.DUMMYFUNCTION("""COMPUTED_VALUE"""),11)</f>
        <v>11</v>
      </c>
      <c r="CJ16" s="65">
        <v>6</v>
      </c>
      <c r="CK16" s="151" t="str">
        <v xml:space="preserve"> </v>
      </c>
      <c r="CL16" s="98">
        <f t="array" ref="CL16">IF(CJ16&lt;CK16,CJ16,"")</f>
        <v>6</v>
      </c>
      <c r="CM16" s="49">
        <v>6</v>
      </c>
      <c r="CN16" s="49">
        <f ca="1">IFERROR(__xludf.DUMMYFUNCTION("""COMPUTED_VALUE"""),11)</f>
        <v>11</v>
      </c>
      <c r="CO16" s="286">
        <v>6</v>
      </c>
      <c r="CP16" s="286" t="str">
        <v xml:space="preserve"> </v>
      </c>
      <c r="CQ16" s="98">
        <f t="array" ref="CQ16">IF(CO16&lt;CP16,CO16,"")</f>
        <v>6</v>
      </c>
      <c r="CR16" s="65">
        <v>6</v>
      </c>
      <c r="CS16" s="152">
        <f ca="1">IFERROR(__xludf.DUMMYFUNCTION("""COMPUTED_VALUE"""),11)</f>
        <v>11</v>
      </c>
      <c r="CT16" s="286">
        <v>6</v>
      </c>
      <c r="CU16" s="286" t="str">
        <v xml:space="preserve"> </v>
      </c>
      <c r="CV16" s="98">
        <f t="array" ref="CV16">IF(CT16&lt;CU16,CT16,"")</f>
        <v>6</v>
      </c>
      <c r="CW16" s="49">
        <v>6</v>
      </c>
      <c r="CX16" s="49">
        <f ca="1">IFERROR(__xludf.DUMMYFUNCTION("""COMPUTED_VALUE"""),11)</f>
        <v>11</v>
      </c>
      <c r="CY16" s="286">
        <v>6</v>
      </c>
      <c r="CZ16" s="286" t="str">
        <v xml:space="preserve"> </v>
      </c>
      <c r="DA16" s="98">
        <f t="array" ref="DA16">IF(CY16&lt;CZ16,CY16,"")</f>
        <v>6</v>
      </c>
      <c r="DB16" s="49">
        <v>6</v>
      </c>
      <c r="DC16" s="49">
        <f ca="1">IFERROR(__xludf.DUMMYFUNCTION("""COMPUTED_VALUE"""),11)</f>
        <v>11</v>
      </c>
      <c r="DD16" s="49">
        <v>6</v>
      </c>
      <c r="DE16" s="49"/>
      <c r="DF16" s="49"/>
      <c r="DG16" s="49"/>
      <c r="DH16" s="49"/>
    </row>
    <row r="17" spans="1:112" ht="13.5" customHeight="1">
      <c r="A17" s="132"/>
      <c r="B17" s="269"/>
      <c r="C17" s="269"/>
      <c r="D17" s="269"/>
      <c r="E17" s="269"/>
      <c r="F17" s="274"/>
      <c r="G17" s="106"/>
      <c r="H17" s="267"/>
      <c r="I17" s="106"/>
      <c r="J17" s="267"/>
      <c r="K17" s="106"/>
      <c r="L17" s="267"/>
      <c r="M17" s="106"/>
      <c r="N17" s="267"/>
      <c r="O17" s="106"/>
      <c r="P17" s="267"/>
      <c r="Q17" s="106"/>
      <c r="R17" s="267"/>
      <c r="S17" s="106"/>
      <c r="T17" s="267"/>
      <c r="U17" s="107"/>
      <c r="V17" s="267"/>
      <c r="W17" s="107"/>
      <c r="X17" s="267"/>
      <c r="Y17" s="106"/>
      <c r="Z17" s="267"/>
      <c r="AA17" s="106"/>
      <c r="AB17" s="274"/>
      <c r="AC17" s="269"/>
      <c r="AD17" s="267"/>
      <c r="AE17" s="279"/>
      <c r="AF17" s="281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64"/>
      <c r="AY17" s="145" t="str">
        <f ca="1"/>
        <v/>
      </c>
      <c r="AZ17" s="97"/>
      <c r="BA17" s="146" t="str">
        <f ca="1"/>
        <v/>
      </c>
      <c r="BB17" s="142"/>
      <c r="BC17" s="145" t="str">
        <f ca="1"/>
        <v/>
      </c>
      <c r="BD17" s="144" t="str">
        <f ca="1"/>
        <v/>
      </c>
      <c r="BE17" s="145" t="str">
        <f ca="1"/>
        <v/>
      </c>
      <c r="BF17" s="144" t="str">
        <f ca="1"/>
        <v/>
      </c>
      <c r="BG17" s="145" t="str">
        <f ca="1"/>
        <v/>
      </c>
      <c r="BH17" s="145" t="str">
        <f ca="1"/>
        <v/>
      </c>
      <c r="BI17" s="147"/>
      <c r="BJ17" s="148"/>
      <c r="BK17" s="149"/>
      <c r="BL17" s="150"/>
      <c r="BM17" s="285" t="str">
        <v/>
      </c>
      <c r="BN17" s="264">
        <v>0</v>
      </c>
      <c r="BO17" s="109" t="str">
        <f>IF(BO16="","",BN16)</f>
        <v/>
      </c>
      <c r="BP17" s="109" t="str">
        <v/>
      </c>
      <c r="BQ17" s="125">
        <f ca="1">IFERROR(__xludf.DUMMYFUNCTION("""COMPUTED_VALUE"""),12)</f>
        <v>12</v>
      </c>
      <c r="BR17" s="264" t="str">
        <v/>
      </c>
      <c r="BS17" s="264">
        <v>0</v>
      </c>
      <c r="BT17" s="109">
        <f>IF(BT16="","",BS16)</f>
        <v>8</v>
      </c>
      <c r="BU17" s="109">
        <v>8</v>
      </c>
      <c r="BV17" s="124">
        <f ca="1">IFERROR(__xludf.DUMMYFUNCTION("""COMPUTED_VALUE"""),13)</f>
        <v>13</v>
      </c>
      <c r="BW17" s="285" t="str">
        <v/>
      </c>
      <c r="BX17" s="264">
        <v>0</v>
      </c>
      <c r="BY17" s="102" t="str">
        <f>IF(BY16="","",BX16)</f>
        <v xml:space="preserve"> </v>
      </c>
      <c r="BZ17" s="102" t="str">
        <f t="shared" si="2"/>
        <v xml:space="preserve"> </v>
      </c>
      <c r="CA17" s="63">
        <f ca="1">IFERROR(__xludf.DUMMYFUNCTION("""COMPUTED_VALUE"""),12)</f>
        <v>12</v>
      </c>
      <c r="CB17" s="63">
        <f t="shared" ca="1" si="3"/>
        <v>12</v>
      </c>
      <c r="CC17" s="63"/>
      <c r="CD17" s="112"/>
      <c r="CE17" s="264" t="str">
        <v/>
      </c>
      <c r="CF17" s="264">
        <v>0</v>
      </c>
      <c r="CG17" s="113" t="str">
        <f>IF(CG16="","",CF16)</f>
        <v xml:space="preserve"> </v>
      </c>
      <c r="CH17" s="128" t="str">
        <v xml:space="preserve"> </v>
      </c>
      <c r="CI17" s="115">
        <f ca="1">IFERROR(__xludf.DUMMYFUNCTION("""COMPUTED_VALUE"""),12)</f>
        <v>12</v>
      </c>
      <c r="CJ17" s="49" t="str">
        <v/>
      </c>
      <c r="CK17" s="153">
        <v>0</v>
      </c>
      <c r="CL17" s="113" t="str">
        <f>IF(CL16="","",CK16)</f>
        <v xml:space="preserve"> </v>
      </c>
      <c r="CM17" s="49" t="str">
        <v xml:space="preserve"> </v>
      </c>
      <c r="CN17" s="49">
        <f ca="1">IFERROR(__xludf.DUMMYFUNCTION("""COMPUTED_VALUE"""),12)</f>
        <v>12</v>
      </c>
      <c r="CO17" s="264" t="str">
        <v/>
      </c>
      <c r="CP17" s="264">
        <v>0</v>
      </c>
      <c r="CQ17" s="113" t="str">
        <f>IF(CQ16="","",CP16)</f>
        <v xml:space="preserve"> </v>
      </c>
      <c r="CR17" s="49" t="str">
        <v xml:space="preserve"> </v>
      </c>
      <c r="CS17" s="152">
        <f ca="1">IFERROR(__xludf.DUMMYFUNCTION("""COMPUTED_VALUE"""),12)</f>
        <v>12</v>
      </c>
      <c r="CT17" s="264" t="str">
        <v/>
      </c>
      <c r="CU17" s="264">
        <v>0</v>
      </c>
      <c r="CV17" s="113" t="str">
        <f>IF(CV16="","",CU16)</f>
        <v xml:space="preserve"> </v>
      </c>
      <c r="CW17" s="49" t="str">
        <v xml:space="preserve"> </v>
      </c>
      <c r="CX17" s="49">
        <f ca="1">IFERROR(__xludf.DUMMYFUNCTION("""COMPUTED_VALUE"""),12)</f>
        <v>12</v>
      </c>
      <c r="CY17" s="264" t="str">
        <v/>
      </c>
      <c r="CZ17" s="264">
        <v>0</v>
      </c>
      <c r="DA17" s="113" t="str">
        <f>IF(DA16="","",CZ16)</f>
        <v xml:space="preserve"> </v>
      </c>
      <c r="DB17" s="49" t="str">
        <v xml:space="preserve"> </v>
      </c>
      <c r="DC17" s="49">
        <f ca="1">IFERROR(__xludf.DUMMYFUNCTION("""COMPUTED_VALUE"""),12)</f>
        <v>12</v>
      </c>
      <c r="DD17" s="49" t="str">
        <v/>
      </c>
      <c r="DE17" s="49"/>
      <c r="DF17" s="49"/>
      <c r="DG17" s="49"/>
      <c r="DH17" s="49"/>
    </row>
    <row r="18" spans="1:112" ht="13.5" customHeight="1">
      <c r="A18" s="132"/>
      <c r="B18" s="268">
        <v>7</v>
      </c>
      <c r="C18" s="270" t="str">
        <f>(VLOOKUP($B18,Пр.взв!$D$6:$J$63,2,0))</f>
        <v>МЕЛАДЗЕ Дарья</v>
      </c>
      <c r="D18" s="271" t="str">
        <f>(VLOOKUP($B18,Пр.взв!$D$6:$J$63,5,0))</f>
        <v>КМС</v>
      </c>
      <c r="E18" s="272" t="str">
        <f>(VLOOKUP($B18,Пр.взв!$D$6:$M$63,8,0))</f>
        <v>Свердловская</v>
      </c>
      <c r="F18" s="273">
        <v>8</v>
      </c>
      <c r="G18" s="86"/>
      <c r="H18" s="266">
        <v>5</v>
      </c>
      <c r="I18" s="86"/>
      <c r="J18" s="266" t="str">
        <f>IF(H18="Х","Х",IF($AC18&lt;6," ","Х"))</f>
        <v xml:space="preserve"> </v>
      </c>
      <c r="K18" s="87"/>
      <c r="L18" s="266" t="str">
        <f>IF(J18="Х","Х",IF(K18&lt;3," ",IF($AC18&lt;6," ","Х")))</f>
        <v xml:space="preserve"> </v>
      </c>
      <c r="M18" s="87"/>
      <c r="N18" s="266" t="str">
        <f>IF(L18="Х","Х",IF(M18&lt;3," ",IF($AC18&lt;6," ","Х")))</f>
        <v xml:space="preserve"> </v>
      </c>
      <c r="O18" s="87"/>
      <c r="P18" s="266" t="str">
        <f>IF(N18="Х","Х",IF(O18&lt;3," ",IF($AC18&lt;6," ","Х")))</f>
        <v xml:space="preserve"> </v>
      </c>
      <c r="Q18" s="87"/>
      <c r="R18" s="266" t="str">
        <f>IF(P18="Х","Х",IF(Q18&lt;3," ",IF($AC18&lt;6," ","Х")))</f>
        <v xml:space="preserve"> </v>
      </c>
      <c r="S18" s="87"/>
      <c r="T18" s="266" t="str">
        <f>IF(R18="Х","Х",IF(S18&lt;3," ",IF($AC18&lt;6," ","Х")))</f>
        <v xml:space="preserve"> </v>
      </c>
      <c r="U18" s="88"/>
      <c r="V18" s="266" t="str">
        <f>IF(T18="Х","Х",IF(U18&lt;3," ",IF($AC18&lt;6," ","Х")))</f>
        <v xml:space="preserve"> </v>
      </c>
      <c r="W18" s="88"/>
      <c r="X18" s="266" t="str">
        <f>IF(V18="А1",$AZ$7,IF(V18="Б2",$AZ$6,IF(V18="Б1",$BA$7,IF(V18="А2",$BA$6,IF(V18="Х","Х",IF(V18&lt;6," "," "))))))</f>
        <v xml:space="preserve"> </v>
      </c>
      <c r="Y18" s="89"/>
      <c r="Z18" s="266" t="str">
        <f>IF(V18="Х","Х",IF(ISBLANK(Y18),"",IF(Y18&gt;2.5," ",IF(B18=BB$6,BB$7,BB$6))))</f>
        <v/>
      </c>
      <c r="AA18" s="89"/>
      <c r="AB18" s="275" t="str">
        <f>IF(H18="Х",F$5,IF(J18="Х",H$5,IF(L18="Х",J$5,IF(N18="Х",L$5,IF(P18="Х",N$5,IF(R18="Х",P$5,IF(T18="Х",R$5,IF(X18="Х",T$5,""))))))))</f>
        <v/>
      </c>
      <c r="AC18" s="276">
        <f>SUM(G18+I18+K18+M18+O18+Q18+S18+U18+Y18+AA18)</f>
        <v>0</v>
      </c>
      <c r="AD18" s="277" t="str">
        <f>AF18</f>
        <v>1-22</v>
      </c>
      <c r="AE18" s="278" t="str">
        <f>AD18</f>
        <v>1-22</v>
      </c>
      <c r="AF18" s="280" t="str">
        <f>COUNTIF(AG$6:AG$148,"&gt;"&amp;AG$6:AG$148)+1&amp;REPT("-"&amp;COUNTIF(AG$6:AG$148,"&gt;="&amp;AG$6:AG$148),COUNTIF(AG$6:AG$148,AG18)&gt;1)</f>
        <v>1-22</v>
      </c>
      <c r="AG18" s="282">
        <f>(AR18*100)+(AP18*10)-AC18</f>
        <v>1280</v>
      </c>
      <c r="AH18" s="288" t="str">
        <f>IF(OR(F18="Х",F18="св")," ",IF(AND(G18&gt;=0,G18&lt;3),"1"," "))</f>
        <v>1</v>
      </c>
      <c r="AI18" s="289" t="str">
        <f>IF(OR(H18="Х",H18="св")," ",IF(AND(I18&gt;=0,I18&lt;3),"1"," "))</f>
        <v>1</v>
      </c>
      <c r="AJ18" s="289" t="str">
        <f>IF(OR(J18="Х",J18="св")," ",IF(AND(K18&gt;=0,K18&lt;3),"1"," "))</f>
        <v>1</v>
      </c>
      <c r="AK18" s="289" t="str">
        <f>IF(OR(L18="Х",L18="св")," ",IF(AND(M18&gt;=0,M18&lt;3),"1"," "))</f>
        <v>1</v>
      </c>
      <c r="AL18" s="289" t="str">
        <f>IF(OR(N18="Х",N18="св")," ",IF(AND(O18&gt;=0,O18&lt;3),"1"," "))</f>
        <v>1</v>
      </c>
      <c r="AM18" s="289" t="str">
        <f>IF(OR(P18="Х",P18="св")," ",IF(AND(Q18&gt;=0,Q18&lt;3),"1"," "))</f>
        <v>1</v>
      </c>
      <c r="AN18" s="289" t="str">
        <f>IF(OR(R18="Х",R18="св")," ",IF(AND(S18&gt;=0,S18&lt;3),"1"," "))</f>
        <v>1</v>
      </c>
      <c r="AO18" s="289" t="str">
        <f>IF(OR(T18="Х",T18="св")," ",IF(AND(U18&gt;=0,U18&lt;3),"1"," "))</f>
        <v>1</v>
      </c>
      <c r="AP18" s="289">
        <f>COUNTIF(AH18:AO19,1)</f>
        <v>8</v>
      </c>
      <c r="AQ18" s="289">
        <f>AG18-AC18</f>
        <v>1280</v>
      </c>
      <c r="AR18" s="292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289" t="str">
        <f>COUNTIF(AG$6:AG$134,"&gt;"&amp;AG$6:AG$134)+1&amp;REPT("-"&amp;COUNTIF(AG$6:AG$134,"&gt;="&amp;AG$6:AG$134),COUNTIF(AG$6:AG$134,AG18)&gt;1)</f>
        <v>1-22</v>
      </c>
      <c r="AT18" s="288" t="str">
        <f t="shared" ref="AT18:AW18" si="9">COUNTIF(AU$6:AU$134,"&gt;"&amp;AU$6:AU$134)+1&amp;REPT("-"&amp;COUNTIF(AU$6:AU$134,"&gt;="&amp;AU$6:AU$134),COUNTIF(AU$6:AU$134,AU18)&gt;1)</f>
        <v>1-64</v>
      </c>
      <c r="AU18" s="288" t="str">
        <f t="shared" si="9"/>
        <v>1-0</v>
      </c>
      <c r="AV18" s="288" t="str">
        <f t="shared" si="9"/>
        <v>1</v>
      </c>
      <c r="AW18" s="288" t="str">
        <f t="shared" si="9"/>
        <v>58</v>
      </c>
      <c r="AX18" s="293">
        <f>IF(X18="Х","Х",IF(Y18&lt;3,B18,"Х"))</f>
        <v>7</v>
      </c>
      <c r="AY18" s="141" t="str">
        <f ca="1"/>
        <v/>
      </c>
      <c r="AZ18" s="97"/>
      <c r="BA18" s="141" t="str">
        <f ca="1"/>
        <v/>
      </c>
      <c r="BB18" s="142"/>
      <c r="BC18" s="141" t="str">
        <f ca="1"/>
        <v/>
      </c>
      <c r="BD18" s="144" t="str">
        <f ca="1"/>
        <v/>
      </c>
      <c r="BE18" s="141" t="str">
        <f ca="1"/>
        <v/>
      </c>
      <c r="BF18" s="144" t="str">
        <f ca="1"/>
        <v/>
      </c>
      <c r="BG18" s="141" t="str">
        <f ca="1"/>
        <v/>
      </c>
      <c r="BH18" s="141" t="str">
        <f ca="1"/>
        <v/>
      </c>
      <c r="BI18" s="147"/>
      <c r="BJ18" s="148"/>
      <c r="BK18" s="149"/>
      <c r="BL18" s="150"/>
      <c r="BM18" s="294">
        <v>7</v>
      </c>
      <c r="BN18" s="287">
        <v>8</v>
      </c>
      <c r="BO18" s="98">
        <f>IF(BM18&lt;BN18,BM18,"")</f>
        <v>7</v>
      </c>
      <c r="BP18" s="124">
        <v>7</v>
      </c>
      <c r="BQ18" s="125">
        <f ca="1">IFERROR(__xludf.DUMMYFUNCTION("""COMPUTED_VALUE"""),13)</f>
        <v>13</v>
      </c>
      <c r="BR18" s="295">
        <v>7</v>
      </c>
      <c r="BS18" s="287">
        <v>5</v>
      </c>
      <c r="BT18" s="109" t="str">
        <f>IF(BR18&lt;BS18,BR18,"")</f>
        <v/>
      </c>
      <c r="BU18" s="124" t="str">
        <v/>
      </c>
      <c r="BV18" s="124">
        <f ca="1">IFERROR(__xludf.DUMMYFUNCTION("""COMPUTED_VALUE"""),12)</f>
        <v>12</v>
      </c>
      <c r="BW18" s="284">
        <v>7</v>
      </c>
      <c r="BX18" s="286" t="str">
        <v xml:space="preserve"> </v>
      </c>
      <c r="BY18" s="102">
        <f t="array" ref="BY18">IF(BW18&lt;BX18,BW18,"")</f>
        <v>7</v>
      </c>
      <c r="BZ18" s="102">
        <f t="shared" si="2"/>
        <v>7</v>
      </c>
      <c r="CA18" s="63">
        <f ca="1">IFERROR(__xludf.DUMMYFUNCTION("""COMPUTED_VALUE"""),13)</f>
        <v>13</v>
      </c>
      <c r="CB18" s="63">
        <f t="shared" ca="1" si="3"/>
        <v>13</v>
      </c>
      <c r="CC18" s="63"/>
      <c r="CD18" s="112"/>
      <c r="CE18" s="286">
        <v>7</v>
      </c>
      <c r="CF18" s="296" t="str">
        <v xml:space="preserve"> </v>
      </c>
      <c r="CG18" s="98">
        <f t="array" ref="CG18">IF(CE18&lt;CF18,CE18,"")</f>
        <v>7</v>
      </c>
      <c r="CH18" s="63">
        <v>7</v>
      </c>
      <c r="CI18" s="115">
        <f ca="1">IFERROR(__xludf.DUMMYFUNCTION("""COMPUTED_VALUE"""),13)</f>
        <v>13</v>
      </c>
      <c r="CJ18" s="65">
        <v>7</v>
      </c>
      <c r="CK18" s="151" t="str">
        <v xml:space="preserve"> </v>
      </c>
      <c r="CL18" s="98">
        <f t="array" ref="CL18">IF(CJ18&lt;CK18,CJ18,"")</f>
        <v>7</v>
      </c>
      <c r="CM18" s="49">
        <v>7</v>
      </c>
      <c r="CN18" s="49">
        <f ca="1">IFERROR(__xludf.DUMMYFUNCTION("""COMPUTED_VALUE"""),13)</f>
        <v>13</v>
      </c>
      <c r="CO18" s="286">
        <v>7</v>
      </c>
      <c r="CP18" s="286" t="str">
        <v xml:space="preserve"> </v>
      </c>
      <c r="CQ18" s="98">
        <f t="array" ref="CQ18">IF(CO18&lt;CP18,CO18,"")</f>
        <v>7</v>
      </c>
      <c r="CR18" s="65">
        <v>7</v>
      </c>
      <c r="CS18" s="152">
        <f ca="1">IFERROR(__xludf.DUMMYFUNCTION("""COMPUTED_VALUE"""),13)</f>
        <v>13</v>
      </c>
      <c r="CT18" s="286">
        <v>7</v>
      </c>
      <c r="CU18" s="286" t="str">
        <v xml:space="preserve"> </v>
      </c>
      <c r="CV18" s="98">
        <f t="array" ref="CV18">IF(CT18&lt;CU18,CT18,"")</f>
        <v>7</v>
      </c>
      <c r="CW18" s="49">
        <v>7</v>
      </c>
      <c r="CX18" s="49">
        <f ca="1">IFERROR(__xludf.DUMMYFUNCTION("""COMPUTED_VALUE"""),13)</f>
        <v>13</v>
      </c>
      <c r="CY18" s="286">
        <v>7</v>
      </c>
      <c r="CZ18" s="286" t="str">
        <v xml:space="preserve"> </v>
      </c>
      <c r="DA18" s="98">
        <f t="array" ref="DA18">IF(CY18&lt;CZ18,CY18,"")</f>
        <v>7</v>
      </c>
      <c r="DB18" s="49">
        <v>7</v>
      </c>
      <c r="DC18" s="49">
        <f ca="1">IFERROR(__xludf.DUMMYFUNCTION("""COMPUTED_VALUE"""),13)</f>
        <v>13</v>
      </c>
      <c r="DD18" s="49">
        <v>7</v>
      </c>
      <c r="DE18" s="49"/>
      <c r="DF18" s="49"/>
      <c r="DG18" s="49"/>
      <c r="DH18" s="49"/>
    </row>
    <row r="19" spans="1:112" ht="13.5" customHeight="1">
      <c r="A19" s="132"/>
      <c r="B19" s="269"/>
      <c r="C19" s="269"/>
      <c r="D19" s="269"/>
      <c r="E19" s="269"/>
      <c r="F19" s="274"/>
      <c r="G19" s="106"/>
      <c r="H19" s="267"/>
      <c r="I19" s="106"/>
      <c r="J19" s="267"/>
      <c r="K19" s="106"/>
      <c r="L19" s="267"/>
      <c r="M19" s="106"/>
      <c r="N19" s="267"/>
      <c r="O19" s="106"/>
      <c r="P19" s="267"/>
      <c r="Q19" s="106"/>
      <c r="R19" s="267"/>
      <c r="S19" s="106"/>
      <c r="T19" s="267"/>
      <c r="U19" s="107"/>
      <c r="V19" s="267"/>
      <c r="W19" s="107"/>
      <c r="X19" s="267"/>
      <c r="Y19" s="106"/>
      <c r="Z19" s="267"/>
      <c r="AA19" s="106"/>
      <c r="AB19" s="274"/>
      <c r="AC19" s="269"/>
      <c r="AD19" s="267"/>
      <c r="AE19" s="279"/>
      <c r="AF19" s="281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64"/>
      <c r="AY19" s="145" t="str">
        <f ca="1"/>
        <v/>
      </c>
      <c r="AZ19" s="97"/>
      <c r="BA19" s="146" t="str">
        <f ca="1"/>
        <v/>
      </c>
      <c r="BB19" s="142"/>
      <c r="BC19" s="145" t="str">
        <f ca="1"/>
        <v/>
      </c>
      <c r="BD19" s="144" t="str">
        <f ca="1"/>
        <v/>
      </c>
      <c r="BE19" s="145" t="str">
        <f ca="1"/>
        <v/>
      </c>
      <c r="BF19" s="144" t="str">
        <f ca="1"/>
        <v/>
      </c>
      <c r="BG19" s="145" t="str">
        <f ca="1"/>
        <v/>
      </c>
      <c r="BH19" s="145" t="str">
        <f ca="1"/>
        <v/>
      </c>
      <c r="BI19" s="147"/>
      <c r="BJ19" s="148"/>
      <c r="BK19" s="149"/>
      <c r="BL19" s="150"/>
      <c r="BM19" s="285" t="str">
        <v/>
      </c>
      <c r="BN19" s="264">
        <v>0</v>
      </c>
      <c r="BO19" s="109">
        <f>IF(BO18="","",BN18)</f>
        <v>8</v>
      </c>
      <c r="BP19" s="109">
        <v>8</v>
      </c>
      <c r="BQ19" s="125">
        <f ca="1">IFERROR(__xludf.DUMMYFUNCTION("""COMPUTED_VALUE"""),0)</f>
        <v>0</v>
      </c>
      <c r="BR19" s="264" t="str">
        <v/>
      </c>
      <c r="BS19" s="264">
        <v>0</v>
      </c>
      <c r="BT19" s="109" t="str">
        <f>IF(BT18="","",BS18)</f>
        <v/>
      </c>
      <c r="BU19" s="109" t="str">
        <v/>
      </c>
      <c r="BV19" s="124">
        <f ca="1">IFERROR(__xludf.DUMMYFUNCTION("""COMPUTED_VALUE"""),0)</f>
        <v>0</v>
      </c>
      <c r="BW19" s="285" t="str">
        <v/>
      </c>
      <c r="BX19" s="264">
        <v>0</v>
      </c>
      <c r="BY19" s="102" t="str">
        <f>IF(BY18="","",BX18)</f>
        <v xml:space="preserve"> </v>
      </c>
      <c r="BZ19" s="102" t="str">
        <f t="shared" si="2"/>
        <v xml:space="preserve"> </v>
      </c>
      <c r="CA19" s="63">
        <f ca="1">IFERROR(__xludf.DUMMYFUNCTION("""COMPUTED_VALUE"""),14)</f>
        <v>14</v>
      </c>
      <c r="CB19" s="63">
        <f t="shared" ca="1" si="3"/>
        <v>14</v>
      </c>
      <c r="CC19" s="63"/>
      <c r="CD19" s="112"/>
      <c r="CE19" s="264" t="str">
        <v/>
      </c>
      <c r="CF19" s="264">
        <v>0</v>
      </c>
      <c r="CG19" s="113" t="str">
        <f>IF(CG18="","",CF18)</f>
        <v xml:space="preserve"> </v>
      </c>
      <c r="CH19" s="128" t="str">
        <v xml:space="preserve"> </v>
      </c>
      <c r="CI19" s="115">
        <f ca="1">IFERROR(__xludf.DUMMYFUNCTION("""COMPUTED_VALUE"""),14)</f>
        <v>14</v>
      </c>
      <c r="CJ19" s="49" t="str">
        <v/>
      </c>
      <c r="CK19" s="153">
        <v>0</v>
      </c>
      <c r="CL19" s="113" t="str">
        <f>IF(CL18="","",CK18)</f>
        <v xml:space="preserve"> </v>
      </c>
      <c r="CM19" s="49" t="str">
        <v xml:space="preserve"> </v>
      </c>
      <c r="CN19" s="49">
        <f ca="1">IFERROR(__xludf.DUMMYFUNCTION("""COMPUTED_VALUE"""),14)</f>
        <v>14</v>
      </c>
      <c r="CO19" s="264" t="str">
        <v/>
      </c>
      <c r="CP19" s="264">
        <v>0</v>
      </c>
      <c r="CQ19" s="113" t="str">
        <f>IF(CQ18="","",CP18)</f>
        <v xml:space="preserve"> </v>
      </c>
      <c r="CR19" s="49" t="str">
        <v xml:space="preserve"> </v>
      </c>
      <c r="CS19" s="152">
        <f ca="1">IFERROR(__xludf.DUMMYFUNCTION("""COMPUTED_VALUE"""),14)</f>
        <v>14</v>
      </c>
      <c r="CT19" s="264" t="str">
        <v/>
      </c>
      <c r="CU19" s="264">
        <v>0</v>
      </c>
      <c r="CV19" s="113" t="str">
        <f>IF(CV18="","",CU18)</f>
        <v xml:space="preserve"> </v>
      </c>
      <c r="CW19" s="49" t="str">
        <v xml:space="preserve"> </v>
      </c>
      <c r="CX19" s="49">
        <f ca="1">IFERROR(__xludf.DUMMYFUNCTION("""COMPUTED_VALUE"""),14)</f>
        <v>14</v>
      </c>
      <c r="CY19" s="264" t="str">
        <v/>
      </c>
      <c r="CZ19" s="264">
        <v>0</v>
      </c>
      <c r="DA19" s="113" t="str">
        <f>IF(DA18="","",CZ18)</f>
        <v xml:space="preserve"> </v>
      </c>
      <c r="DB19" s="49" t="str">
        <v xml:space="preserve"> </v>
      </c>
      <c r="DC19" s="49">
        <f ca="1">IFERROR(__xludf.DUMMYFUNCTION("""COMPUTED_VALUE"""),14)</f>
        <v>14</v>
      </c>
      <c r="DD19" s="49" t="str">
        <v/>
      </c>
      <c r="DE19" s="49"/>
      <c r="DF19" s="49"/>
      <c r="DG19" s="49"/>
      <c r="DH19" s="49"/>
    </row>
    <row r="20" spans="1:112" ht="13.5" customHeight="1">
      <c r="A20" s="132"/>
      <c r="B20" s="268">
        <v>8</v>
      </c>
      <c r="C20" s="270" t="str">
        <f>(VLOOKUP($B20,Пр.взв!$D$6:$J$63,2,0))</f>
        <v>ЗЕНЧЕНКО Алина</v>
      </c>
      <c r="D20" s="271" t="str">
        <f>(VLOOKUP($B20,Пр.взв!$D$6:$J$63,5,0))</f>
        <v>КМС</v>
      </c>
      <c r="E20" s="272" t="str">
        <f>(VLOOKUP($B20,Пр.взв!$D$6:$M$63,8,0))</f>
        <v>Москва</v>
      </c>
      <c r="F20" s="273">
        <v>7</v>
      </c>
      <c r="G20" s="86"/>
      <c r="H20" s="266">
        <v>6</v>
      </c>
      <c r="I20" s="86"/>
      <c r="J20" s="266" t="str">
        <f>IF(H20="Х","Х",IF($AC20&lt;6," ","Х"))</f>
        <v xml:space="preserve"> </v>
      </c>
      <c r="K20" s="87"/>
      <c r="L20" s="266" t="str">
        <f>IF(J20="Х","Х",IF(K20&lt;3," ",IF($AC20&lt;6," ","Х")))</f>
        <v xml:space="preserve"> </v>
      </c>
      <c r="M20" s="87"/>
      <c r="N20" s="266" t="str">
        <f>IF(L20="Х","Х",IF(M20&lt;3," ",IF($AC20&lt;6," ","Х")))</f>
        <v xml:space="preserve"> </v>
      </c>
      <c r="O20" s="87"/>
      <c r="P20" s="266" t="str">
        <f>IF(N20="Х","Х",IF(O20&lt;3," ",IF($AC20&lt;6," ","Х")))</f>
        <v xml:space="preserve"> </v>
      </c>
      <c r="Q20" s="87"/>
      <c r="R20" s="266" t="str">
        <f>IF(P20="Х","Х",IF(Q20&lt;3," ",IF($AC20&lt;6," ","Х")))</f>
        <v xml:space="preserve"> </v>
      </c>
      <c r="S20" s="87"/>
      <c r="T20" s="266" t="str">
        <f>IF(R20="Х","Х",IF(S20&lt;3," ",IF($AC20&lt;6," ","Х")))</f>
        <v xml:space="preserve"> </v>
      </c>
      <c r="U20" s="88"/>
      <c r="V20" s="266" t="str">
        <f>IF(T20="Х","Х",IF(U20&lt;3," ",IF($AC20&lt;6," ","Х")))</f>
        <v xml:space="preserve"> </v>
      </c>
      <c r="W20" s="88"/>
      <c r="X20" s="266" t="str">
        <f>IF(V20="А1",$AZ$7,IF(V20="Б2",$AZ$6,IF(V20="Б1",$BA$7,IF(V20="А2",$BA$6,IF(V20="Х","Х",IF(V20&lt;6," "," "))))))</f>
        <v xml:space="preserve"> </v>
      </c>
      <c r="Y20" s="89"/>
      <c r="Z20" s="266" t="str">
        <f>IF(V20="Х","Х",IF(ISBLANK(Y20),"",IF(Y20&gt;2.5," ",IF(B20=BB$6,BB$7,BB$6))))</f>
        <v/>
      </c>
      <c r="AA20" s="89"/>
      <c r="AB20" s="275" t="str">
        <f>IF(H20="Х",F$5,IF(J20="Х",H$5,IF(L20="Х",J$5,IF(N20="Х",L$5,IF(P20="Х",N$5,IF(R20="Х",P$5,IF(T20="Х",R$5,IF(X20="Х",T$5,""))))))))</f>
        <v/>
      </c>
      <c r="AC20" s="276">
        <f>SUM(G20+I20+K20+M20+O20+Q20+S20+U20+Y20+AA20)</f>
        <v>0</v>
      </c>
      <c r="AD20" s="277" t="str">
        <f>AF20</f>
        <v>1-22</v>
      </c>
      <c r="AE20" s="278" t="str">
        <f>AD20</f>
        <v>1-22</v>
      </c>
      <c r="AF20" s="280" t="str">
        <f>COUNTIF(AG$6:AG$148,"&gt;"&amp;AG$6:AG$148)+1&amp;REPT("-"&amp;COUNTIF(AG$6:AG$148,"&gt;="&amp;AG$6:AG$148),COUNTIF(AG$6:AG$148,AG20)&gt;1)</f>
        <v>1-22</v>
      </c>
      <c r="AG20" s="282">
        <f>(AR20*100)+(AP20*10)-AC20</f>
        <v>1280</v>
      </c>
      <c r="AH20" s="288" t="str">
        <f>IF(OR(F20="Х",F20="св")," ",IF(AND(G20&gt;=0,G20&lt;3),"1"," "))</f>
        <v>1</v>
      </c>
      <c r="AI20" s="289" t="str">
        <f>IF(OR(H20="Х",H20="св")," ",IF(AND(I20&gt;=0,I20&lt;3),"1"," "))</f>
        <v>1</v>
      </c>
      <c r="AJ20" s="289" t="str">
        <f>IF(OR(J20="Х",J20="св")," ",IF(AND(K20&gt;=0,K20&lt;3),"1"," "))</f>
        <v>1</v>
      </c>
      <c r="AK20" s="289" t="str">
        <f>IF(OR(L20="Х",L20="св")," ",IF(AND(M20&gt;=0,M20&lt;3),"1"," "))</f>
        <v>1</v>
      </c>
      <c r="AL20" s="289" t="str">
        <f>IF(OR(N20="Х",N20="св")," ",IF(AND(O20&gt;=0,O20&lt;3),"1"," "))</f>
        <v>1</v>
      </c>
      <c r="AM20" s="289" t="str">
        <f>IF(OR(P20="Х",P20="св")," ",IF(AND(Q20&gt;=0,Q20&lt;3),"1"," "))</f>
        <v>1</v>
      </c>
      <c r="AN20" s="289" t="str">
        <f>IF(OR(R20="Х",R20="св")," ",IF(AND(S20&gt;=0,S20&lt;3),"1"," "))</f>
        <v>1</v>
      </c>
      <c r="AO20" s="289" t="str">
        <f>IF(OR(T20="Х",T20="св")," ",IF(AND(U20&gt;=0,U20&lt;3),"1"," "))</f>
        <v>1</v>
      </c>
      <c r="AP20" s="289">
        <f>COUNTIF(AH20:AO21,1)</f>
        <v>8</v>
      </c>
      <c r="AQ20" s="289">
        <f>AG20-AC20</f>
        <v>1280</v>
      </c>
      <c r="AR20" s="292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289" t="str">
        <f>COUNTIF(AG$6:AG$134,"&gt;"&amp;AG$6:AG$134)+1&amp;REPT("-"&amp;COUNTIF(AG$6:AG$134,"&gt;="&amp;AG$6:AG$134),COUNTIF(AG$6:AG$134,AG20)&gt;1)</f>
        <v>1-22</v>
      </c>
      <c r="AT20" s="288" t="str">
        <f t="shared" ref="AT20:AW20" si="10">COUNTIF(AU$6:AU$134,"&gt;"&amp;AU$6:AU$134)+1&amp;REPT("-"&amp;COUNTIF(AU$6:AU$134,"&gt;="&amp;AU$6:AU$134),COUNTIF(AU$6:AU$134,AU20)&gt;1)</f>
        <v>1-64</v>
      </c>
      <c r="AU20" s="288" t="str">
        <f t="shared" si="10"/>
        <v>1-0</v>
      </c>
      <c r="AV20" s="288" t="str">
        <f t="shared" si="10"/>
        <v>1</v>
      </c>
      <c r="AW20" s="288" t="str">
        <f t="shared" si="10"/>
        <v>57</v>
      </c>
      <c r="AX20" s="293">
        <f>IF(X20="Х","Х",IF(Y20&lt;3,B20,"Х"))</f>
        <v>8</v>
      </c>
      <c r="AY20" s="141" t="str">
        <f ca="1"/>
        <v/>
      </c>
      <c r="AZ20" s="97"/>
      <c r="BA20" s="141" t="str">
        <f ca="1"/>
        <v/>
      </c>
      <c r="BB20" s="142"/>
      <c r="BC20" s="141" t="str">
        <f ca="1"/>
        <v/>
      </c>
      <c r="BD20" s="144" t="str">
        <f ca="1"/>
        <v/>
      </c>
      <c r="BE20" s="141" t="str">
        <f ca="1"/>
        <v/>
      </c>
      <c r="BF20" s="143" t="str">
        <f ca="1"/>
        <v/>
      </c>
      <c r="BG20" s="141" t="str">
        <f ca="1"/>
        <v/>
      </c>
      <c r="BH20" s="141" t="str">
        <f ca="1"/>
        <v/>
      </c>
      <c r="BI20" s="147"/>
      <c r="BJ20" s="148"/>
      <c r="BK20" s="154"/>
      <c r="BL20" s="155"/>
      <c r="BM20" s="294">
        <v>8</v>
      </c>
      <c r="BN20" s="287">
        <v>7</v>
      </c>
      <c r="BO20" s="98" t="str">
        <f>IF(BM20&lt;BN20,BM20,"")</f>
        <v/>
      </c>
      <c r="BP20" s="124" t="str">
        <v/>
      </c>
      <c r="BQ20" s="125">
        <f ca="1">IFERROR(__xludf.DUMMYFUNCTION("""COMPUTED_VALUE"""),14)</f>
        <v>14</v>
      </c>
      <c r="BR20" s="295">
        <v>8</v>
      </c>
      <c r="BS20" s="287">
        <v>6</v>
      </c>
      <c r="BT20" s="109" t="str">
        <f>IF(BR20&lt;BS20,BR20,"")</f>
        <v/>
      </c>
      <c r="BU20" s="124" t="str">
        <v/>
      </c>
      <c r="BV20" s="124">
        <f ca="1">IFERROR(__xludf.DUMMYFUNCTION("""COMPUTED_VALUE"""),14)</f>
        <v>14</v>
      </c>
      <c r="BW20" s="284">
        <v>8</v>
      </c>
      <c r="BX20" s="286" t="str">
        <v xml:space="preserve"> </v>
      </c>
      <c r="BY20" s="102">
        <f t="array" ref="BY20">IF(BW20&lt;BX20,BW20,"")</f>
        <v>8</v>
      </c>
      <c r="BZ20" s="102">
        <f t="shared" si="2"/>
        <v>8</v>
      </c>
      <c r="CA20" s="63">
        <f ca="1">IFERROR(__xludf.DUMMYFUNCTION("""COMPUTED_VALUE"""),15)</f>
        <v>15</v>
      </c>
      <c r="CB20" s="63">
        <f t="shared" ca="1" si="3"/>
        <v>15</v>
      </c>
      <c r="CC20" s="63"/>
      <c r="CD20" s="112"/>
      <c r="CE20" s="286">
        <v>8</v>
      </c>
      <c r="CF20" s="296" t="str">
        <v xml:space="preserve"> </v>
      </c>
      <c r="CG20" s="98">
        <f t="array" ref="CG20">IF(CE20&lt;CF20,CE20,"")</f>
        <v>8</v>
      </c>
      <c r="CH20" s="63">
        <v>8</v>
      </c>
      <c r="CI20" s="115">
        <f ca="1">IFERROR(__xludf.DUMMYFUNCTION("""COMPUTED_VALUE"""),15)</f>
        <v>15</v>
      </c>
      <c r="CJ20" s="65">
        <v>8</v>
      </c>
      <c r="CK20" s="151" t="str">
        <v xml:space="preserve"> </v>
      </c>
      <c r="CL20" s="98">
        <f t="array" ref="CL20">IF(CJ20&lt;CK20,CJ20,"")</f>
        <v>8</v>
      </c>
      <c r="CM20" s="49">
        <v>8</v>
      </c>
      <c r="CN20" s="49">
        <f ca="1">IFERROR(__xludf.DUMMYFUNCTION("""COMPUTED_VALUE"""),15)</f>
        <v>15</v>
      </c>
      <c r="CO20" s="286">
        <v>8</v>
      </c>
      <c r="CP20" s="286" t="str">
        <v xml:space="preserve"> </v>
      </c>
      <c r="CQ20" s="98">
        <f t="array" ref="CQ20">IF(CO20&lt;CP20,CO20,"")</f>
        <v>8</v>
      </c>
      <c r="CR20" s="65">
        <v>8</v>
      </c>
      <c r="CS20" s="152">
        <f ca="1">IFERROR(__xludf.DUMMYFUNCTION("""COMPUTED_VALUE"""),15)</f>
        <v>15</v>
      </c>
      <c r="CT20" s="286">
        <v>8</v>
      </c>
      <c r="CU20" s="286" t="str">
        <v xml:space="preserve"> </v>
      </c>
      <c r="CV20" s="98">
        <f t="array" ref="CV20">IF(CT20&lt;CU20,CT20,"")</f>
        <v>8</v>
      </c>
      <c r="CW20" s="49">
        <v>8</v>
      </c>
      <c r="CX20" s="49">
        <f ca="1">IFERROR(__xludf.DUMMYFUNCTION("""COMPUTED_VALUE"""),15)</f>
        <v>15</v>
      </c>
      <c r="CY20" s="286">
        <v>8</v>
      </c>
      <c r="CZ20" s="286" t="str">
        <v xml:space="preserve"> </v>
      </c>
      <c r="DA20" s="98">
        <f t="array" ref="DA20">IF(CY20&lt;CZ20,CY20,"")</f>
        <v>8</v>
      </c>
      <c r="DB20" s="49">
        <v>8</v>
      </c>
      <c r="DC20" s="49">
        <f ca="1">IFERROR(__xludf.DUMMYFUNCTION("""COMPUTED_VALUE"""),15)</f>
        <v>15</v>
      </c>
      <c r="DD20" s="49">
        <v>8</v>
      </c>
      <c r="DE20" s="49"/>
      <c r="DF20" s="49"/>
      <c r="DG20" s="49"/>
      <c r="DH20" s="49"/>
    </row>
    <row r="21" spans="1:112" ht="13.5" customHeight="1">
      <c r="A21" s="132"/>
      <c r="B21" s="269"/>
      <c r="C21" s="269"/>
      <c r="D21" s="269"/>
      <c r="E21" s="269"/>
      <c r="F21" s="274"/>
      <c r="G21" s="106"/>
      <c r="H21" s="267"/>
      <c r="I21" s="106"/>
      <c r="J21" s="267"/>
      <c r="K21" s="106"/>
      <c r="L21" s="267"/>
      <c r="M21" s="106"/>
      <c r="N21" s="267"/>
      <c r="O21" s="106"/>
      <c r="P21" s="267"/>
      <c r="Q21" s="106"/>
      <c r="R21" s="267"/>
      <c r="S21" s="106"/>
      <c r="T21" s="267"/>
      <c r="U21" s="107"/>
      <c r="V21" s="267"/>
      <c r="W21" s="107"/>
      <c r="X21" s="267"/>
      <c r="Y21" s="106"/>
      <c r="Z21" s="267"/>
      <c r="AA21" s="106"/>
      <c r="AB21" s="274"/>
      <c r="AC21" s="269"/>
      <c r="AD21" s="267"/>
      <c r="AE21" s="279"/>
      <c r="AF21" s="281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64"/>
      <c r="AY21" s="145" t="str">
        <f ca="1"/>
        <v/>
      </c>
      <c r="AZ21" s="97"/>
      <c r="BA21" s="146" t="str">
        <f ca="1"/>
        <v/>
      </c>
      <c r="BB21" s="156"/>
      <c r="BC21" s="145" t="str">
        <f ca="1"/>
        <v/>
      </c>
      <c r="BD21" s="144" t="str">
        <f ca="1"/>
        <v/>
      </c>
      <c r="BE21" s="145" t="str">
        <f ca="1"/>
        <v/>
      </c>
      <c r="BF21" s="143" t="str">
        <f ca="1"/>
        <v/>
      </c>
      <c r="BG21" s="145" t="str">
        <f ca="1"/>
        <v/>
      </c>
      <c r="BH21" s="145" t="str">
        <f ca="1"/>
        <v/>
      </c>
      <c r="BI21" s="147"/>
      <c r="BJ21" s="148"/>
      <c r="BK21" s="154"/>
      <c r="BL21" s="155"/>
      <c r="BM21" s="285" t="str">
        <v/>
      </c>
      <c r="BN21" s="264">
        <v>0</v>
      </c>
      <c r="BO21" s="109" t="str">
        <f>IF(BO20="","",BN20)</f>
        <v/>
      </c>
      <c r="BP21" s="109" t="str">
        <v/>
      </c>
      <c r="BQ21" s="125">
        <f ca="1">IFERROR(__xludf.DUMMYFUNCTION("""COMPUTED_VALUE"""),15)</f>
        <v>15</v>
      </c>
      <c r="BR21" s="264" t="str">
        <v/>
      </c>
      <c r="BS21" s="264">
        <v>0</v>
      </c>
      <c r="BT21" s="109" t="str">
        <f>IF(BT20="","",BS20)</f>
        <v/>
      </c>
      <c r="BU21" s="109" t="str">
        <v/>
      </c>
      <c r="BV21" s="124">
        <f ca="1">IFERROR(__xludf.DUMMYFUNCTION("""COMPUTED_VALUE"""),16)</f>
        <v>16</v>
      </c>
      <c r="BW21" s="285" t="str">
        <v/>
      </c>
      <c r="BX21" s="264">
        <v>0</v>
      </c>
      <c r="BY21" s="102" t="str">
        <f>IF(BY20="","",BX20)</f>
        <v xml:space="preserve"> </v>
      </c>
      <c r="BZ21" s="102" t="str">
        <f t="shared" si="2"/>
        <v xml:space="preserve"> </v>
      </c>
      <c r="CA21" s="63">
        <f ca="1">IFERROR(__xludf.DUMMYFUNCTION("""COMPUTED_VALUE"""),16)</f>
        <v>16</v>
      </c>
      <c r="CB21" s="63">
        <f t="shared" ca="1" si="3"/>
        <v>16</v>
      </c>
      <c r="CC21" s="63"/>
      <c r="CD21" s="112"/>
      <c r="CE21" s="264" t="str">
        <v/>
      </c>
      <c r="CF21" s="264">
        <v>0</v>
      </c>
      <c r="CG21" s="113" t="str">
        <f>IF(CG20="","",CF20)</f>
        <v xml:space="preserve"> </v>
      </c>
      <c r="CH21" s="128" t="str">
        <v xml:space="preserve"> </v>
      </c>
      <c r="CI21" s="115">
        <f ca="1">IFERROR(__xludf.DUMMYFUNCTION("""COMPUTED_VALUE"""),16)</f>
        <v>16</v>
      </c>
      <c r="CJ21" s="49" t="str">
        <v/>
      </c>
      <c r="CK21" s="153">
        <v>0</v>
      </c>
      <c r="CL21" s="113" t="str">
        <f>IF(CL20="","",CK20)</f>
        <v xml:space="preserve"> </v>
      </c>
      <c r="CM21" s="49" t="str">
        <v xml:space="preserve"> </v>
      </c>
      <c r="CN21" s="49">
        <f ca="1">IFERROR(__xludf.DUMMYFUNCTION("""COMPUTED_VALUE"""),16)</f>
        <v>16</v>
      </c>
      <c r="CO21" s="264" t="str">
        <v/>
      </c>
      <c r="CP21" s="264">
        <v>0</v>
      </c>
      <c r="CQ21" s="113" t="str">
        <f>IF(CQ20="","",CP20)</f>
        <v xml:space="preserve"> </v>
      </c>
      <c r="CR21" s="49" t="str">
        <v xml:space="preserve"> </v>
      </c>
      <c r="CS21" s="152">
        <f ca="1">IFERROR(__xludf.DUMMYFUNCTION("""COMPUTED_VALUE"""),16)</f>
        <v>16</v>
      </c>
      <c r="CT21" s="264" t="str">
        <v/>
      </c>
      <c r="CU21" s="264">
        <v>0</v>
      </c>
      <c r="CV21" s="113" t="str">
        <f>IF(CV20="","",CU20)</f>
        <v xml:space="preserve"> </v>
      </c>
      <c r="CW21" s="49" t="str">
        <v xml:space="preserve"> </v>
      </c>
      <c r="CX21" s="49">
        <f ca="1">IFERROR(__xludf.DUMMYFUNCTION("""COMPUTED_VALUE"""),16)</f>
        <v>16</v>
      </c>
      <c r="CY21" s="264" t="str">
        <v/>
      </c>
      <c r="CZ21" s="264">
        <v>0</v>
      </c>
      <c r="DA21" s="113" t="str">
        <f>IF(DA20="","",CZ20)</f>
        <v xml:space="preserve"> </v>
      </c>
      <c r="DB21" s="49" t="str">
        <v xml:space="preserve"> </v>
      </c>
      <c r="DC21" s="49">
        <f ca="1">IFERROR(__xludf.DUMMYFUNCTION("""COMPUTED_VALUE"""),16)</f>
        <v>16</v>
      </c>
      <c r="DD21" s="49" t="str">
        <v/>
      </c>
      <c r="DE21" s="49"/>
      <c r="DF21" s="49"/>
      <c r="DG21" s="49"/>
      <c r="DH21" s="49"/>
    </row>
    <row r="22" spans="1:112" ht="13.5" customHeight="1">
      <c r="A22" s="132"/>
      <c r="B22" s="268">
        <v>9</v>
      </c>
      <c r="C22" s="270" t="str">
        <f>(VLOOKUP($B22,Пр.взв!$D$6:$J$63,2,0))</f>
        <v>ГАЛИЕВА Алина</v>
      </c>
      <c r="D22" s="271" t="str">
        <f>(VLOOKUP($B22,Пр.взв!$D$6:$J$63,5,0))</f>
        <v>КМС</v>
      </c>
      <c r="E22" s="272" t="str">
        <f>(VLOOKUP($B22,Пр.взв!$D$6:$M$63,8,0))</f>
        <v>Р.Башкортостан</v>
      </c>
      <c r="F22" s="273">
        <v>10</v>
      </c>
      <c r="G22" s="86"/>
      <c r="H22" s="266">
        <v>11</v>
      </c>
      <c r="I22" s="86"/>
      <c r="J22" s="266" t="str">
        <f>IF(H22="Х","Х",IF($AC22&lt;6," ","Х"))</f>
        <v xml:space="preserve"> </v>
      </c>
      <c r="K22" s="87"/>
      <c r="L22" s="266" t="str">
        <f>IF(J22="Х","Х",IF(K22&lt;3," ",IF($AC22&lt;6," ","Х")))</f>
        <v xml:space="preserve"> </v>
      </c>
      <c r="M22" s="87"/>
      <c r="N22" s="266" t="str">
        <f>IF(L22="Х","Х",IF(M22&lt;3," ",IF($AC22&lt;6," ","Х")))</f>
        <v xml:space="preserve"> </v>
      </c>
      <c r="O22" s="87"/>
      <c r="P22" s="266" t="str">
        <f>IF(N22="Х","Х",IF(O22&lt;3," ",IF($AC22&lt;6," ","Х")))</f>
        <v xml:space="preserve"> </v>
      </c>
      <c r="Q22" s="87"/>
      <c r="R22" s="266" t="str">
        <f>IF(P22="Х","Х",IF(Q22&lt;3," ",IF($AC22&lt;6," ","Х")))</f>
        <v xml:space="preserve"> </v>
      </c>
      <c r="S22" s="87"/>
      <c r="T22" s="266" t="str">
        <f>IF(R22="Х","Х",IF(S22&lt;3," ",IF($AC22&lt;6," ","Х")))</f>
        <v xml:space="preserve"> </v>
      </c>
      <c r="U22" s="88"/>
      <c r="V22" s="266" t="str">
        <f>IF(T22="Х","Х",IF(U22&lt;3," ",IF($AC22&lt;6," ","Х")))</f>
        <v xml:space="preserve"> </v>
      </c>
      <c r="W22" s="88"/>
      <c r="X22" s="266" t="str">
        <f>IF(V22="А1",$AZ$7,IF(V22="Б2",$AZ$6,IF(V22="Б1",$BA$7,IF(V22="А2",$BA$6,IF(V22="Х","Х",IF(V22&lt;6," "," "))))))</f>
        <v xml:space="preserve"> </v>
      </c>
      <c r="Y22" s="89"/>
      <c r="Z22" s="266" t="str">
        <f>IF(V22="Х","Х",IF(ISBLANK(Y22),"",IF(Y22&gt;2.5," ",IF(B22=BB$6,BB$7,BB$6))))</f>
        <v/>
      </c>
      <c r="AA22" s="89"/>
      <c r="AB22" s="275" t="str">
        <f>IF(H22="Х",F$5,IF(J22="Х",H$5,IF(L22="Х",J$5,IF(N22="Х",L$5,IF(P22="Х",N$5,IF(R22="Х",P$5,IF(T22="Х",R$5,IF(X22="Х",T$5,""))))))))</f>
        <v/>
      </c>
      <c r="AC22" s="276">
        <f>SUM(G22+I22+K22+M22+O22+Q22+S22+U22+Y22+AA22)</f>
        <v>0</v>
      </c>
      <c r="AD22" s="277" t="str">
        <f>AF22</f>
        <v>1-22</v>
      </c>
      <c r="AE22" s="278" t="str">
        <f>AD22</f>
        <v>1-22</v>
      </c>
      <c r="AF22" s="280" t="str">
        <f>COUNTIF(AG$6:AG$148,"&gt;"&amp;AG$6:AG$148)+1&amp;REPT("-"&amp;COUNTIF(AG$6:AG$148,"&gt;="&amp;AG$6:AG$148),COUNTIF(AG$6:AG$148,AG22)&gt;1)</f>
        <v>1-22</v>
      </c>
      <c r="AG22" s="282">
        <f>(AR22*100)+(AP22*10)-AC22</f>
        <v>1280</v>
      </c>
      <c r="AH22" s="288" t="str">
        <f>IF(OR(F22="Х",F22="св")," ",IF(AND(G22&gt;=0,G22&lt;3),"1"," "))</f>
        <v>1</v>
      </c>
      <c r="AI22" s="289" t="str">
        <f>IF(OR(H22="Х",H22="св")," ",IF(AND(I22&gt;=0,I22&lt;3),"1"," "))</f>
        <v>1</v>
      </c>
      <c r="AJ22" s="289" t="str">
        <f>IF(OR(J22="Х",J22="св")," ",IF(AND(K22&gt;=0,K22&lt;3),"1"," "))</f>
        <v>1</v>
      </c>
      <c r="AK22" s="289" t="str">
        <f>IF(OR(L22="Х",L22="св")," ",IF(AND(M22&gt;=0,M22&lt;3),"1"," "))</f>
        <v>1</v>
      </c>
      <c r="AL22" s="289" t="str">
        <f>IF(OR(N22="Х",N22="св")," ",IF(AND(O22&gt;=0,O22&lt;3),"1"," "))</f>
        <v>1</v>
      </c>
      <c r="AM22" s="289" t="str">
        <f>IF(OR(P22="Х",P22="св")," ",IF(AND(Q22&gt;=0,Q22&lt;3),"1"," "))</f>
        <v>1</v>
      </c>
      <c r="AN22" s="289" t="str">
        <f>IF(OR(R22="Х",R22="св")," ",IF(AND(S22&gt;=0,S22&lt;3),"1"," "))</f>
        <v>1</v>
      </c>
      <c r="AO22" s="289" t="str">
        <f>IF(OR(T22="Х",T22="св")," ",IF(AND(U22&gt;=0,U22&lt;3),"1"," "))</f>
        <v>1</v>
      </c>
      <c r="AP22" s="289">
        <f>COUNTIF(AH22:AO23,1)</f>
        <v>8</v>
      </c>
      <c r="AQ22" s="289">
        <f>AG22-AC22</f>
        <v>1280</v>
      </c>
      <c r="AR22" s="292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289" t="str">
        <f>COUNTIF(AG$6:AG$134,"&gt;"&amp;AG$6:AG$134)+1&amp;REPT("-"&amp;COUNTIF(AG$6:AG$134,"&gt;="&amp;AG$6:AG$134),COUNTIF(AG$6:AG$134,AG22)&gt;1)</f>
        <v>1-22</v>
      </c>
      <c r="AT22" s="288" t="str">
        <f t="shared" ref="AT22:AW22" si="11">COUNTIF(AU$6:AU$134,"&gt;"&amp;AU$6:AU$134)+1&amp;REPT("-"&amp;COUNTIF(AU$6:AU$134,"&gt;="&amp;AU$6:AU$134),COUNTIF(AU$6:AU$134,AU22)&gt;1)</f>
        <v>1-64</v>
      </c>
      <c r="AU22" s="288" t="str">
        <f t="shared" si="11"/>
        <v>1-0</v>
      </c>
      <c r="AV22" s="288" t="str">
        <f t="shared" si="11"/>
        <v>1</v>
      </c>
      <c r="AW22" s="288" t="str">
        <f t="shared" si="11"/>
        <v>56</v>
      </c>
      <c r="AX22" s="293">
        <f>IF(X22="Х","Х",IF(Y22&lt;3,B22,"Х"))</f>
        <v>9</v>
      </c>
      <c r="AY22" s="141" t="str">
        <f ca="1"/>
        <v/>
      </c>
      <c r="AZ22" s="97"/>
      <c r="BA22" s="141" t="str">
        <f ca="1"/>
        <v/>
      </c>
      <c r="BB22" s="157"/>
      <c r="BC22" s="141" t="str">
        <f ca="1"/>
        <v/>
      </c>
      <c r="BD22" s="144" t="str">
        <f ca="1"/>
        <v/>
      </c>
      <c r="BE22" s="141" t="str">
        <f ca="1"/>
        <v/>
      </c>
      <c r="BF22" s="143" t="str">
        <f ca="1"/>
        <v/>
      </c>
      <c r="BG22" s="141" t="str">
        <f ca="1"/>
        <v/>
      </c>
      <c r="BH22" s="141" t="str">
        <f ca="1"/>
        <v/>
      </c>
      <c r="BI22" s="147"/>
      <c r="BJ22" s="148"/>
      <c r="BK22" s="154"/>
      <c r="BL22" s="155"/>
      <c r="BM22" s="294">
        <v>9</v>
      </c>
      <c r="BN22" s="287">
        <v>10</v>
      </c>
      <c r="BO22" s="98">
        <f>IF(BM22&lt;BN22,BM22,"")</f>
        <v>9</v>
      </c>
      <c r="BP22" s="124">
        <v>9</v>
      </c>
      <c r="BQ22" s="125">
        <f ca="1">IFERROR(__xludf.DUMMYFUNCTION("""COMPUTED_VALUE"""),16)</f>
        <v>16</v>
      </c>
      <c r="BR22" s="295">
        <v>9</v>
      </c>
      <c r="BS22" s="287">
        <v>11</v>
      </c>
      <c r="BT22" s="109">
        <f>IF(BR22&lt;BS22,BR22,"")</f>
        <v>9</v>
      </c>
      <c r="BU22" s="124">
        <v>9</v>
      </c>
      <c r="BV22" s="124">
        <f ca="1">IFERROR(__xludf.DUMMYFUNCTION("""COMPUTED_VALUE"""),15)</f>
        <v>15</v>
      </c>
      <c r="BW22" s="284">
        <v>9</v>
      </c>
      <c r="BX22" s="286" t="str">
        <v xml:space="preserve"> </v>
      </c>
      <c r="BY22" s="102">
        <f t="array" ref="BY22">IF(BW22&lt;BX22,BW22,"")</f>
        <v>9</v>
      </c>
      <c r="BZ22" s="102">
        <f t="shared" si="2"/>
        <v>9</v>
      </c>
      <c r="CA22" s="63">
        <f ca="1">IFERROR(__xludf.DUMMYFUNCTION("""COMPUTED_VALUE"""),17)</f>
        <v>17</v>
      </c>
      <c r="CB22" s="63">
        <f t="shared" ca="1" si="3"/>
        <v>17</v>
      </c>
      <c r="CC22" s="63"/>
      <c r="CD22" s="112"/>
      <c r="CE22" s="286">
        <v>9</v>
      </c>
      <c r="CF22" s="296" t="str">
        <v xml:space="preserve"> </v>
      </c>
      <c r="CG22" s="98">
        <f t="array" ref="CG22">IF(CE22&lt;CF22,CE22,"")</f>
        <v>9</v>
      </c>
      <c r="CH22" s="63">
        <v>9</v>
      </c>
      <c r="CI22" s="115">
        <f ca="1">IFERROR(__xludf.DUMMYFUNCTION("""COMPUTED_VALUE"""),17)</f>
        <v>17</v>
      </c>
      <c r="CJ22" s="65">
        <v>9</v>
      </c>
      <c r="CK22" s="151" t="str">
        <v xml:space="preserve"> </v>
      </c>
      <c r="CL22" s="98">
        <f t="array" ref="CL22">IF(CJ22&lt;CK22,CJ22,"")</f>
        <v>9</v>
      </c>
      <c r="CM22" s="49">
        <v>9</v>
      </c>
      <c r="CN22" s="49">
        <f ca="1">IFERROR(__xludf.DUMMYFUNCTION("""COMPUTED_VALUE"""),17)</f>
        <v>17</v>
      </c>
      <c r="CO22" s="286">
        <v>9</v>
      </c>
      <c r="CP22" s="286" t="str">
        <v xml:space="preserve"> </v>
      </c>
      <c r="CQ22" s="98">
        <f t="array" ref="CQ22">IF(CO22&lt;CP22,CO22,"")</f>
        <v>9</v>
      </c>
      <c r="CR22" s="65">
        <v>9</v>
      </c>
      <c r="CS22" s="152">
        <f ca="1">IFERROR(__xludf.DUMMYFUNCTION("""COMPUTED_VALUE"""),17)</f>
        <v>17</v>
      </c>
      <c r="CT22" s="286">
        <v>9</v>
      </c>
      <c r="CU22" s="286" t="str">
        <v xml:space="preserve"> </v>
      </c>
      <c r="CV22" s="98">
        <f t="array" ref="CV22">IF(CT22&lt;CU22,CT22,"")</f>
        <v>9</v>
      </c>
      <c r="CW22" s="49">
        <v>9</v>
      </c>
      <c r="CX22" s="49">
        <f ca="1">IFERROR(__xludf.DUMMYFUNCTION("""COMPUTED_VALUE"""),17)</f>
        <v>17</v>
      </c>
      <c r="CY22" s="286">
        <v>9</v>
      </c>
      <c r="CZ22" s="286" t="str">
        <v xml:space="preserve"> </v>
      </c>
      <c r="DA22" s="98">
        <f t="array" ref="DA22">IF(CY22&lt;CZ22,CY22,"")</f>
        <v>9</v>
      </c>
      <c r="DB22" s="49">
        <v>9</v>
      </c>
      <c r="DC22" s="49">
        <f ca="1">IFERROR(__xludf.DUMMYFUNCTION("""COMPUTED_VALUE"""),17)</f>
        <v>17</v>
      </c>
      <c r="DD22" s="49">
        <v>9</v>
      </c>
      <c r="DE22" s="49"/>
      <c r="DF22" s="49"/>
      <c r="DG22" s="49"/>
      <c r="DH22" s="49"/>
    </row>
    <row r="23" spans="1:112" ht="13.5" customHeight="1">
      <c r="A23" s="132"/>
      <c r="B23" s="269"/>
      <c r="C23" s="269"/>
      <c r="D23" s="269"/>
      <c r="E23" s="269"/>
      <c r="F23" s="274"/>
      <c r="G23" s="106"/>
      <c r="H23" s="267"/>
      <c r="I23" s="106"/>
      <c r="J23" s="267"/>
      <c r="K23" s="106"/>
      <c r="L23" s="267"/>
      <c r="M23" s="106"/>
      <c r="N23" s="267"/>
      <c r="O23" s="106"/>
      <c r="P23" s="267"/>
      <c r="Q23" s="106"/>
      <c r="R23" s="267"/>
      <c r="S23" s="106"/>
      <c r="T23" s="267"/>
      <c r="U23" s="107"/>
      <c r="V23" s="267"/>
      <c r="W23" s="107"/>
      <c r="X23" s="267"/>
      <c r="Y23" s="106"/>
      <c r="Z23" s="267"/>
      <c r="AA23" s="106"/>
      <c r="AB23" s="274"/>
      <c r="AC23" s="269"/>
      <c r="AD23" s="267"/>
      <c r="AE23" s="279"/>
      <c r="AF23" s="281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/>
      <c r="AR23" s="283"/>
      <c r="AS23" s="283"/>
      <c r="AT23" s="283"/>
      <c r="AU23" s="283"/>
      <c r="AV23" s="283"/>
      <c r="AW23" s="283"/>
      <c r="AX23" s="264"/>
      <c r="AY23" s="145" t="str">
        <f ca="1"/>
        <v/>
      </c>
      <c r="AZ23" s="97"/>
      <c r="BA23" s="146" t="str">
        <f ca="1"/>
        <v/>
      </c>
      <c r="BB23" s="157"/>
      <c r="BC23" s="145" t="str">
        <f ca="1"/>
        <v/>
      </c>
      <c r="BD23" s="144" t="str">
        <f ca="1"/>
        <v/>
      </c>
      <c r="BE23" s="145" t="str">
        <f ca="1"/>
        <v/>
      </c>
      <c r="BF23" s="143" t="str">
        <f ca="1"/>
        <v/>
      </c>
      <c r="BG23" s="145" t="str">
        <f ca="1"/>
        <v/>
      </c>
      <c r="BH23" s="145" t="str">
        <f ca="1"/>
        <v/>
      </c>
      <c r="BI23" s="147"/>
      <c r="BJ23" s="148"/>
      <c r="BK23" s="154"/>
      <c r="BL23" s="155"/>
      <c r="BM23" s="285" t="str">
        <v/>
      </c>
      <c r="BN23" s="264">
        <v>0</v>
      </c>
      <c r="BO23" s="109">
        <f>IF(BO22="","",BN22)</f>
        <v>10</v>
      </c>
      <c r="BP23" s="109">
        <v>10</v>
      </c>
      <c r="BQ23" s="125">
        <f ca="1">IFERROR(__xludf.DUMMYFUNCTION("""COMPUTED_VALUE"""),17)</f>
        <v>17</v>
      </c>
      <c r="BR23" s="264" t="str">
        <v/>
      </c>
      <c r="BS23" s="264">
        <v>0</v>
      </c>
      <c r="BT23" s="109">
        <f>IF(BT22="","",BS22)</f>
        <v>11</v>
      </c>
      <c r="BU23" s="109">
        <v>11</v>
      </c>
      <c r="BV23" s="124">
        <f ca="1">IFERROR(__xludf.DUMMYFUNCTION("""COMPUTED_VALUE"""),17)</f>
        <v>17</v>
      </c>
      <c r="BW23" s="285" t="str">
        <v/>
      </c>
      <c r="BX23" s="264">
        <v>0</v>
      </c>
      <c r="BY23" s="102" t="str">
        <f>IF(BY22="","",BX22)</f>
        <v xml:space="preserve"> </v>
      </c>
      <c r="BZ23" s="102" t="str">
        <f t="shared" si="2"/>
        <v xml:space="preserve"> </v>
      </c>
      <c r="CA23" s="63">
        <f ca="1">IFERROR(__xludf.DUMMYFUNCTION("""COMPUTED_VALUE"""),18)</f>
        <v>18</v>
      </c>
      <c r="CB23" s="63">
        <f t="shared" ca="1" si="3"/>
        <v>18</v>
      </c>
      <c r="CC23" s="63"/>
      <c r="CD23" s="112"/>
      <c r="CE23" s="264" t="str">
        <v/>
      </c>
      <c r="CF23" s="264">
        <v>0</v>
      </c>
      <c r="CG23" s="113" t="str">
        <f>IF(CG22="","",CF22)</f>
        <v xml:space="preserve"> </v>
      </c>
      <c r="CH23" s="128" t="str">
        <v xml:space="preserve"> </v>
      </c>
      <c r="CI23" s="115">
        <f ca="1">IFERROR(__xludf.DUMMYFUNCTION("""COMPUTED_VALUE"""),18)</f>
        <v>18</v>
      </c>
      <c r="CJ23" s="49" t="str">
        <v/>
      </c>
      <c r="CK23" s="153">
        <v>0</v>
      </c>
      <c r="CL23" s="113" t="str">
        <f>IF(CL22="","",CK22)</f>
        <v xml:space="preserve"> </v>
      </c>
      <c r="CM23" s="49" t="str">
        <v xml:space="preserve"> </v>
      </c>
      <c r="CN23" s="49">
        <f ca="1">IFERROR(__xludf.DUMMYFUNCTION("""COMPUTED_VALUE"""),18)</f>
        <v>18</v>
      </c>
      <c r="CO23" s="264" t="str">
        <v/>
      </c>
      <c r="CP23" s="264">
        <v>0</v>
      </c>
      <c r="CQ23" s="113" t="str">
        <f>IF(CQ22="","",CP22)</f>
        <v xml:space="preserve"> </v>
      </c>
      <c r="CR23" s="49" t="str">
        <v xml:space="preserve"> </v>
      </c>
      <c r="CS23" s="152">
        <f ca="1">IFERROR(__xludf.DUMMYFUNCTION("""COMPUTED_VALUE"""),18)</f>
        <v>18</v>
      </c>
      <c r="CT23" s="264" t="str">
        <v/>
      </c>
      <c r="CU23" s="264">
        <v>0</v>
      </c>
      <c r="CV23" s="113" t="str">
        <f>IF(CV22="","",CU22)</f>
        <v xml:space="preserve"> </v>
      </c>
      <c r="CW23" s="49" t="str">
        <v xml:space="preserve"> </v>
      </c>
      <c r="CX23" s="49">
        <f ca="1">IFERROR(__xludf.DUMMYFUNCTION("""COMPUTED_VALUE"""),18)</f>
        <v>18</v>
      </c>
      <c r="CY23" s="264" t="str">
        <v/>
      </c>
      <c r="CZ23" s="264">
        <v>0</v>
      </c>
      <c r="DA23" s="113" t="str">
        <f>IF(DA22="","",CZ22)</f>
        <v xml:space="preserve"> </v>
      </c>
      <c r="DB23" s="49" t="str">
        <v xml:space="preserve"> </v>
      </c>
      <c r="DC23" s="49">
        <f ca="1">IFERROR(__xludf.DUMMYFUNCTION("""COMPUTED_VALUE"""),18)</f>
        <v>18</v>
      </c>
      <c r="DD23" s="49" t="str">
        <v/>
      </c>
      <c r="DE23" s="49"/>
      <c r="DF23" s="49"/>
      <c r="DG23" s="49"/>
      <c r="DH23" s="49"/>
    </row>
    <row r="24" spans="1:112" ht="13.5" customHeight="1">
      <c r="A24" s="132"/>
      <c r="B24" s="268">
        <v>10</v>
      </c>
      <c r="C24" s="270" t="str">
        <f>(VLOOKUP($B24,Пр.взв!$D$6:$J$63,2,0))</f>
        <v>АЛЁХИНА Алёна</v>
      </c>
      <c r="D24" s="271" t="str">
        <f>(VLOOKUP($B24,Пр.взв!$D$6:$J$63,5,0))</f>
        <v>КМС</v>
      </c>
      <c r="E24" s="272" t="str">
        <f>(VLOOKUP($B24,Пр.взв!$D$6:$M$63,8,0))</f>
        <v>Свердловская</v>
      </c>
      <c r="F24" s="273">
        <v>9</v>
      </c>
      <c r="G24" s="86"/>
      <c r="H24" s="266">
        <v>13</v>
      </c>
      <c r="I24" s="86"/>
      <c r="J24" s="266" t="str">
        <f>IF(H24="Х","Х",IF($AC24&lt;6," ","Х"))</f>
        <v xml:space="preserve"> </v>
      </c>
      <c r="K24" s="87"/>
      <c r="L24" s="266" t="str">
        <f>IF(J24="Х","Х",IF(K24&lt;3," ",IF($AC24&lt;6," ","Х")))</f>
        <v xml:space="preserve"> </v>
      </c>
      <c r="M24" s="87"/>
      <c r="N24" s="266" t="str">
        <f>IF(L24="Х","Х",IF(M24&lt;3," ",IF($AC24&lt;6," ","Х")))</f>
        <v xml:space="preserve"> </v>
      </c>
      <c r="O24" s="87"/>
      <c r="P24" s="266" t="str">
        <f>IF(N24="Х","Х",IF(O24&lt;3," ",IF($AC24&lt;6," ","Х")))</f>
        <v xml:space="preserve"> </v>
      </c>
      <c r="Q24" s="87"/>
      <c r="R24" s="266" t="str">
        <f>IF(P24="Х","Х",IF(Q24&lt;3," ",IF($AC24&lt;6," ","Х")))</f>
        <v xml:space="preserve"> </v>
      </c>
      <c r="S24" s="87"/>
      <c r="T24" s="266" t="str">
        <f>IF(R24="Х","Х",IF(S24&lt;3," ",IF($AC24&lt;6," ","Х")))</f>
        <v xml:space="preserve"> </v>
      </c>
      <c r="U24" s="88"/>
      <c r="V24" s="266" t="str">
        <f>IF(T24="Х","Х",IF(U24&lt;3," ",IF($AC24&lt;6," ","Х")))</f>
        <v xml:space="preserve"> </v>
      </c>
      <c r="W24" s="88"/>
      <c r="X24" s="266" t="str">
        <f>IF(V24="А1",$AZ$7,IF(V24="Б2",$AZ$6,IF(V24="Б1",$BA$7,IF(V24="А2",$BA$6,IF(V24="Х","Х",IF(V24&lt;6," "," "))))))</f>
        <v xml:space="preserve"> </v>
      </c>
      <c r="Y24" s="89"/>
      <c r="Z24" s="266" t="str">
        <f>IF(V24="Х","Х",IF(ISBLANK(Y24),"",IF(Y24&gt;2.5," ",IF(B24=BB$6,BB$7,BB$6))))</f>
        <v/>
      </c>
      <c r="AA24" s="89"/>
      <c r="AB24" s="290" t="str">
        <f>IF(H24="Х",F$5,IF(J24="Х",H$5,IF(L24="Х",J$5,IF(N24="Х",L$5,IF(P24="Х",N$5,IF(R24="Х",P$5,IF(T24="Х",R$5,IF(X24="Х",T$5,""))))))))</f>
        <v/>
      </c>
      <c r="AC24" s="276">
        <f>SUM(G24+I24+K24+M24+O24+Q24+S24+U24+Y24+AA24)</f>
        <v>0</v>
      </c>
      <c r="AD24" s="291" t="str">
        <f>AF24</f>
        <v>1-22</v>
      </c>
      <c r="AE24" s="278" t="str">
        <f>AD24</f>
        <v>1-22</v>
      </c>
      <c r="AF24" s="280" t="str">
        <f>COUNTIF(AG$6:AG$148,"&gt;"&amp;AG$6:AG$148)+1&amp;REPT("-"&amp;COUNTIF(AG$6:AG$148,"&gt;="&amp;AG$6:AG$148),COUNTIF(AG$6:AG$148,AG24)&gt;1)</f>
        <v>1-22</v>
      </c>
      <c r="AG24" s="282">
        <f>(AR24*100)+(AP24*10)-AC24</f>
        <v>1280</v>
      </c>
      <c r="AH24" s="288" t="str">
        <f>IF(OR(F24="Х",F24="св")," ",IF(AND(G24&gt;=0,G24&lt;3),"1"," "))</f>
        <v>1</v>
      </c>
      <c r="AI24" s="289" t="str">
        <f>IF(OR(H24="Х",H24="св")," ",IF(AND(I24&gt;=0,I24&lt;3),"1"," "))</f>
        <v>1</v>
      </c>
      <c r="AJ24" s="289" t="str">
        <f>IF(OR(J24="Х",J24="св")," ",IF(AND(K24&gt;=0,K24&lt;3),"1"," "))</f>
        <v>1</v>
      </c>
      <c r="AK24" s="289" t="str">
        <f>IF(OR(L24="Х",L24="св")," ",IF(AND(M24&gt;=0,M24&lt;3),"1"," "))</f>
        <v>1</v>
      </c>
      <c r="AL24" s="289" t="str">
        <f>IF(OR(N24="Х",N24="св")," ",IF(AND(O24&gt;=0,O24&lt;3),"1"," "))</f>
        <v>1</v>
      </c>
      <c r="AM24" s="289" t="str">
        <f>IF(OR(P24="Х",P24="св")," ",IF(AND(Q24&gt;=0,Q24&lt;3),"1"," "))</f>
        <v>1</v>
      </c>
      <c r="AN24" s="289" t="str">
        <f>IF(OR(R24="Х",R24="св")," ",IF(AND(S24&gt;=0,S24&lt;3),"1"," "))</f>
        <v>1</v>
      </c>
      <c r="AO24" s="289" t="str">
        <f>IF(OR(T24="Х",T24="св")," ",IF(AND(U24&gt;=0,U24&lt;3),"1"," "))</f>
        <v>1</v>
      </c>
      <c r="AP24" s="289">
        <f>COUNTIF(AH24:AO25,1)</f>
        <v>8</v>
      </c>
      <c r="AQ24" s="289">
        <f>AG24-AC24</f>
        <v>1280</v>
      </c>
      <c r="AR24" s="292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289" t="str">
        <f>COUNTIF(AG$6:AG$134,"&gt;"&amp;AG$6:AG$134)+1&amp;REPT("-"&amp;COUNTIF(AG$6:AG$134,"&gt;="&amp;AG$6:AG$134),COUNTIF(AG$6:AG$134,AG24)&gt;1)</f>
        <v>1-22</v>
      </c>
      <c r="AT24" s="288" t="str">
        <f t="shared" ref="AT24:AW24" si="12">COUNTIF(AU$6:AU$134,"&gt;"&amp;AU$6:AU$134)+1&amp;REPT("-"&amp;COUNTIF(AU$6:AU$134,"&gt;="&amp;AU$6:AU$134),COUNTIF(AU$6:AU$134,AU24)&gt;1)</f>
        <v>1-64</v>
      </c>
      <c r="AU24" s="288" t="str">
        <f t="shared" si="12"/>
        <v>1-0</v>
      </c>
      <c r="AV24" s="288" t="str">
        <f t="shared" si="12"/>
        <v>1</v>
      </c>
      <c r="AW24" s="288" t="str">
        <f t="shared" si="12"/>
        <v>55</v>
      </c>
      <c r="AX24" s="293">
        <f>IF(X24="Х","Х",IF(Y24&lt;3,B24,"Х"))</f>
        <v>10</v>
      </c>
      <c r="AY24" s="141" t="str">
        <f ca="1"/>
        <v/>
      </c>
      <c r="AZ24" s="97"/>
      <c r="BA24" s="141" t="str">
        <f ca="1"/>
        <v/>
      </c>
      <c r="BB24" s="157"/>
      <c r="BC24" s="141" t="str">
        <f ca="1"/>
        <v/>
      </c>
      <c r="BD24" s="144">
        <f ca="1"/>
        <v>0</v>
      </c>
      <c r="BE24" s="141" t="str">
        <f ca="1"/>
        <v/>
      </c>
      <c r="BF24" s="143">
        <f ca="1"/>
        <v>0</v>
      </c>
      <c r="BG24" s="141" t="str">
        <f ca="1"/>
        <v/>
      </c>
      <c r="BH24" s="141" t="str">
        <f ca="1"/>
        <v/>
      </c>
      <c r="BI24" s="147"/>
      <c r="BJ24" s="148"/>
      <c r="BK24" s="154"/>
      <c r="BL24" s="155"/>
      <c r="BM24" s="294">
        <v>10</v>
      </c>
      <c r="BN24" s="287">
        <v>9</v>
      </c>
      <c r="BO24" s="98" t="str">
        <f>IF(BM24&lt;BN24,BM24,"")</f>
        <v/>
      </c>
      <c r="BP24" s="124" t="str">
        <v/>
      </c>
      <c r="BQ24" s="125">
        <f ca="1">IFERROR(__xludf.DUMMYFUNCTION("""COMPUTED_VALUE"""),18)</f>
        <v>18</v>
      </c>
      <c r="BR24" s="295">
        <v>10</v>
      </c>
      <c r="BS24" s="287">
        <v>13</v>
      </c>
      <c r="BT24" s="109">
        <f>IF(BR24&lt;BS24,BR24,"")</f>
        <v>10</v>
      </c>
      <c r="BU24" s="124">
        <v>10</v>
      </c>
      <c r="BV24" s="124">
        <f ca="1">IFERROR(__xludf.DUMMYFUNCTION("""COMPUTED_VALUE"""),18)</f>
        <v>18</v>
      </c>
      <c r="BW24" s="284">
        <v>10</v>
      </c>
      <c r="BX24" s="286" t="str">
        <v xml:space="preserve"> </v>
      </c>
      <c r="BY24" s="102">
        <f t="array" ref="BY24">IF(BW24&lt;BX24,BW24,"")</f>
        <v>10</v>
      </c>
      <c r="BZ24" s="102">
        <f t="shared" si="2"/>
        <v>10</v>
      </c>
      <c r="CA24" s="63">
        <f ca="1">IFERROR(__xludf.DUMMYFUNCTION("""COMPUTED_VALUE"""),19)</f>
        <v>19</v>
      </c>
      <c r="CB24" s="63">
        <f t="shared" ca="1" si="3"/>
        <v>19</v>
      </c>
      <c r="CC24" s="63"/>
      <c r="CD24" s="112"/>
      <c r="CE24" s="286">
        <v>10</v>
      </c>
      <c r="CF24" s="296" t="str">
        <v xml:space="preserve"> </v>
      </c>
      <c r="CG24" s="98">
        <f t="array" ref="CG24">IF(CE24&lt;CF24,CE24,"")</f>
        <v>10</v>
      </c>
      <c r="CH24" s="63">
        <v>10</v>
      </c>
      <c r="CI24" s="115">
        <f ca="1">IFERROR(__xludf.DUMMYFUNCTION("""COMPUTED_VALUE"""),19)</f>
        <v>19</v>
      </c>
      <c r="CJ24" s="65">
        <v>10</v>
      </c>
      <c r="CK24" s="151" t="str">
        <v xml:space="preserve"> </v>
      </c>
      <c r="CL24" s="98">
        <f t="array" ref="CL24">IF(CJ24&lt;CK24,CJ24,"")</f>
        <v>10</v>
      </c>
      <c r="CM24" s="49">
        <v>10</v>
      </c>
      <c r="CN24" s="49">
        <f ca="1">IFERROR(__xludf.DUMMYFUNCTION("""COMPUTED_VALUE"""),19)</f>
        <v>19</v>
      </c>
      <c r="CO24" s="286">
        <v>10</v>
      </c>
      <c r="CP24" s="286" t="str">
        <v xml:space="preserve"> </v>
      </c>
      <c r="CQ24" s="98">
        <f t="array" ref="CQ24">IF(CO24&lt;CP24,CO24,"")</f>
        <v>10</v>
      </c>
      <c r="CR24" s="65">
        <v>10</v>
      </c>
      <c r="CS24" s="152">
        <f ca="1">IFERROR(__xludf.DUMMYFUNCTION("""COMPUTED_VALUE"""),19)</f>
        <v>19</v>
      </c>
      <c r="CT24" s="286">
        <v>10</v>
      </c>
      <c r="CU24" s="286" t="str">
        <v xml:space="preserve"> </v>
      </c>
      <c r="CV24" s="98">
        <f t="array" ref="CV24">IF(CT24&lt;CU24,CT24,"")</f>
        <v>10</v>
      </c>
      <c r="CW24" s="49">
        <v>10</v>
      </c>
      <c r="CX24" s="49">
        <f ca="1">IFERROR(__xludf.DUMMYFUNCTION("""COMPUTED_VALUE"""),19)</f>
        <v>19</v>
      </c>
      <c r="CY24" s="286">
        <v>10</v>
      </c>
      <c r="CZ24" s="286" t="str">
        <v xml:space="preserve"> </v>
      </c>
      <c r="DA24" s="98">
        <f t="array" ref="DA24">IF(CY24&lt;CZ24,CY24,"")</f>
        <v>10</v>
      </c>
      <c r="DB24" s="49">
        <v>10</v>
      </c>
      <c r="DC24" s="49">
        <f ca="1">IFERROR(__xludf.DUMMYFUNCTION("""COMPUTED_VALUE"""),19)</f>
        <v>19</v>
      </c>
      <c r="DD24" s="49">
        <v>10</v>
      </c>
      <c r="DE24" s="49"/>
      <c r="DF24" s="49"/>
      <c r="DG24" s="49"/>
      <c r="DH24" s="49"/>
    </row>
    <row r="25" spans="1:112" ht="13.5" customHeight="1">
      <c r="A25" s="132"/>
      <c r="B25" s="269"/>
      <c r="C25" s="269"/>
      <c r="D25" s="269"/>
      <c r="E25" s="269"/>
      <c r="F25" s="274"/>
      <c r="G25" s="106"/>
      <c r="H25" s="267"/>
      <c r="I25" s="106"/>
      <c r="J25" s="267"/>
      <c r="K25" s="106"/>
      <c r="L25" s="267"/>
      <c r="M25" s="106"/>
      <c r="N25" s="267"/>
      <c r="O25" s="106"/>
      <c r="P25" s="267"/>
      <c r="Q25" s="106"/>
      <c r="R25" s="267"/>
      <c r="S25" s="106"/>
      <c r="T25" s="267"/>
      <c r="U25" s="107"/>
      <c r="V25" s="267"/>
      <c r="W25" s="107"/>
      <c r="X25" s="267"/>
      <c r="Y25" s="106"/>
      <c r="Z25" s="267"/>
      <c r="AA25" s="106"/>
      <c r="AB25" s="274"/>
      <c r="AC25" s="269"/>
      <c r="AD25" s="267"/>
      <c r="AE25" s="279"/>
      <c r="AF25" s="281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64"/>
      <c r="AY25" s="145" t="str">
        <f ca="1"/>
        <v/>
      </c>
      <c r="AZ25" s="97"/>
      <c r="BA25" s="146" t="str">
        <f ca="1"/>
        <v/>
      </c>
      <c r="BB25" s="157"/>
      <c r="BC25" s="145" t="str">
        <f ca="1"/>
        <v/>
      </c>
      <c r="BD25" s="144" t="str">
        <f ca="1"/>
        <v/>
      </c>
      <c r="BE25" s="145" t="str">
        <f ca="1"/>
        <v/>
      </c>
      <c r="BF25" s="143" t="str">
        <f ca="1"/>
        <v/>
      </c>
      <c r="BG25" s="145" t="str">
        <f ca="1"/>
        <v/>
      </c>
      <c r="BH25" s="145" t="str">
        <f ca="1"/>
        <v/>
      </c>
      <c r="BI25" s="147"/>
      <c r="BJ25" s="148"/>
      <c r="BK25" s="154"/>
      <c r="BL25" s="155"/>
      <c r="BM25" s="285" t="str">
        <v/>
      </c>
      <c r="BN25" s="264">
        <v>0</v>
      </c>
      <c r="BO25" s="109" t="str">
        <f>IF(BO24="","",BN24)</f>
        <v/>
      </c>
      <c r="BP25" s="109" t="str">
        <v/>
      </c>
      <c r="BQ25" s="125">
        <f ca="1">IFERROR(__xludf.DUMMYFUNCTION("""COMPUTED_VALUE"""),19)</f>
        <v>19</v>
      </c>
      <c r="BR25" s="264" t="str">
        <v/>
      </c>
      <c r="BS25" s="264">
        <v>0</v>
      </c>
      <c r="BT25" s="109">
        <f>IF(BT24="","",BS24)</f>
        <v>13</v>
      </c>
      <c r="BU25" s="109">
        <v>13</v>
      </c>
      <c r="BV25" s="124">
        <f ca="1">IFERROR(__xludf.DUMMYFUNCTION("""COMPUTED_VALUE"""),20)</f>
        <v>20</v>
      </c>
      <c r="BW25" s="285" t="str">
        <v/>
      </c>
      <c r="BX25" s="264">
        <v>0</v>
      </c>
      <c r="BY25" s="102" t="str">
        <f>IF(BY24="","",BX24)</f>
        <v xml:space="preserve"> </v>
      </c>
      <c r="BZ25" s="102" t="str">
        <f t="shared" si="2"/>
        <v xml:space="preserve"> </v>
      </c>
      <c r="CA25" s="63">
        <f ca="1">IFERROR(__xludf.DUMMYFUNCTION("""COMPUTED_VALUE"""),20)</f>
        <v>20</v>
      </c>
      <c r="CB25" s="63">
        <f t="shared" ca="1" si="3"/>
        <v>20</v>
      </c>
      <c r="CC25" s="63"/>
      <c r="CD25" s="112"/>
      <c r="CE25" s="264" t="str">
        <v/>
      </c>
      <c r="CF25" s="264">
        <v>0</v>
      </c>
      <c r="CG25" s="113" t="str">
        <f>IF(CG24="","",CF24)</f>
        <v xml:space="preserve"> </v>
      </c>
      <c r="CH25" s="128" t="str">
        <v xml:space="preserve"> </v>
      </c>
      <c r="CI25" s="115">
        <f ca="1">IFERROR(__xludf.DUMMYFUNCTION("""COMPUTED_VALUE"""),20)</f>
        <v>20</v>
      </c>
      <c r="CJ25" s="49" t="str">
        <v/>
      </c>
      <c r="CK25" s="153">
        <v>0</v>
      </c>
      <c r="CL25" s="113" t="str">
        <f>IF(CL24="","",CK24)</f>
        <v xml:space="preserve"> </v>
      </c>
      <c r="CM25" s="49" t="str">
        <v xml:space="preserve"> </v>
      </c>
      <c r="CN25" s="49">
        <f ca="1">IFERROR(__xludf.DUMMYFUNCTION("""COMPUTED_VALUE"""),20)</f>
        <v>20</v>
      </c>
      <c r="CO25" s="264" t="str">
        <v/>
      </c>
      <c r="CP25" s="264">
        <v>0</v>
      </c>
      <c r="CQ25" s="113" t="str">
        <f>IF(CQ24="","",CP24)</f>
        <v xml:space="preserve"> </v>
      </c>
      <c r="CR25" s="49" t="str">
        <v xml:space="preserve"> </v>
      </c>
      <c r="CS25" s="152">
        <f ca="1">IFERROR(__xludf.DUMMYFUNCTION("""COMPUTED_VALUE"""),20)</f>
        <v>20</v>
      </c>
      <c r="CT25" s="264" t="str">
        <v/>
      </c>
      <c r="CU25" s="264">
        <v>0</v>
      </c>
      <c r="CV25" s="113" t="str">
        <f>IF(CV24="","",CU24)</f>
        <v xml:space="preserve"> </v>
      </c>
      <c r="CW25" s="49" t="str">
        <v xml:space="preserve"> </v>
      </c>
      <c r="CX25" s="49">
        <f ca="1">IFERROR(__xludf.DUMMYFUNCTION("""COMPUTED_VALUE"""),20)</f>
        <v>20</v>
      </c>
      <c r="CY25" s="264" t="str">
        <v/>
      </c>
      <c r="CZ25" s="264">
        <v>0</v>
      </c>
      <c r="DA25" s="113" t="str">
        <f>IF(DA24="","",CZ24)</f>
        <v xml:space="preserve"> </v>
      </c>
      <c r="DB25" s="49" t="str">
        <v xml:space="preserve"> </v>
      </c>
      <c r="DC25" s="49">
        <f ca="1">IFERROR(__xludf.DUMMYFUNCTION("""COMPUTED_VALUE"""),20)</f>
        <v>20</v>
      </c>
      <c r="DD25" s="49" t="str">
        <v/>
      </c>
      <c r="DE25" s="49"/>
      <c r="DF25" s="49"/>
      <c r="DG25" s="49"/>
      <c r="DH25" s="49"/>
    </row>
    <row r="26" spans="1:112" ht="13.5" customHeight="1">
      <c r="A26" s="132"/>
      <c r="B26" s="268">
        <v>11</v>
      </c>
      <c r="C26" s="270" t="str">
        <f>(VLOOKUP($B26,Пр.взв!$D$6:$J$63,2,0))</f>
        <v>КОЛОСОВА Карина</v>
      </c>
      <c r="D26" s="271" t="str">
        <f>(VLOOKUP($B26,Пр.взв!$D$6:$J$63,5,0))</f>
        <v>КМС</v>
      </c>
      <c r="E26" s="272" t="str">
        <f>(VLOOKUP($B26,Пр.взв!$D$6:$M$63,8,0))</f>
        <v>Воронежская</v>
      </c>
      <c r="F26" s="273">
        <v>12</v>
      </c>
      <c r="G26" s="86"/>
      <c r="H26" s="266">
        <v>9</v>
      </c>
      <c r="I26" s="86"/>
      <c r="J26" s="266" t="str">
        <f>IF(H26="Х","Х",IF($AC26&lt;6," ","Х"))</f>
        <v xml:space="preserve"> </v>
      </c>
      <c r="K26" s="87"/>
      <c r="L26" s="266" t="str">
        <f>IF(J26="Х","Х",IF(K26&lt;3," ",IF($AC26&lt;6," ","Х")))</f>
        <v xml:space="preserve"> </v>
      </c>
      <c r="M26" s="87"/>
      <c r="N26" s="266" t="str">
        <f>IF(L26="Х","Х",IF(M26&lt;3," ",IF($AC26&lt;6," ","Х")))</f>
        <v xml:space="preserve"> </v>
      </c>
      <c r="O26" s="87"/>
      <c r="P26" s="266" t="str">
        <f>IF(N26="Х","Х",IF(O26&lt;3," ",IF($AC26&lt;6," ","Х")))</f>
        <v xml:space="preserve"> </v>
      </c>
      <c r="Q26" s="87"/>
      <c r="R26" s="266" t="str">
        <f>IF(P26="Х","Х",IF(Q26&lt;3," ",IF($AC26&lt;6," ","Х")))</f>
        <v xml:space="preserve"> </v>
      </c>
      <c r="S26" s="87"/>
      <c r="T26" s="266" t="str">
        <f>IF(R26="Х","Х",IF(S26&lt;3," ",IF($AC26&lt;6," ","Х")))</f>
        <v xml:space="preserve"> </v>
      </c>
      <c r="U26" s="88"/>
      <c r="V26" s="266" t="str">
        <f>IF(T26="Х","Х",IF(U26&lt;3," ",IF($AC26&lt;6," ","Х")))</f>
        <v xml:space="preserve"> </v>
      </c>
      <c r="W26" s="88"/>
      <c r="X26" s="266" t="str">
        <f>IF(V26="А1",$AZ$7,IF(V26="Б2",$AZ$6,IF(V26="Б1",$BA$7,IF(V26="А2",$BA$6,IF(V26="Х","Х",IF(V26&lt;6," "," "))))))</f>
        <v xml:space="preserve"> </v>
      </c>
      <c r="Y26" s="89"/>
      <c r="Z26" s="266" t="str">
        <f>IF(V26="Х","Х",IF(ISBLANK(Y26),"",IF(Y26&gt;2.5," ",IF(B26=BB$6,BB$7,BB$6))))</f>
        <v/>
      </c>
      <c r="AA26" s="89"/>
      <c r="AB26" s="290" t="str">
        <f>IF(H26="Х",F$5,IF(J26="Х",H$5,IF(L26="Х",J$5,IF(N26="Х",L$5,IF(P26="Х",N$5,IF(R26="Х",P$5,IF(T26="Х",R$5,IF(X26="Х",T$5,""))))))))</f>
        <v/>
      </c>
      <c r="AC26" s="276">
        <f>SUM(G26+I26+K26+M26+O26+Q26+S26+U26+Y26+AA26)</f>
        <v>0</v>
      </c>
      <c r="AD26" s="291" t="str">
        <f>AF26</f>
        <v>1-22</v>
      </c>
      <c r="AE26" s="278" t="str">
        <f>AD26</f>
        <v>1-22</v>
      </c>
      <c r="AF26" s="280" t="str">
        <f>COUNTIF(AG$6:AG$148,"&gt;"&amp;AG$6:AG$148)+1&amp;REPT("-"&amp;COUNTIF(AG$6:AG$148,"&gt;="&amp;AG$6:AG$148),COUNTIF(AG$6:AG$148,AG26)&gt;1)</f>
        <v>1-22</v>
      </c>
      <c r="AG26" s="282">
        <f>(AR26*100)+(AP26*10)-AC26</f>
        <v>1280</v>
      </c>
      <c r="AH26" s="288" t="str">
        <f>IF(OR(F26="Х",F26="св")," ",IF(AND(G26&gt;=0,G26&lt;3),"1"," "))</f>
        <v>1</v>
      </c>
      <c r="AI26" s="289" t="str">
        <f>IF(OR(H26="Х",H26="св")," ",IF(AND(I26&gt;=0,I26&lt;3),"1"," "))</f>
        <v>1</v>
      </c>
      <c r="AJ26" s="289" t="str">
        <f>IF(OR(J26="Х",J26="св")," ",IF(AND(K26&gt;=0,K26&lt;3),"1"," "))</f>
        <v>1</v>
      </c>
      <c r="AK26" s="289" t="str">
        <f>IF(OR(L26="Х",L26="св")," ",IF(AND(M26&gt;=0,M26&lt;3),"1"," "))</f>
        <v>1</v>
      </c>
      <c r="AL26" s="289" t="str">
        <f>IF(OR(N26="Х",N26="св")," ",IF(AND(O26&gt;=0,O26&lt;3),"1"," "))</f>
        <v>1</v>
      </c>
      <c r="AM26" s="289" t="str">
        <f>IF(OR(P26="Х",P26="св")," ",IF(AND(Q26&gt;=0,Q26&lt;3),"1"," "))</f>
        <v>1</v>
      </c>
      <c r="AN26" s="289" t="str">
        <f>IF(OR(R26="Х",R26="св")," ",IF(AND(S26&gt;=0,S26&lt;3),"1"," "))</f>
        <v>1</v>
      </c>
      <c r="AO26" s="289" t="str">
        <f>IF(OR(T26="Х",T26="св")," ",IF(AND(U26&gt;=0,U26&lt;3),"1"," "))</f>
        <v>1</v>
      </c>
      <c r="AP26" s="289">
        <f>COUNTIF(AH26:AO27,1)</f>
        <v>8</v>
      </c>
      <c r="AQ26" s="289">
        <f>AG26-AC26</f>
        <v>1280</v>
      </c>
      <c r="AR26" s="292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289" t="str">
        <f>COUNTIF(AG$6:AG$134,"&gt;"&amp;AG$6:AG$134)+1&amp;REPT("-"&amp;COUNTIF(AG$6:AG$134,"&gt;="&amp;AG$6:AG$134),COUNTIF(AG$6:AG$134,AG26)&gt;1)</f>
        <v>1-22</v>
      </c>
      <c r="AT26" s="288" t="str">
        <f t="shared" ref="AT26:AW26" si="13">COUNTIF(AU$6:AU$134,"&gt;"&amp;AU$6:AU$134)+1&amp;REPT("-"&amp;COUNTIF(AU$6:AU$134,"&gt;="&amp;AU$6:AU$134),COUNTIF(AU$6:AU$134,AU26)&gt;1)</f>
        <v>1-64</v>
      </c>
      <c r="AU26" s="288" t="str">
        <f t="shared" si="13"/>
        <v>1-0</v>
      </c>
      <c r="AV26" s="288" t="str">
        <f t="shared" si="13"/>
        <v>1</v>
      </c>
      <c r="AW26" s="288" t="str">
        <f t="shared" si="13"/>
        <v>54</v>
      </c>
      <c r="AX26" s="293">
        <f>IF(X26="Х","Х",IF(Y26&lt;3,B26,"Х"))</f>
        <v>11</v>
      </c>
      <c r="AY26" s="141" t="str">
        <f ca="1"/>
        <v/>
      </c>
      <c r="AZ26" s="97"/>
      <c r="BA26" s="141" t="str">
        <f ca="1"/>
        <v/>
      </c>
      <c r="BB26" s="158"/>
      <c r="BC26" s="141" t="str">
        <f ca="1"/>
        <v/>
      </c>
      <c r="BD26" s="144" t="str">
        <f ca="1"/>
        <v/>
      </c>
      <c r="BE26" s="141" t="str">
        <f ca="1"/>
        <v/>
      </c>
      <c r="BF26" s="143" t="str">
        <f ca="1"/>
        <v/>
      </c>
      <c r="BG26" s="141" t="str">
        <f ca="1"/>
        <v/>
      </c>
      <c r="BH26" s="141" t="str">
        <f ca="1"/>
        <v/>
      </c>
      <c r="BI26" s="52"/>
      <c r="BJ26" s="52"/>
      <c r="BK26" s="52"/>
      <c r="BL26" s="52"/>
      <c r="BM26" s="294">
        <v>11</v>
      </c>
      <c r="BN26" s="287">
        <v>12</v>
      </c>
      <c r="BO26" s="98">
        <f>IF(BM26&lt;BN26,BM26,"")</f>
        <v>11</v>
      </c>
      <c r="BP26" s="124">
        <v>11</v>
      </c>
      <c r="BQ26" s="125">
        <f ca="1">IFERROR(__xludf.DUMMYFUNCTION("""COMPUTED_VALUE"""),20)</f>
        <v>20</v>
      </c>
      <c r="BR26" s="295">
        <v>11</v>
      </c>
      <c r="BS26" s="287">
        <v>9</v>
      </c>
      <c r="BT26" s="109" t="str">
        <f>IF(BR26&lt;BS26,BR26,"")</f>
        <v/>
      </c>
      <c r="BU26" s="124" t="str">
        <v/>
      </c>
      <c r="BV26" s="124">
        <f ca="1">IFERROR(__xludf.DUMMYFUNCTION("""COMPUTED_VALUE"""),19)</f>
        <v>19</v>
      </c>
      <c r="BW26" s="284">
        <v>11</v>
      </c>
      <c r="BX26" s="286" t="str">
        <v xml:space="preserve"> </v>
      </c>
      <c r="BY26" s="102">
        <f t="array" ref="BY26">IF(BW26&lt;BX26,BW26,"")</f>
        <v>11</v>
      </c>
      <c r="BZ26" s="102">
        <f t="shared" si="2"/>
        <v>11</v>
      </c>
      <c r="CA26" s="63">
        <f ca="1">IFERROR(__xludf.DUMMYFUNCTION("""COMPUTED_VALUE"""),21)</f>
        <v>21</v>
      </c>
      <c r="CB26" s="63">
        <f t="shared" ca="1" si="3"/>
        <v>21</v>
      </c>
      <c r="CC26" s="63"/>
      <c r="CD26" s="112"/>
      <c r="CE26" s="286">
        <v>11</v>
      </c>
      <c r="CF26" s="296" t="str">
        <v xml:space="preserve"> </v>
      </c>
      <c r="CG26" s="98">
        <f t="array" ref="CG26">IF(CE26&lt;CF26,CE26,"")</f>
        <v>11</v>
      </c>
      <c r="CH26" s="63">
        <v>11</v>
      </c>
      <c r="CI26" s="115">
        <f ca="1">IFERROR(__xludf.DUMMYFUNCTION("""COMPUTED_VALUE"""),21)</f>
        <v>21</v>
      </c>
      <c r="CJ26" s="65">
        <v>11</v>
      </c>
      <c r="CK26" s="151" t="str">
        <v xml:space="preserve"> </v>
      </c>
      <c r="CL26" s="98">
        <f t="array" ref="CL26">IF(CJ26&lt;CK26,CJ26,"")</f>
        <v>11</v>
      </c>
      <c r="CM26" s="49">
        <v>11</v>
      </c>
      <c r="CN26" s="49">
        <f ca="1">IFERROR(__xludf.DUMMYFUNCTION("""COMPUTED_VALUE"""),21)</f>
        <v>21</v>
      </c>
      <c r="CO26" s="286">
        <v>11</v>
      </c>
      <c r="CP26" s="286" t="str">
        <v xml:space="preserve"> </v>
      </c>
      <c r="CQ26" s="98">
        <f t="array" ref="CQ26">IF(CO26&lt;CP26,CO26,"")</f>
        <v>11</v>
      </c>
      <c r="CR26" s="65">
        <v>11</v>
      </c>
      <c r="CS26" s="152">
        <f ca="1">IFERROR(__xludf.DUMMYFUNCTION("""COMPUTED_VALUE"""),21)</f>
        <v>21</v>
      </c>
      <c r="CT26" s="286">
        <v>11</v>
      </c>
      <c r="CU26" s="286" t="str">
        <v xml:space="preserve"> </v>
      </c>
      <c r="CV26" s="98">
        <f t="array" ref="CV26">IF(CT26&lt;CU26,CT26,"")</f>
        <v>11</v>
      </c>
      <c r="CW26" s="49">
        <v>11</v>
      </c>
      <c r="CX26" s="49">
        <f ca="1">IFERROR(__xludf.DUMMYFUNCTION("""COMPUTED_VALUE"""),21)</f>
        <v>21</v>
      </c>
      <c r="CY26" s="286">
        <v>11</v>
      </c>
      <c r="CZ26" s="286" t="str">
        <v xml:space="preserve"> </v>
      </c>
      <c r="DA26" s="98">
        <f t="array" ref="DA26">IF(CY26&lt;CZ26,CY26,"")</f>
        <v>11</v>
      </c>
      <c r="DB26" s="49">
        <v>11</v>
      </c>
      <c r="DC26" s="49">
        <f ca="1">IFERROR(__xludf.DUMMYFUNCTION("""COMPUTED_VALUE"""),21)</f>
        <v>21</v>
      </c>
      <c r="DD26" s="49">
        <v>11</v>
      </c>
      <c r="DE26" s="49"/>
      <c r="DF26" s="49"/>
      <c r="DG26" s="49"/>
      <c r="DH26" s="49"/>
    </row>
    <row r="27" spans="1:112" ht="13.5" customHeight="1">
      <c r="A27" s="132"/>
      <c r="B27" s="269"/>
      <c r="C27" s="269"/>
      <c r="D27" s="269"/>
      <c r="E27" s="269"/>
      <c r="F27" s="274"/>
      <c r="G27" s="106"/>
      <c r="H27" s="267"/>
      <c r="I27" s="106"/>
      <c r="J27" s="267"/>
      <c r="K27" s="106"/>
      <c r="L27" s="267"/>
      <c r="M27" s="106"/>
      <c r="N27" s="267"/>
      <c r="O27" s="106"/>
      <c r="P27" s="267"/>
      <c r="Q27" s="106"/>
      <c r="R27" s="267"/>
      <c r="S27" s="106"/>
      <c r="T27" s="267"/>
      <c r="U27" s="107"/>
      <c r="V27" s="267"/>
      <c r="W27" s="107"/>
      <c r="X27" s="267"/>
      <c r="Y27" s="106"/>
      <c r="Z27" s="267"/>
      <c r="AA27" s="106"/>
      <c r="AB27" s="274"/>
      <c r="AC27" s="269"/>
      <c r="AD27" s="267"/>
      <c r="AE27" s="279"/>
      <c r="AF27" s="281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64"/>
      <c r="AY27" s="145" t="str">
        <f ca="1"/>
        <v/>
      </c>
      <c r="AZ27" s="97"/>
      <c r="BA27" s="146" t="str">
        <f ca="1"/>
        <v/>
      </c>
      <c r="BB27" s="49"/>
      <c r="BC27" s="145" t="str">
        <f ca="1"/>
        <v/>
      </c>
      <c r="BD27" s="144" t="str">
        <f ca="1"/>
        <v/>
      </c>
      <c r="BE27" s="145" t="str">
        <f ca="1"/>
        <v/>
      </c>
      <c r="BF27" s="143" t="str">
        <f ca="1"/>
        <v/>
      </c>
      <c r="BG27" s="145" t="str">
        <f ca="1"/>
        <v/>
      </c>
      <c r="BH27" s="145" t="str">
        <f ca="1"/>
        <v/>
      </c>
      <c r="BI27" s="52"/>
      <c r="BJ27" s="52"/>
      <c r="BK27" s="52"/>
      <c r="BL27" s="52"/>
      <c r="BM27" s="285" t="str">
        <v/>
      </c>
      <c r="BN27" s="264">
        <v>0</v>
      </c>
      <c r="BO27" s="109">
        <f>IF(BO26="","",BN26)</f>
        <v>12</v>
      </c>
      <c r="BP27" s="109">
        <v>12</v>
      </c>
      <c r="BQ27" s="125">
        <f ca="1">IFERROR(__xludf.DUMMYFUNCTION("""COMPUTED_VALUE"""),21)</f>
        <v>21</v>
      </c>
      <c r="BR27" s="264" t="str">
        <v/>
      </c>
      <c r="BS27" s="264">
        <v>0</v>
      </c>
      <c r="BT27" s="109" t="str">
        <f>IF(BT26="","",BS26)</f>
        <v/>
      </c>
      <c r="BU27" s="109" t="str">
        <v/>
      </c>
      <c r="BV27" s="124">
        <f ca="1">IFERROR(__xludf.DUMMYFUNCTION("""COMPUTED_VALUE"""),21)</f>
        <v>21</v>
      </c>
      <c r="BW27" s="285" t="str">
        <v/>
      </c>
      <c r="BX27" s="264">
        <v>0</v>
      </c>
      <c r="BY27" s="102" t="str">
        <f>IF(BY26="","",BX26)</f>
        <v xml:space="preserve"> </v>
      </c>
      <c r="BZ27" s="102" t="str">
        <f t="shared" si="2"/>
        <v xml:space="preserve"> </v>
      </c>
      <c r="CA27" s="128">
        <f ca="1">IFERROR(__xludf.DUMMYFUNCTION("""COMPUTED_VALUE"""),22)</f>
        <v>22</v>
      </c>
      <c r="CB27" s="63">
        <f t="shared" ca="1" si="3"/>
        <v>22</v>
      </c>
      <c r="CC27" s="128"/>
      <c r="CD27" s="159"/>
      <c r="CE27" s="264" t="str">
        <v/>
      </c>
      <c r="CF27" s="264">
        <v>0</v>
      </c>
      <c r="CG27" s="113" t="str">
        <f>IF(CG26="","",CF26)</f>
        <v xml:space="preserve"> </v>
      </c>
      <c r="CH27" s="128" t="str">
        <v xml:space="preserve"> </v>
      </c>
      <c r="CI27" s="115">
        <f ca="1">IFERROR(__xludf.DUMMYFUNCTION("""COMPUTED_VALUE"""),22)</f>
        <v>22</v>
      </c>
      <c r="CJ27" s="49" t="str">
        <v/>
      </c>
      <c r="CK27" s="153">
        <v>0</v>
      </c>
      <c r="CL27" s="113" t="str">
        <f>IF(CL26="","",CK26)</f>
        <v xml:space="preserve"> </v>
      </c>
      <c r="CM27" s="49" t="str">
        <v xml:space="preserve"> </v>
      </c>
      <c r="CN27" s="49">
        <f ca="1">IFERROR(__xludf.DUMMYFUNCTION("""COMPUTED_VALUE"""),22)</f>
        <v>22</v>
      </c>
      <c r="CO27" s="264" t="str">
        <v/>
      </c>
      <c r="CP27" s="264">
        <v>0</v>
      </c>
      <c r="CQ27" s="113" t="str">
        <f>IF(CQ26="","",CP26)</f>
        <v xml:space="preserve"> </v>
      </c>
      <c r="CR27" s="49" t="str">
        <v xml:space="preserve"> </v>
      </c>
      <c r="CS27" s="152">
        <f ca="1">IFERROR(__xludf.DUMMYFUNCTION("""COMPUTED_VALUE"""),22)</f>
        <v>22</v>
      </c>
      <c r="CT27" s="264" t="str">
        <v/>
      </c>
      <c r="CU27" s="264">
        <v>0</v>
      </c>
      <c r="CV27" s="113" t="str">
        <f>IF(CV26="","",CU26)</f>
        <v xml:space="preserve"> </v>
      </c>
      <c r="CW27" s="49" t="str">
        <v xml:space="preserve"> </v>
      </c>
      <c r="CX27" s="49">
        <f ca="1">IFERROR(__xludf.DUMMYFUNCTION("""COMPUTED_VALUE"""),22)</f>
        <v>22</v>
      </c>
      <c r="CY27" s="264" t="str">
        <v/>
      </c>
      <c r="CZ27" s="264">
        <v>0</v>
      </c>
      <c r="DA27" s="113" t="str">
        <f>IF(DA26="","",CZ26)</f>
        <v xml:space="preserve"> </v>
      </c>
      <c r="DB27" s="49" t="str">
        <v xml:space="preserve"> </v>
      </c>
      <c r="DC27" s="49">
        <f ca="1">IFERROR(__xludf.DUMMYFUNCTION("""COMPUTED_VALUE"""),22)</f>
        <v>22</v>
      </c>
      <c r="DD27" s="49" t="str">
        <v/>
      </c>
      <c r="DE27" s="49"/>
      <c r="DF27" s="49"/>
      <c r="DG27" s="49"/>
      <c r="DH27" s="49"/>
    </row>
    <row r="28" spans="1:112" ht="13.5" customHeight="1">
      <c r="A28" s="132"/>
      <c r="B28" s="299">
        <v>12</v>
      </c>
      <c r="C28" s="270" t="str">
        <f>(VLOOKUP($B28,Пр.взв!$D$6:$J$63,2,0))</f>
        <v>МУРАШОВА Марина</v>
      </c>
      <c r="D28" s="271" t="str">
        <f>(VLOOKUP($B28,Пр.взв!$D$6:$J$63,5,0))</f>
        <v>1р</v>
      </c>
      <c r="E28" s="272" t="str">
        <f>(VLOOKUP($B28,Пр.взв!$D$6:$M$63,8,0))</f>
        <v>Свердловская</v>
      </c>
      <c r="F28" s="273">
        <v>11</v>
      </c>
      <c r="G28" s="86"/>
      <c r="H28" s="266" t="s">
        <v>203</v>
      </c>
      <c r="I28" s="86"/>
      <c r="J28" s="266" t="str">
        <f>IF(H28="Х","Х",IF($AC28&lt;6," ","Х"))</f>
        <v xml:space="preserve"> </v>
      </c>
      <c r="K28" s="87"/>
      <c r="L28" s="266" t="str">
        <f>IF(J28="Х","Х",IF(K28&lt;3," ",IF($AC28&lt;6," ","Х")))</f>
        <v xml:space="preserve"> </v>
      </c>
      <c r="M28" s="87"/>
      <c r="N28" s="266" t="str">
        <f>IF(L28="Х","Х",IF(M28&lt;3," ",IF($AC28&lt;6," ","Х")))</f>
        <v xml:space="preserve"> </v>
      </c>
      <c r="O28" s="87"/>
      <c r="P28" s="266" t="str">
        <f>IF(N28="Х","Х",IF(O28&lt;3," ",IF($AC28&lt;6," ","Х")))</f>
        <v xml:space="preserve"> </v>
      </c>
      <c r="Q28" s="87"/>
      <c r="R28" s="266" t="str">
        <f>IF(P28="Х","Х",IF(Q28&lt;3," ",IF($AC28&lt;6," ","Х")))</f>
        <v xml:space="preserve"> </v>
      </c>
      <c r="S28" s="87"/>
      <c r="T28" s="266" t="str">
        <f>IF(R28="Х","Х",IF(S28&lt;3," ",IF($AC28&lt;6," ","Х")))</f>
        <v xml:space="preserve"> </v>
      </c>
      <c r="U28" s="88"/>
      <c r="V28" s="266" t="str">
        <f>IF(T28="Х","Х",IF(U28&lt;3," ",IF($AC28&lt;6," ","Х")))</f>
        <v xml:space="preserve"> </v>
      </c>
      <c r="W28" s="88"/>
      <c r="X28" s="266" t="str">
        <f>IF(V28="А1",$AZ$7,IF(V28="Б2",$AZ$6,IF(V28="Б1",$BA$7,IF(V28="А2",$BA$6,IF(V28="Х","Х",IF(V28&lt;6," "," "))))))</f>
        <v xml:space="preserve"> </v>
      </c>
      <c r="Y28" s="89"/>
      <c r="Z28" s="266" t="str">
        <f>IF(V28="Х","Х",IF(ISBLANK(Y28),"",IF(Y28&gt;2.5," ",IF(B28=BB$6,BB$7,BB$6))))</f>
        <v/>
      </c>
      <c r="AA28" s="89"/>
      <c r="AB28" s="290" t="str">
        <f>IF(H28="Х",F$5,IF(J28="Х",H$5,IF(L28="Х",J$5,IF(N28="Х",L$5,IF(P28="Х",N$5,IF(R28="Х",P$5,IF(T28="Х",R$5,IF(X28="Х",T$5,""))))))))</f>
        <v/>
      </c>
      <c r="AC28" s="276">
        <f>SUM(G28+I28+K28+M28+O28+Q28+S28+U28+Y28+AA28)</f>
        <v>0</v>
      </c>
      <c r="AD28" s="291" t="str">
        <f>AF28</f>
        <v>23-26</v>
      </c>
      <c r="AE28" s="278" t="str">
        <f>AD28</f>
        <v>23-26</v>
      </c>
      <c r="AF28" s="280" t="str">
        <f>COUNTIF(AG$6:AG$148,"&gt;"&amp;AG$6:AG$148)+1&amp;REPT("-"&amp;COUNTIF(AG$6:AG$148,"&gt;="&amp;AG$6:AG$148),COUNTIF(AG$6:AG$148,AG28)&gt;1)</f>
        <v>23-26</v>
      </c>
      <c r="AG28" s="282">
        <f>(AR28*100)+(AP28*10)-AC28</f>
        <v>1270</v>
      </c>
      <c r="AH28" s="288" t="str">
        <f>IF(OR(F28="Х",F28="св")," ",IF(AND(G28&gt;=0,G28&lt;3),"1"," "))</f>
        <v>1</v>
      </c>
      <c r="AI28" s="289" t="str">
        <f>IF(OR(H28="Х",H28="св")," ",IF(AND(I28&gt;=0,I28&lt;3),"1"," "))</f>
        <v xml:space="preserve"> </v>
      </c>
      <c r="AJ28" s="289" t="str">
        <f>IF(OR(J28="Х",J28="св")," ",IF(AND(K28&gt;=0,K28&lt;3),"1"," "))</f>
        <v>1</v>
      </c>
      <c r="AK28" s="289" t="str">
        <f>IF(OR(L28="Х",L28="св")," ",IF(AND(M28&gt;=0,M28&lt;3),"1"," "))</f>
        <v>1</v>
      </c>
      <c r="AL28" s="289" t="str">
        <f>IF(OR(N28="Х",N28="св")," ",IF(AND(O28&gt;=0,O28&lt;3),"1"," "))</f>
        <v>1</v>
      </c>
      <c r="AM28" s="289" t="str">
        <f>IF(OR(P28="Х",P28="св")," ",IF(AND(Q28&gt;=0,Q28&lt;3),"1"," "))</f>
        <v>1</v>
      </c>
      <c r="AN28" s="289" t="str">
        <f>IF(OR(R28="Х",R28="св")," ",IF(AND(S28&gt;=0,S28&lt;3),"1"," "))</f>
        <v>1</v>
      </c>
      <c r="AO28" s="289" t="str">
        <f>IF(OR(T28="Х",T28="св")," ",IF(AND(U28&gt;=0,U28&lt;3),"1"," "))</f>
        <v>1</v>
      </c>
      <c r="AP28" s="289">
        <f>COUNTIF(AH28:AO29,1)</f>
        <v>7</v>
      </c>
      <c r="AQ28" s="289">
        <f>AG28-AC28</f>
        <v>1270</v>
      </c>
      <c r="AR28" s="292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289" t="str">
        <f>COUNTIF(AG$6:AG$134,"&gt;"&amp;AG$6:AG$134)+1&amp;REPT("-"&amp;COUNTIF(AG$6:AG$134,"&gt;="&amp;AG$6:AG$134),COUNTIF(AG$6:AG$134,AG28)&gt;1)</f>
        <v>23-26</v>
      </c>
      <c r="AT28" s="288" t="str">
        <f t="shared" ref="AT28:AW28" si="14">COUNTIF(AU$6:AU$134,"&gt;"&amp;AU$6:AU$134)+1&amp;REPT("-"&amp;COUNTIF(AU$6:AU$134,"&gt;="&amp;AU$6:AU$134),COUNTIF(AU$6:AU$134,AU28)&gt;1)</f>
        <v>1-64</v>
      </c>
      <c r="AU28" s="288" t="str">
        <f t="shared" si="14"/>
        <v>1-0</v>
      </c>
      <c r="AV28" s="288" t="str">
        <f t="shared" si="14"/>
        <v>1</v>
      </c>
      <c r="AW28" s="288" t="str">
        <f t="shared" si="14"/>
        <v>53</v>
      </c>
      <c r="AX28" s="293">
        <f>IF(X28="Х","Х",IF(Y28&lt;3,B28,"Х"))</f>
        <v>12</v>
      </c>
      <c r="AY28" s="141" t="str">
        <f ca="1"/>
        <v/>
      </c>
      <c r="AZ28" s="97"/>
      <c r="BA28" s="141" t="str">
        <f ca="1"/>
        <v/>
      </c>
      <c r="BB28" s="49"/>
      <c r="BC28" s="141" t="str">
        <f ca="1"/>
        <v/>
      </c>
      <c r="BD28" s="144" t="str">
        <f ca="1"/>
        <v/>
      </c>
      <c r="BE28" s="141" t="str">
        <f ca="1"/>
        <v/>
      </c>
      <c r="BF28" s="143" t="str">
        <f ca="1"/>
        <v/>
      </c>
      <c r="BG28" s="141" t="str">
        <f ca="1"/>
        <v/>
      </c>
      <c r="BH28" s="141" t="str">
        <f ca="1"/>
        <v/>
      </c>
      <c r="BI28" s="52"/>
      <c r="BJ28" s="52"/>
      <c r="BK28" s="52"/>
      <c r="BL28" s="52"/>
      <c r="BM28" s="294">
        <v>12</v>
      </c>
      <c r="BN28" s="287">
        <v>11</v>
      </c>
      <c r="BO28" s="98" t="str">
        <f>IF(BM28&lt;BN28,BM28,"")</f>
        <v/>
      </c>
      <c r="BP28" s="124" t="str">
        <v/>
      </c>
      <c r="BQ28" s="125">
        <f ca="1">IFERROR(__xludf.DUMMYFUNCTION("""COMPUTED_VALUE"""),22)</f>
        <v>22</v>
      </c>
      <c r="BR28" s="295">
        <v>12</v>
      </c>
      <c r="BS28" s="287" t="str">
        <v>св</v>
      </c>
      <c r="BT28" s="109">
        <f>IF(BR28&lt;BS28,BR28,"")</f>
        <v>12</v>
      </c>
      <c r="BU28" s="124">
        <v>12</v>
      </c>
      <c r="BV28" s="124">
        <f ca="1">IFERROR(__xludf.DUMMYFUNCTION("""COMPUTED_VALUE"""),22)</f>
        <v>22</v>
      </c>
      <c r="BW28" s="284">
        <v>12</v>
      </c>
      <c r="BX28" s="286" t="str">
        <v xml:space="preserve"> </v>
      </c>
      <c r="BY28" s="102">
        <f t="array" ref="BY28">IF(BW28&lt;BX28,BW28,"")</f>
        <v>12</v>
      </c>
      <c r="BZ28" s="102">
        <f t="shared" si="2"/>
        <v>12</v>
      </c>
      <c r="CA28" s="63">
        <f ca="1">IFERROR(__xludf.DUMMYFUNCTION("""COMPUTED_VALUE"""),23)</f>
        <v>23</v>
      </c>
      <c r="CB28" s="63">
        <f t="shared" ca="1" si="3"/>
        <v>23</v>
      </c>
      <c r="CC28" s="128"/>
      <c r="CD28" s="159"/>
      <c r="CE28" s="286">
        <v>12</v>
      </c>
      <c r="CF28" s="296" t="str">
        <v xml:space="preserve"> </v>
      </c>
      <c r="CG28" s="98">
        <f t="array" ref="CG28">IF(CE28&lt;CF28,CE28,"")</f>
        <v>12</v>
      </c>
      <c r="CH28" s="63">
        <v>12</v>
      </c>
      <c r="CI28" s="115">
        <f ca="1">IFERROR(__xludf.DUMMYFUNCTION("""COMPUTED_VALUE"""),23)</f>
        <v>23</v>
      </c>
      <c r="CJ28" s="65">
        <v>12</v>
      </c>
      <c r="CK28" s="151" t="str">
        <v xml:space="preserve"> </v>
      </c>
      <c r="CL28" s="98">
        <f t="array" ref="CL28">IF(CJ28&lt;CK28,CJ28,"")</f>
        <v>12</v>
      </c>
      <c r="CM28" s="49">
        <v>12</v>
      </c>
      <c r="CN28" s="49">
        <f ca="1">IFERROR(__xludf.DUMMYFUNCTION("""COMPUTED_VALUE"""),23)</f>
        <v>23</v>
      </c>
      <c r="CO28" s="286">
        <v>12</v>
      </c>
      <c r="CP28" s="286" t="str">
        <v xml:space="preserve"> </v>
      </c>
      <c r="CQ28" s="98">
        <f t="array" ref="CQ28">IF(CO28&lt;CP28,CO28,"")</f>
        <v>12</v>
      </c>
      <c r="CR28" s="65">
        <v>12</v>
      </c>
      <c r="CS28" s="152">
        <f ca="1">IFERROR(__xludf.DUMMYFUNCTION("""COMPUTED_VALUE"""),23)</f>
        <v>23</v>
      </c>
      <c r="CT28" s="286">
        <v>12</v>
      </c>
      <c r="CU28" s="286" t="str">
        <v xml:space="preserve"> </v>
      </c>
      <c r="CV28" s="98">
        <f t="array" ref="CV28">IF(CT28&lt;CU28,CT28,"")</f>
        <v>12</v>
      </c>
      <c r="CW28" s="49">
        <v>12</v>
      </c>
      <c r="CX28" s="49">
        <f ca="1">IFERROR(__xludf.DUMMYFUNCTION("""COMPUTED_VALUE"""),23)</f>
        <v>23</v>
      </c>
      <c r="CY28" s="286">
        <v>12</v>
      </c>
      <c r="CZ28" s="286" t="str">
        <v xml:space="preserve"> </v>
      </c>
      <c r="DA28" s="98">
        <f t="array" ref="DA28">IF(CY28&lt;CZ28,CY28,"")</f>
        <v>12</v>
      </c>
      <c r="DB28" s="49">
        <v>12</v>
      </c>
      <c r="DC28" s="49">
        <f ca="1">IFERROR(__xludf.DUMMYFUNCTION("""COMPUTED_VALUE"""),23)</f>
        <v>23</v>
      </c>
      <c r="DD28" s="49">
        <v>12</v>
      </c>
      <c r="DE28" s="49"/>
      <c r="DF28" s="49"/>
      <c r="DG28" s="49"/>
      <c r="DH28" s="49"/>
    </row>
    <row r="29" spans="1:112" ht="13.5" customHeight="1">
      <c r="A29" s="132"/>
      <c r="B29" s="269"/>
      <c r="C29" s="269"/>
      <c r="D29" s="269"/>
      <c r="E29" s="269"/>
      <c r="F29" s="274"/>
      <c r="G29" s="106"/>
      <c r="H29" s="267"/>
      <c r="I29" s="106"/>
      <c r="J29" s="267"/>
      <c r="K29" s="106"/>
      <c r="L29" s="267"/>
      <c r="M29" s="106"/>
      <c r="N29" s="267"/>
      <c r="O29" s="106"/>
      <c r="P29" s="267"/>
      <c r="Q29" s="106"/>
      <c r="R29" s="267"/>
      <c r="S29" s="106"/>
      <c r="T29" s="267"/>
      <c r="U29" s="107"/>
      <c r="V29" s="267"/>
      <c r="W29" s="107"/>
      <c r="X29" s="267"/>
      <c r="Y29" s="106"/>
      <c r="Z29" s="267"/>
      <c r="AA29" s="106"/>
      <c r="AB29" s="274"/>
      <c r="AC29" s="269"/>
      <c r="AD29" s="267"/>
      <c r="AE29" s="279"/>
      <c r="AF29" s="281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64"/>
      <c r="AY29" s="145" t="str">
        <f ca="1"/>
        <v/>
      </c>
      <c r="AZ29" s="97"/>
      <c r="BA29" s="146" t="str">
        <f ca="1"/>
        <v/>
      </c>
      <c r="BB29" s="49"/>
      <c r="BC29" s="145" t="str">
        <f ca="1"/>
        <v/>
      </c>
      <c r="BD29" s="144" t="str">
        <f ca="1"/>
        <v/>
      </c>
      <c r="BE29" s="145" t="str">
        <f ca="1"/>
        <v/>
      </c>
      <c r="BF29" s="143" t="str">
        <f ca="1"/>
        <v/>
      </c>
      <c r="BG29" s="145" t="str">
        <f ca="1"/>
        <v/>
      </c>
      <c r="BH29" s="145" t="str">
        <f ca="1"/>
        <v/>
      </c>
      <c r="BI29" s="52"/>
      <c r="BJ29" s="52"/>
      <c r="BK29" s="52"/>
      <c r="BL29" s="52"/>
      <c r="BM29" s="285" t="str">
        <v/>
      </c>
      <c r="BN29" s="264">
        <v>0</v>
      </c>
      <c r="BO29" s="109" t="str">
        <f>IF(BO28="","",BN28)</f>
        <v/>
      </c>
      <c r="BP29" s="109" t="str">
        <v/>
      </c>
      <c r="BQ29" s="125">
        <f ca="1">IFERROR(__xludf.DUMMYFUNCTION("""COMPUTED_VALUE"""),23)</f>
        <v>23</v>
      </c>
      <c r="BR29" s="264" t="str">
        <v/>
      </c>
      <c r="BS29" s="264">
        <v>0</v>
      </c>
      <c r="BT29" s="109" t="str">
        <f>IF(BT28="","",BS28)</f>
        <v>св</v>
      </c>
      <c r="BU29" s="109">
        <v>0</v>
      </c>
      <c r="BV29" s="124">
        <f ca="1">IFERROR(__xludf.DUMMYFUNCTION("""COMPUTED_VALUE"""),24)</f>
        <v>24</v>
      </c>
      <c r="BW29" s="285" t="str">
        <v/>
      </c>
      <c r="BX29" s="264">
        <v>0</v>
      </c>
      <c r="BY29" s="102" t="str">
        <f>IF(BY28="","",BX28)</f>
        <v xml:space="preserve"> </v>
      </c>
      <c r="BZ29" s="102" t="str">
        <f t="shared" si="2"/>
        <v xml:space="preserve"> </v>
      </c>
      <c r="CA29" s="128">
        <f ca="1">IFERROR(__xludf.DUMMYFUNCTION("""COMPUTED_VALUE"""),24)</f>
        <v>24</v>
      </c>
      <c r="CB29" s="63">
        <f t="shared" ca="1" si="3"/>
        <v>24</v>
      </c>
      <c r="CC29" s="128"/>
      <c r="CD29" s="159"/>
      <c r="CE29" s="264" t="str">
        <v/>
      </c>
      <c r="CF29" s="264">
        <v>0</v>
      </c>
      <c r="CG29" s="113" t="str">
        <f>IF(CG28="","",CF28)</f>
        <v xml:space="preserve"> </v>
      </c>
      <c r="CH29" s="128" t="str">
        <v xml:space="preserve"> </v>
      </c>
      <c r="CI29" s="115">
        <f ca="1">IFERROR(__xludf.DUMMYFUNCTION("""COMPUTED_VALUE"""),24)</f>
        <v>24</v>
      </c>
      <c r="CJ29" s="49" t="str">
        <v/>
      </c>
      <c r="CK29" s="153">
        <v>0</v>
      </c>
      <c r="CL29" s="113" t="str">
        <f>IF(CL28="","",CK28)</f>
        <v xml:space="preserve"> </v>
      </c>
      <c r="CM29" s="49" t="str">
        <v xml:space="preserve"> </v>
      </c>
      <c r="CN29" s="49">
        <f ca="1">IFERROR(__xludf.DUMMYFUNCTION("""COMPUTED_VALUE"""),24)</f>
        <v>24</v>
      </c>
      <c r="CO29" s="264" t="str">
        <v/>
      </c>
      <c r="CP29" s="264">
        <v>0</v>
      </c>
      <c r="CQ29" s="113" t="str">
        <f>IF(CQ28="","",CP28)</f>
        <v xml:space="preserve"> </v>
      </c>
      <c r="CR29" s="49" t="str">
        <v xml:space="preserve"> </v>
      </c>
      <c r="CS29" s="152">
        <f ca="1">IFERROR(__xludf.DUMMYFUNCTION("""COMPUTED_VALUE"""),24)</f>
        <v>24</v>
      </c>
      <c r="CT29" s="264" t="str">
        <v/>
      </c>
      <c r="CU29" s="264">
        <v>0</v>
      </c>
      <c r="CV29" s="113" t="str">
        <f>IF(CV28="","",CU28)</f>
        <v xml:space="preserve"> </v>
      </c>
      <c r="CW29" s="49" t="str">
        <v xml:space="preserve"> </v>
      </c>
      <c r="CX29" s="49">
        <f ca="1">IFERROR(__xludf.DUMMYFUNCTION("""COMPUTED_VALUE"""),24)</f>
        <v>24</v>
      </c>
      <c r="CY29" s="264" t="str">
        <v/>
      </c>
      <c r="CZ29" s="264">
        <v>0</v>
      </c>
      <c r="DA29" s="113" t="str">
        <f>IF(DA28="","",CZ28)</f>
        <v xml:space="preserve"> </v>
      </c>
      <c r="DB29" s="49" t="str">
        <v xml:space="preserve"> </v>
      </c>
      <c r="DC29" s="49">
        <f ca="1">IFERROR(__xludf.DUMMYFUNCTION("""COMPUTED_VALUE"""),24)</f>
        <v>24</v>
      </c>
      <c r="DD29" s="49" t="str">
        <v/>
      </c>
      <c r="DE29" s="49"/>
      <c r="DF29" s="49"/>
      <c r="DG29" s="49"/>
      <c r="DH29" s="49"/>
    </row>
    <row r="30" spans="1:112" ht="13.5" customHeight="1">
      <c r="A30" s="160"/>
      <c r="B30" s="268">
        <v>13</v>
      </c>
      <c r="C30" s="270" t="str">
        <f>(VLOOKUP($B30,Пр.взв!$D$6:$J$63,2,0))</f>
        <v>КАРАТАЕВА Анастасия</v>
      </c>
      <c r="D30" s="271" t="str">
        <f>(VLOOKUP($B30,Пр.взв!$D$6:$J$63,5,0))</f>
        <v>КМС</v>
      </c>
      <c r="E30" s="272" t="str">
        <f>(VLOOKUP($B30,Пр.взв!$D$6:$M$63,8,0))</f>
        <v>Алтайский</v>
      </c>
      <c r="F30" s="273" t="s">
        <v>203</v>
      </c>
      <c r="G30" s="86"/>
      <c r="H30" s="266">
        <v>10</v>
      </c>
      <c r="I30" s="86"/>
      <c r="J30" s="266" t="str">
        <f>IF(H30="Х","Х",IF($AC30&lt;6," ","Х"))</f>
        <v xml:space="preserve"> </v>
      </c>
      <c r="K30" s="87"/>
      <c r="L30" s="266" t="str">
        <f>IF(J30="Х","Х",IF(K30&lt;3," ",IF($AC30&lt;6," ","Х")))</f>
        <v xml:space="preserve"> </v>
      </c>
      <c r="M30" s="87"/>
      <c r="N30" s="266" t="str">
        <f>IF(L30="Х","Х",IF(M30&lt;3," ",IF($AC30&lt;6," ","Х")))</f>
        <v xml:space="preserve"> </v>
      </c>
      <c r="O30" s="87"/>
      <c r="P30" s="266" t="str">
        <f>IF(N30="Х","Х",IF(O30&lt;3," ",IF($AC30&lt;6," ","Х")))</f>
        <v xml:space="preserve"> </v>
      </c>
      <c r="Q30" s="87"/>
      <c r="R30" s="266" t="str">
        <f>IF(P30="Х","Х",IF(Q30&lt;3," ",IF($AC30&lt;6," ","Х")))</f>
        <v xml:space="preserve"> </v>
      </c>
      <c r="S30" s="87"/>
      <c r="T30" s="266" t="str">
        <f>IF(R30="Х","Х",IF(S30&lt;3," ",IF($AC30&lt;6," ","Х")))</f>
        <v xml:space="preserve"> </v>
      </c>
      <c r="U30" s="88"/>
      <c r="V30" s="266" t="str">
        <f>IF(T30="Х","Х",IF(U30&lt;3," ",IF($AC30&lt;6," ","Х")))</f>
        <v xml:space="preserve"> </v>
      </c>
      <c r="W30" s="88"/>
      <c r="X30" s="266" t="str">
        <f>IF(V30="А1",$AZ$7,IF(V30="Б2",$AZ$6,IF(V30="Б1",$BA$7,IF(V30="А2",$BA$6,IF(V30="Х","Х",IF(V30&lt;6," "," "))))))</f>
        <v xml:space="preserve"> </v>
      </c>
      <c r="Y30" s="89"/>
      <c r="Z30" s="266" t="str">
        <f>IF(V30="Х","Х",IF(ISBLANK(Y30),"",IF(Y30&gt;2.5," ",IF(B30=BB$6,BB$7,BB$6))))</f>
        <v/>
      </c>
      <c r="AA30" s="89"/>
      <c r="AB30" s="290" t="str">
        <f>IF(H30="Х",F$5,IF(J30="Х",H$5,IF(L30="Х",J$5,IF(N30="Х",L$5,IF(P30="Х",N$5,IF(R30="Х",P$5,IF(T30="Х",R$5,IF(X30="Х",T$5,""))))))))</f>
        <v/>
      </c>
      <c r="AC30" s="276">
        <f>SUM(G30+I30+K30+M30+O30+Q30+S30+U30+Y30+AA30)</f>
        <v>0</v>
      </c>
      <c r="AD30" s="291" t="str">
        <f>AF30</f>
        <v>23-26</v>
      </c>
      <c r="AE30" s="278" t="str">
        <f>AD30</f>
        <v>23-26</v>
      </c>
      <c r="AF30" s="280" t="str">
        <f>COUNTIF(AG$6:AG$148,"&gt;"&amp;AG$6:AG$148)+1&amp;REPT("-"&amp;COUNTIF(AG$6:AG$148,"&gt;="&amp;AG$6:AG$148),COUNTIF(AG$6:AG$148,AG30)&gt;1)</f>
        <v>23-26</v>
      </c>
      <c r="AG30" s="282">
        <f>(AR30*100)+(AP30*10)-AC30</f>
        <v>1270</v>
      </c>
      <c r="AH30" s="288" t="str">
        <f>IF(OR(F30="Х",F30="св")," ",IF(AND(G30&gt;=0,G30&lt;3),"1"," "))</f>
        <v xml:space="preserve"> </v>
      </c>
      <c r="AI30" s="289" t="str">
        <f>IF(OR(H30="Х",H30="св")," ",IF(AND(I30&gt;=0,I30&lt;3),"1"," "))</f>
        <v>1</v>
      </c>
      <c r="AJ30" s="289" t="str">
        <f>IF(OR(J30="Х",J30="св")," ",IF(AND(K30&gt;=0,K30&lt;3),"1"," "))</f>
        <v>1</v>
      </c>
      <c r="AK30" s="289" t="str">
        <f>IF(OR(L30="Х",L30="св")," ",IF(AND(M30&gt;=0,M30&lt;3),"1"," "))</f>
        <v>1</v>
      </c>
      <c r="AL30" s="289" t="str">
        <f>IF(OR(N30="Х",N30="св")," ",IF(AND(O30&gt;=0,O30&lt;3),"1"," "))</f>
        <v>1</v>
      </c>
      <c r="AM30" s="289" t="str">
        <f>IF(OR(P30="Х",P30="св")," ",IF(AND(Q30&gt;=0,Q30&lt;3),"1"," "))</f>
        <v>1</v>
      </c>
      <c r="AN30" s="289" t="str">
        <f>IF(OR(R30="Х",R30="св")," ",IF(AND(S30&gt;=0,S30&lt;3),"1"," "))</f>
        <v>1</v>
      </c>
      <c r="AO30" s="289" t="str">
        <f>IF(OR(T30="Х",T30="св")," ",IF(AND(U30&gt;=0,U30&lt;3),"1"," "))</f>
        <v>1</v>
      </c>
      <c r="AP30" s="289">
        <f>COUNTIF(AH30:AO31,1)</f>
        <v>7</v>
      </c>
      <c r="AQ30" s="289">
        <f>AG30-AC30</f>
        <v>1270</v>
      </c>
      <c r="AR30" s="292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289" t="str">
        <f>COUNTIF(AG$6:AG$134,"&gt;"&amp;AG$6:AG$134)+1&amp;REPT("-"&amp;COUNTIF(AG$6:AG$134,"&gt;="&amp;AG$6:AG$134),COUNTIF(AG$6:AG$134,AG30)&gt;1)</f>
        <v>23-26</v>
      </c>
      <c r="AT30" s="288" t="str">
        <f t="shared" ref="AT30:AW30" si="15">COUNTIF(AU$6:AU$134,"&gt;"&amp;AU$6:AU$134)+1&amp;REPT("-"&amp;COUNTIF(AU$6:AU$134,"&gt;="&amp;AU$6:AU$134),COUNTIF(AU$6:AU$134,AU30)&gt;1)</f>
        <v>1-64</v>
      </c>
      <c r="AU30" s="288" t="str">
        <f t="shared" si="15"/>
        <v>1-0</v>
      </c>
      <c r="AV30" s="288" t="str">
        <f t="shared" si="15"/>
        <v>1</v>
      </c>
      <c r="AW30" s="288" t="str">
        <f t="shared" si="15"/>
        <v>52</v>
      </c>
      <c r="AX30" s="293">
        <f>IF(X30="Х","Х",IF(Y30&lt;3,B30,"Х"))</f>
        <v>13</v>
      </c>
      <c r="AY30" s="141" t="str">
        <f ca="1"/>
        <v/>
      </c>
      <c r="AZ30" s="97"/>
      <c r="BA30" s="141" t="str">
        <f ca="1"/>
        <v/>
      </c>
      <c r="BB30" s="49"/>
      <c r="BC30" s="141" t="str">
        <f ca="1"/>
        <v/>
      </c>
      <c r="BD30" s="144" t="str">
        <f ca="1"/>
        <v/>
      </c>
      <c r="BE30" s="141" t="str">
        <f ca="1"/>
        <v/>
      </c>
      <c r="BF30" s="143" t="str">
        <f ca="1"/>
        <v/>
      </c>
      <c r="BG30" s="141" t="str">
        <f ca="1"/>
        <v/>
      </c>
      <c r="BH30" s="141" t="str">
        <f ca="1"/>
        <v/>
      </c>
      <c r="BI30" s="52"/>
      <c r="BJ30" s="52"/>
      <c r="BK30" s="52"/>
      <c r="BL30" s="52"/>
      <c r="BM30" s="294">
        <v>13</v>
      </c>
      <c r="BN30" s="287" t="str">
        <v>св</v>
      </c>
      <c r="BO30" s="98">
        <f>IF(BM30&lt;BN30,BM30,"")</f>
        <v>13</v>
      </c>
      <c r="BP30" s="124">
        <v>13</v>
      </c>
      <c r="BQ30" s="125">
        <f ca="1">IFERROR(__xludf.DUMMYFUNCTION("""COMPUTED_VALUE"""),24)</f>
        <v>24</v>
      </c>
      <c r="BR30" s="295">
        <v>13</v>
      </c>
      <c r="BS30" s="287">
        <v>10</v>
      </c>
      <c r="BT30" s="109" t="str">
        <f>IF(BR30&lt;BS30,BR30,"")</f>
        <v/>
      </c>
      <c r="BU30" s="124" t="str">
        <v/>
      </c>
      <c r="BV30" s="124">
        <f ca="1">IFERROR(__xludf.DUMMYFUNCTION("""COMPUTED_VALUE"""),23)</f>
        <v>23</v>
      </c>
      <c r="BW30" s="284">
        <v>13</v>
      </c>
      <c r="BX30" s="286" t="str">
        <v xml:space="preserve"> </v>
      </c>
      <c r="BY30" s="102">
        <f t="array" ref="BY30">IF(BW30&lt;BX30,BW30,"")</f>
        <v>13</v>
      </c>
      <c r="BZ30" s="102">
        <f t="shared" si="2"/>
        <v>13</v>
      </c>
      <c r="CA30" s="63">
        <f ca="1">IFERROR(__xludf.DUMMYFUNCTION("""COMPUTED_VALUE"""),25)</f>
        <v>25</v>
      </c>
      <c r="CB30" s="63">
        <f t="shared" ca="1" si="3"/>
        <v>25</v>
      </c>
      <c r="CC30" s="128"/>
      <c r="CD30" s="159"/>
      <c r="CE30" s="286">
        <v>13</v>
      </c>
      <c r="CF30" s="296" t="str">
        <v xml:space="preserve"> </v>
      </c>
      <c r="CG30" s="98">
        <f t="array" ref="CG30">IF(CE30&lt;CF30,CE30,"")</f>
        <v>13</v>
      </c>
      <c r="CH30" s="63">
        <v>13</v>
      </c>
      <c r="CI30" s="115">
        <f ca="1">IFERROR(__xludf.DUMMYFUNCTION("""COMPUTED_VALUE"""),25)</f>
        <v>25</v>
      </c>
      <c r="CJ30" s="65">
        <v>13</v>
      </c>
      <c r="CK30" s="151" t="str">
        <v xml:space="preserve"> </v>
      </c>
      <c r="CL30" s="98">
        <f t="array" ref="CL30">IF(CJ30&lt;CK30,CJ30,"")</f>
        <v>13</v>
      </c>
      <c r="CM30" s="49">
        <v>13</v>
      </c>
      <c r="CN30" s="49">
        <f ca="1">IFERROR(__xludf.DUMMYFUNCTION("""COMPUTED_VALUE"""),25)</f>
        <v>25</v>
      </c>
      <c r="CO30" s="286">
        <v>13</v>
      </c>
      <c r="CP30" s="286" t="str">
        <v xml:space="preserve"> </v>
      </c>
      <c r="CQ30" s="98">
        <f t="array" ref="CQ30">IF(CO30&lt;CP30,CO30,"")</f>
        <v>13</v>
      </c>
      <c r="CR30" s="65">
        <v>13</v>
      </c>
      <c r="CS30" s="152">
        <f ca="1">IFERROR(__xludf.DUMMYFUNCTION("""COMPUTED_VALUE"""),25)</f>
        <v>25</v>
      </c>
      <c r="CT30" s="286">
        <v>13</v>
      </c>
      <c r="CU30" s="286" t="str">
        <v xml:space="preserve"> </v>
      </c>
      <c r="CV30" s="98">
        <f t="array" ref="CV30">IF(CT30&lt;CU30,CT30,"")</f>
        <v>13</v>
      </c>
      <c r="CW30" s="49">
        <v>13</v>
      </c>
      <c r="CX30" s="49">
        <f ca="1">IFERROR(__xludf.DUMMYFUNCTION("""COMPUTED_VALUE"""),25)</f>
        <v>25</v>
      </c>
      <c r="CY30" s="286">
        <v>13</v>
      </c>
      <c r="CZ30" s="286" t="str">
        <v xml:space="preserve"> </v>
      </c>
      <c r="DA30" s="98">
        <f t="array" ref="DA30">IF(CY30&lt;CZ30,CY30,"")</f>
        <v>13</v>
      </c>
      <c r="DB30" s="49">
        <v>13</v>
      </c>
      <c r="DC30" s="49">
        <f ca="1">IFERROR(__xludf.DUMMYFUNCTION("""COMPUTED_VALUE"""),25)</f>
        <v>25</v>
      </c>
      <c r="DD30" s="49">
        <v>13</v>
      </c>
      <c r="DE30" s="49"/>
      <c r="DF30" s="49"/>
      <c r="DG30" s="49"/>
      <c r="DH30" s="49"/>
    </row>
    <row r="31" spans="1:112" ht="13.5" customHeight="1">
      <c r="A31" s="160"/>
      <c r="B31" s="269"/>
      <c r="C31" s="269"/>
      <c r="D31" s="269"/>
      <c r="E31" s="269"/>
      <c r="F31" s="274"/>
      <c r="G31" s="106"/>
      <c r="H31" s="267"/>
      <c r="I31" s="106"/>
      <c r="J31" s="267"/>
      <c r="K31" s="106"/>
      <c r="L31" s="267"/>
      <c r="M31" s="106"/>
      <c r="N31" s="267"/>
      <c r="O31" s="106"/>
      <c r="P31" s="267"/>
      <c r="Q31" s="106"/>
      <c r="R31" s="267"/>
      <c r="S31" s="106"/>
      <c r="T31" s="267"/>
      <c r="U31" s="107"/>
      <c r="V31" s="267"/>
      <c r="W31" s="107"/>
      <c r="X31" s="267"/>
      <c r="Y31" s="106"/>
      <c r="Z31" s="267"/>
      <c r="AA31" s="106"/>
      <c r="AB31" s="274"/>
      <c r="AC31" s="269"/>
      <c r="AD31" s="267"/>
      <c r="AE31" s="279"/>
      <c r="AF31" s="281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64"/>
      <c r="AY31" s="145" t="str">
        <f ca="1"/>
        <v/>
      </c>
      <c r="AZ31" s="97"/>
      <c r="BA31" s="146" t="str">
        <f ca="1"/>
        <v/>
      </c>
      <c r="BB31" s="49"/>
      <c r="BC31" s="145" t="str">
        <f ca="1"/>
        <v/>
      </c>
      <c r="BD31" s="144" t="str">
        <f ca="1"/>
        <v/>
      </c>
      <c r="BE31" s="145" t="str">
        <f ca="1"/>
        <v/>
      </c>
      <c r="BF31" s="143" t="str">
        <f ca="1"/>
        <v/>
      </c>
      <c r="BG31" s="145" t="str">
        <f ca="1"/>
        <v/>
      </c>
      <c r="BH31" s="145" t="str">
        <f ca="1"/>
        <v/>
      </c>
      <c r="BI31" s="49"/>
      <c r="BJ31" s="49"/>
      <c r="BK31" s="49"/>
      <c r="BL31" s="49"/>
      <c r="BM31" s="285" t="str">
        <v/>
      </c>
      <c r="BN31" s="264">
        <v>0</v>
      </c>
      <c r="BO31" s="109" t="str">
        <f>IF(BO30="","",BN30)</f>
        <v>св</v>
      </c>
      <c r="BP31" s="109">
        <v>0</v>
      </c>
      <c r="BQ31" s="125">
        <f ca="1">IFERROR(__xludf.DUMMYFUNCTION("""COMPUTED_VALUE"""),25)</f>
        <v>25</v>
      </c>
      <c r="BR31" s="264" t="str">
        <v/>
      </c>
      <c r="BS31" s="264">
        <v>0</v>
      </c>
      <c r="BT31" s="109" t="str">
        <f>IF(BT30="","",BS30)</f>
        <v/>
      </c>
      <c r="BU31" s="109" t="str">
        <v/>
      </c>
      <c r="BV31" s="124">
        <f ca="1">IFERROR(__xludf.DUMMYFUNCTION("""COMPUTED_VALUE"""),26)</f>
        <v>26</v>
      </c>
      <c r="BW31" s="285" t="str">
        <v/>
      </c>
      <c r="BX31" s="264">
        <v>0</v>
      </c>
      <c r="BY31" s="102" t="str">
        <f>IF(BY30="","",BX30)</f>
        <v xml:space="preserve"> </v>
      </c>
      <c r="BZ31" s="102" t="str">
        <f t="shared" si="2"/>
        <v xml:space="preserve"> </v>
      </c>
      <c r="CA31" s="128">
        <f ca="1">IFERROR(__xludf.DUMMYFUNCTION("""COMPUTED_VALUE"""),26)</f>
        <v>26</v>
      </c>
      <c r="CB31" s="63">
        <f t="shared" ca="1" si="3"/>
        <v>26</v>
      </c>
      <c r="CC31" s="128"/>
      <c r="CD31" s="159"/>
      <c r="CE31" s="264" t="str">
        <v/>
      </c>
      <c r="CF31" s="264">
        <v>0</v>
      </c>
      <c r="CG31" s="113" t="str">
        <f>IF(CG30="","",CF30)</f>
        <v xml:space="preserve"> </v>
      </c>
      <c r="CH31" s="128" t="str">
        <v xml:space="preserve"> </v>
      </c>
      <c r="CI31" s="115">
        <f ca="1">IFERROR(__xludf.DUMMYFUNCTION("""COMPUTED_VALUE"""),26)</f>
        <v>26</v>
      </c>
      <c r="CJ31" s="49" t="str">
        <v/>
      </c>
      <c r="CK31" s="153">
        <v>0</v>
      </c>
      <c r="CL31" s="113" t="str">
        <f>IF(CL30="","",CK30)</f>
        <v xml:space="preserve"> </v>
      </c>
      <c r="CM31" s="49" t="str">
        <v xml:space="preserve"> </v>
      </c>
      <c r="CN31" s="49">
        <f ca="1">IFERROR(__xludf.DUMMYFUNCTION("""COMPUTED_VALUE"""),26)</f>
        <v>26</v>
      </c>
      <c r="CO31" s="264" t="str">
        <v/>
      </c>
      <c r="CP31" s="264">
        <v>0</v>
      </c>
      <c r="CQ31" s="113" t="str">
        <f>IF(CQ30="","",CP30)</f>
        <v xml:space="preserve"> </v>
      </c>
      <c r="CR31" s="49" t="str">
        <v xml:space="preserve"> </v>
      </c>
      <c r="CS31" s="152">
        <f ca="1">IFERROR(__xludf.DUMMYFUNCTION("""COMPUTED_VALUE"""),26)</f>
        <v>26</v>
      </c>
      <c r="CT31" s="264" t="str">
        <v/>
      </c>
      <c r="CU31" s="264">
        <v>0</v>
      </c>
      <c r="CV31" s="113" t="str">
        <f>IF(CV30="","",CU30)</f>
        <v xml:space="preserve"> </v>
      </c>
      <c r="CW31" s="49" t="str">
        <v xml:space="preserve"> </v>
      </c>
      <c r="CX31" s="49">
        <f ca="1">IFERROR(__xludf.DUMMYFUNCTION("""COMPUTED_VALUE"""),26)</f>
        <v>26</v>
      </c>
      <c r="CY31" s="264" t="str">
        <v/>
      </c>
      <c r="CZ31" s="264">
        <v>0</v>
      </c>
      <c r="DA31" s="113" t="str">
        <f>IF(DA30="","",CZ30)</f>
        <v xml:space="preserve"> </v>
      </c>
      <c r="DB31" s="49" t="str">
        <v xml:space="preserve"> </v>
      </c>
      <c r="DC31" s="49">
        <f ca="1">IFERROR(__xludf.DUMMYFUNCTION("""COMPUTED_VALUE"""),26)</f>
        <v>26</v>
      </c>
      <c r="DD31" s="49" t="str">
        <v/>
      </c>
      <c r="DE31" s="49"/>
      <c r="DF31" s="49"/>
      <c r="DG31" s="49"/>
      <c r="DH31" s="49"/>
    </row>
    <row r="32" spans="1:112" ht="13.5" customHeight="1">
      <c r="A32" s="160"/>
      <c r="B32" s="297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98"/>
      <c r="AE32" s="90"/>
      <c r="AF32" s="161"/>
      <c r="AG32" s="162"/>
      <c r="AH32" s="163"/>
      <c r="AI32" s="164"/>
      <c r="AJ32" s="164"/>
      <c r="AK32" s="164"/>
      <c r="AL32" s="164"/>
      <c r="AM32" s="164"/>
      <c r="AN32" s="164"/>
      <c r="AO32" s="164"/>
      <c r="AP32" s="164"/>
      <c r="AQ32" s="164"/>
      <c r="AR32" s="165"/>
      <c r="AS32" s="164"/>
      <c r="AT32" s="163"/>
      <c r="AU32" s="163"/>
      <c r="AV32" s="163"/>
      <c r="AW32" s="163"/>
      <c r="AX32" s="91"/>
      <c r="AY32" s="145" t="str">
        <f ca="1"/>
        <v/>
      </c>
      <c r="AZ32" s="97"/>
      <c r="BA32" s="146" t="str">
        <f ca="1"/>
        <v/>
      </c>
      <c r="BB32" s="49"/>
      <c r="BC32" s="145" t="str">
        <f ca="1"/>
        <v/>
      </c>
      <c r="BD32" s="144" t="str">
        <f ca="1"/>
        <v/>
      </c>
      <c r="BE32" s="145" t="str">
        <f ca="1"/>
        <v/>
      </c>
      <c r="BF32" s="143" t="str">
        <f ca="1"/>
        <v/>
      </c>
      <c r="BG32" s="145" t="str">
        <f ca="1"/>
        <v/>
      </c>
      <c r="BH32" s="145" t="str">
        <f ca="1"/>
        <v/>
      </c>
      <c r="BI32" s="49"/>
      <c r="BJ32" s="49"/>
      <c r="BK32" s="49"/>
      <c r="BL32" s="49"/>
      <c r="BM32" s="123" t="str">
        <v/>
      </c>
      <c r="BN32" s="124">
        <v>0</v>
      </c>
      <c r="BO32" s="109"/>
      <c r="BP32" s="109">
        <v>0</v>
      </c>
      <c r="BQ32" s="125">
        <f ca="1">IFERROR(__xludf.DUMMYFUNCTION("""COMPUTED_VALUE"""),26)</f>
        <v>26</v>
      </c>
      <c r="BR32" s="126" t="str">
        <v/>
      </c>
      <c r="BS32" s="124">
        <v>0</v>
      </c>
      <c r="BT32" s="109"/>
      <c r="BU32" s="109">
        <v>0</v>
      </c>
      <c r="BV32" s="124">
        <f ca="1">IFERROR(__xludf.DUMMYFUNCTION("""COMPUTED_VALUE"""),25)</f>
        <v>25</v>
      </c>
      <c r="BW32" s="127" t="str">
        <v/>
      </c>
      <c r="BX32" s="63">
        <v>0</v>
      </c>
      <c r="BY32" s="102"/>
      <c r="BZ32" s="63"/>
      <c r="CA32" s="128">
        <f ca="1">IFERROR(__xludf.DUMMYFUNCTION("""COMPUTED_VALUE"""),27)</f>
        <v>27</v>
      </c>
      <c r="CB32" s="63"/>
      <c r="CC32" s="128"/>
      <c r="CD32" s="159"/>
      <c r="CE32" s="128" t="str">
        <v/>
      </c>
      <c r="CF32" s="23">
        <v>0</v>
      </c>
      <c r="CG32" s="109"/>
      <c r="CH32" s="128">
        <v>0</v>
      </c>
      <c r="CI32" s="115">
        <f ca="1">IFERROR(__xludf.DUMMYFUNCTION("""COMPUTED_VALUE"""),27)</f>
        <v>27</v>
      </c>
      <c r="CJ32" s="49" t="str">
        <v/>
      </c>
      <c r="CK32" s="153">
        <v>0</v>
      </c>
      <c r="CL32" s="109"/>
      <c r="CM32" s="49">
        <v>0</v>
      </c>
      <c r="CN32" s="49">
        <f ca="1">IFERROR(__xludf.DUMMYFUNCTION("""COMPUTED_VALUE"""),27)</f>
        <v>27</v>
      </c>
      <c r="CO32" s="63" t="str">
        <v/>
      </c>
      <c r="CP32" s="128">
        <v>0</v>
      </c>
      <c r="CQ32" s="109"/>
      <c r="CR32" s="49">
        <v>0</v>
      </c>
      <c r="CS32" s="152">
        <f ca="1">IFERROR(__xludf.DUMMYFUNCTION("""COMPUTED_VALUE"""),27)</f>
        <v>27</v>
      </c>
      <c r="CT32" s="128" t="str">
        <v/>
      </c>
      <c r="CU32" s="63">
        <v>0</v>
      </c>
      <c r="CV32" s="109"/>
      <c r="CW32" s="49">
        <v>0</v>
      </c>
      <c r="CX32" s="49">
        <f ca="1">IFERROR(__xludf.DUMMYFUNCTION("""COMPUTED_VALUE"""),27)</f>
        <v>27</v>
      </c>
      <c r="CY32" s="128" t="str">
        <v/>
      </c>
      <c r="CZ32" s="63">
        <v>0</v>
      </c>
      <c r="DA32" s="109"/>
      <c r="DB32" s="49">
        <v>0</v>
      </c>
      <c r="DC32" s="49">
        <f ca="1">IFERROR(__xludf.DUMMYFUNCTION("""COMPUTED_VALUE"""),27)</f>
        <v>27</v>
      </c>
      <c r="DD32" s="49" t="str">
        <v/>
      </c>
      <c r="DE32" s="49"/>
      <c r="DF32" s="49"/>
      <c r="DG32" s="49"/>
      <c r="DH32" s="49"/>
    </row>
    <row r="33" spans="1:112" ht="13.5" customHeight="1">
      <c r="A33" s="78"/>
      <c r="B33" s="268">
        <v>14</v>
      </c>
      <c r="C33" s="270" t="str">
        <f>(VLOOKUP($B33,Пр.взв!$D$6:$J$63,2,0))</f>
        <v xml:space="preserve">ИЗМАЛКОВА  Анастасия </v>
      </c>
      <c r="D33" s="271" t="str">
        <f>(VLOOKUP($B33,Пр.взв!$D$6:$J$63,5,0))</f>
        <v>КМС</v>
      </c>
      <c r="E33" s="272" t="str">
        <f>(VLOOKUP($B33,Пр.взв!$D$6:$M$63,8,0))</f>
        <v>Московская</v>
      </c>
      <c r="F33" s="273">
        <v>15</v>
      </c>
      <c r="G33" s="86"/>
      <c r="H33" s="266">
        <v>16</v>
      </c>
      <c r="I33" s="86"/>
      <c r="J33" s="266" t="str">
        <f>IF(H33="Х","Х",IF($AC33&lt;6," ","Х"))</f>
        <v xml:space="preserve"> </v>
      </c>
      <c r="K33" s="87"/>
      <c r="L33" s="266" t="str">
        <f>IF(J33="Х","Х",IF(K33&lt;3," ",IF($AC33&lt;6," ","Х")))</f>
        <v xml:space="preserve"> </v>
      </c>
      <c r="M33" s="87"/>
      <c r="N33" s="266" t="str">
        <f>IF(L33="Х","Х",IF(M33&lt;3," ",IF($AC33&lt;6," ","Х")))</f>
        <v xml:space="preserve"> </v>
      </c>
      <c r="O33" s="87"/>
      <c r="P33" s="266" t="str">
        <f>IF(N33="Х","Х",IF(O33&lt;3," ",IF($AC33&lt;6," ","Х")))</f>
        <v xml:space="preserve"> </v>
      </c>
      <c r="Q33" s="87"/>
      <c r="R33" s="266" t="str">
        <f>IF(P33="Х","Х",IF(Q33&lt;3," ",IF($AC33&lt;6," ","Х")))</f>
        <v xml:space="preserve"> </v>
      </c>
      <c r="S33" s="87"/>
      <c r="T33" s="266" t="str">
        <f>IF(R33="Х","Х",IF(S33&lt;3," ",IF($AC33&lt;6," ","Х")))</f>
        <v xml:space="preserve"> </v>
      </c>
      <c r="U33" s="88"/>
      <c r="V33" s="266" t="str">
        <f>IF(T33="Х","Х",IF(U33&lt;3," ",IF($AC33&lt;6," ","Х")))</f>
        <v xml:space="preserve"> </v>
      </c>
      <c r="W33" s="88"/>
      <c r="X33" s="266" t="str">
        <f>IF(V33="А1",$AZ$7,IF(V33="Б2",$AZ$6,IF(V33="Б1",$BA$7,IF(V33="А2",$BA$6,IF(V33="Х","Х",IF(V33&lt;6," "," "))))))</f>
        <v xml:space="preserve"> </v>
      </c>
      <c r="Y33" s="89"/>
      <c r="Z33" s="266" t="str">
        <f>IF(V33="Х","Х",IF(ISBLANK(Y33),"",IF(Y33&gt;2.5," ",IF(B33=BB$6,BB$7,BB$6))))</f>
        <v/>
      </c>
      <c r="AA33" s="89"/>
      <c r="AB33" s="290" t="str">
        <f>IF(H33="Х",F$5,IF(J33="Х",H$5,IF(L33="Х",J$5,IF(N33="Х",L$5,IF(P33="Х",N$5,IF(R33="Х",P$5,IF(T33="Х",R$5,IF(X33="Х",T$5,""))))))))</f>
        <v/>
      </c>
      <c r="AC33" s="276">
        <f>SUM(G33+I33+K33+M33+O33+Q33+S33+U33+Y33+AA33)</f>
        <v>0</v>
      </c>
      <c r="AD33" s="291" t="str">
        <f>AF33</f>
        <v>1-22</v>
      </c>
      <c r="AE33" s="278" t="str">
        <f>AD33</f>
        <v>1-22</v>
      </c>
      <c r="AF33" s="280" t="str">
        <f>COUNTIF(AG$6:AG$148,"&gt;"&amp;AG$6:AG$148)+1&amp;REPT("-"&amp;COUNTIF(AG$6:AG$148,"&gt;="&amp;AG$6:AG$148),COUNTIF(AG$6:AG$148,AG33)&gt;1)</f>
        <v>1-22</v>
      </c>
      <c r="AG33" s="282">
        <f>(AR33*100)+(AP33*10)-AC33</f>
        <v>1280</v>
      </c>
      <c r="AH33" s="288" t="str">
        <f>IF(OR(F33="Х",F33="св")," ",IF(AND(G33&gt;=0,G33&lt;3),"1"," "))</f>
        <v>1</v>
      </c>
      <c r="AI33" s="289" t="str">
        <f>IF(OR(H33="Х",H33="св")," ",IF(AND(I33&gt;=0,I33&lt;3),"1"," "))</f>
        <v>1</v>
      </c>
      <c r="AJ33" s="289" t="str">
        <f>IF(OR(J33="Х",J33="св")," ",IF(AND(K33&gt;=0,K33&lt;3),"1"," "))</f>
        <v>1</v>
      </c>
      <c r="AK33" s="289" t="str">
        <f>IF(OR(L33="Х",L33="св")," ",IF(AND(M33&gt;=0,M33&lt;3),"1"," "))</f>
        <v>1</v>
      </c>
      <c r="AL33" s="289" t="str">
        <f>IF(OR(N33="Х",N33="св")," ",IF(AND(O33&gt;=0,O33&lt;3),"1"," "))</f>
        <v>1</v>
      </c>
      <c r="AM33" s="289" t="str">
        <f>IF(OR(P33="Х",P33="св")," ",IF(AND(Q33&gt;=0,Q33&lt;3),"1"," "))</f>
        <v>1</v>
      </c>
      <c r="AN33" s="289" t="str">
        <f>IF(OR(R33="Х",R33="св")," ",IF(AND(S33&gt;=0,S33&lt;3),"1"," "))</f>
        <v>1</v>
      </c>
      <c r="AO33" s="289" t="str">
        <f>IF(OR(T33="Х",T33="св")," ",IF(AND(U33&gt;=0,U33&lt;3),"1"," "))</f>
        <v>1</v>
      </c>
      <c r="AP33" s="289">
        <f>COUNTIF(AH33:AO34,1)</f>
        <v>8</v>
      </c>
      <c r="AQ33" s="289">
        <f>AG33-AC33</f>
        <v>1280</v>
      </c>
      <c r="AR33" s="292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289" t="str">
        <f>COUNTIF(AG$6:AG$134,"&gt;"&amp;AG$6:AG$134)+1&amp;REPT("-"&amp;COUNTIF(AG$6:AG$134,"&gt;="&amp;AG$6:AG$134),COUNTIF(AG$6:AG$134,AG33)&gt;1)</f>
        <v>1-22</v>
      </c>
      <c r="AT33" s="288" t="str">
        <f t="shared" ref="AT33:AW33" si="16">COUNTIF(AU$6:AU$134,"&gt;"&amp;AU$6:AU$134)+1&amp;REPT("-"&amp;COUNTIF(AU$6:AU$134,"&gt;="&amp;AU$6:AU$134),COUNTIF(AU$6:AU$134,AU33)&gt;1)</f>
        <v>1-64</v>
      </c>
      <c r="AU33" s="288" t="str">
        <f t="shared" si="16"/>
        <v>1-0</v>
      </c>
      <c r="AV33" s="288" t="str">
        <f t="shared" si="16"/>
        <v>1</v>
      </c>
      <c r="AW33" s="288" t="str">
        <f t="shared" si="16"/>
        <v>51</v>
      </c>
      <c r="AX33" s="293">
        <f>IF(X33="Х","Х",IF(Y33&lt;3,B33,"Х"))</f>
        <v>14</v>
      </c>
      <c r="AY33" s="141" t="str">
        <f ca="1"/>
        <v/>
      </c>
      <c r="AZ33" s="97"/>
      <c r="BA33" s="141" t="str">
        <f ca="1"/>
        <v/>
      </c>
      <c r="BB33" s="49"/>
      <c r="BC33" s="141" t="str">
        <f ca="1"/>
        <v/>
      </c>
      <c r="BD33" s="144" t="str">
        <f ca="1"/>
        <v/>
      </c>
      <c r="BE33" s="141" t="str">
        <f ca="1"/>
        <v/>
      </c>
      <c r="BF33" s="143" t="str">
        <f ca="1"/>
        <v/>
      </c>
      <c r="BG33" s="141" t="str">
        <f ca="1"/>
        <v/>
      </c>
      <c r="BH33" s="141" t="str">
        <f ca="1"/>
        <v/>
      </c>
      <c r="BI33" s="49"/>
      <c r="BJ33" s="49"/>
      <c r="BK33" s="49"/>
      <c r="BL33" s="49"/>
      <c r="BM33" s="294">
        <v>14</v>
      </c>
      <c r="BN33" s="287">
        <v>15</v>
      </c>
      <c r="BO33" s="98">
        <f>IF(BM33&lt;BN33,BM33,"")</f>
        <v>14</v>
      </c>
      <c r="BP33" s="124">
        <v>14</v>
      </c>
      <c r="BQ33" s="125">
        <f ca="1">IFERROR(__xludf.DUMMYFUNCTION("""COMPUTED_VALUE"""),0)</f>
        <v>0</v>
      </c>
      <c r="BR33" s="295">
        <v>14</v>
      </c>
      <c r="BS33" s="287">
        <v>16</v>
      </c>
      <c r="BT33" s="109">
        <f>IF(BR33&lt;BS33,BR33,"")</f>
        <v>14</v>
      </c>
      <c r="BU33" s="124">
        <v>14</v>
      </c>
      <c r="BV33" s="124">
        <f ca="1">IFERROR(__xludf.DUMMYFUNCTION("""COMPUTED_VALUE"""),0)</f>
        <v>0</v>
      </c>
      <c r="BW33" s="284">
        <v>14</v>
      </c>
      <c r="BX33" s="286" t="str">
        <v xml:space="preserve"> </v>
      </c>
      <c r="BY33" s="102">
        <f t="array" ref="BY33">IF(BW33&lt;BX33,BW33,"")</f>
        <v>14</v>
      </c>
      <c r="BZ33" s="102">
        <f t="shared" ref="BZ33:BZ147" si="17">IF(BY33="св",0,BY33)</f>
        <v>14</v>
      </c>
      <c r="CA33" s="63">
        <f ca="1">IFERROR(__xludf.DUMMYFUNCTION("""COMPUTED_VALUE"""),28)</f>
        <v>28</v>
      </c>
      <c r="CB33" s="63">
        <f t="shared" ref="CB33:CB147" ca="1" si="18">IF(CA33=0,"св",CA33)</f>
        <v>28</v>
      </c>
      <c r="CC33" s="128"/>
      <c r="CD33" s="159"/>
      <c r="CE33" s="286">
        <v>14</v>
      </c>
      <c r="CF33" s="296" t="str">
        <v xml:space="preserve"> </v>
      </c>
      <c r="CG33" s="98">
        <f t="array" ref="CG33">IF(CE33&lt;CF33,CE33,"")</f>
        <v>14</v>
      </c>
      <c r="CH33" s="63">
        <v>14</v>
      </c>
      <c r="CI33" s="115">
        <f ca="1">IFERROR(__xludf.DUMMYFUNCTION("""COMPUTED_VALUE"""),28)</f>
        <v>28</v>
      </c>
      <c r="CJ33" s="65">
        <v>14</v>
      </c>
      <c r="CK33" s="151" t="str">
        <v xml:space="preserve"> </v>
      </c>
      <c r="CL33" s="98">
        <f t="array" ref="CL33">IF(CJ33&lt;CK33,CJ33,"")</f>
        <v>14</v>
      </c>
      <c r="CM33" s="49">
        <v>14</v>
      </c>
      <c r="CN33" s="49">
        <f ca="1">IFERROR(__xludf.DUMMYFUNCTION("""COMPUTED_VALUE"""),28)</f>
        <v>28</v>
      </c>
      <c r="CO33" s="286">
        <v>14</v>
      </c>
      <c r="CP33" s="286" t="str">
        <v xml:space="preserve"> </v>
      </c>
      <c r="CQ33" s="98">
        <f t="array" ref="CQ33">IF(CO33&lt;CP33,CO33,"")</f>
        <v>14</v>
      </c>
      <c r="CR33" s="65">
        <v>14</v>
      </c>
      <c r="CS33" s="152">
        <f ca="1">IFERROR(__xludf.DUMMYFUNCTION("""COMPUTED_VALUE"""),28)</f>
        <v>28</v>
      </c>
      <c r="CT33" s="286">
        <v>14</v>
      </c>
      <c r="CU33" s="286" t="str">
        <v xml:space="preserve"> </v>
      </c>
      <c r="CV33" s="98">
        <f t="array" ref="CV33">IF(CT33&lt;CU33,CT33,"")</f>
        <v>14</v>
      </c>
      <c r="CW33" s="49">
        <v>14</v>
      </c>
      <c r="CX33" s="49">
        <f ca="1">IFERROR(__xludf.DUMMYFUNCTION("""COMPUTED_VALUE"""),28)</f>
        <v>28</v>
      </c>
      <c r="CY33" s="286">
        <v>14</v>
      </c>
      <c r="CZ33" s="286" t="str">
        <v xml:space="preserve"> </v>
      </c>
      <c r="DA33" s="98">
        <f t="array" ref="DA33">IF(CY33&lt;CZ33,CY33,"")</f>
        <v>14</v>
      </c>
      <c r="DB33" s="49">
        <v>14</v>
      </c>
      <c r="DC33" s="49">
        <f ca="1">IFERROR(__xludf.DUMMYFUNCTION("""COMPUTED_VALUE"""),28)</f>
        <v>28</v>
      </c>
      <c r="DD33" s="49">
        <v>14</v>
      </c>
      <c r="DE33" s="49"/>
      <c r="DF33" s="49"/>
      <c r="DG33" s="49"/>
      <c r="DH33" s="49"/>
    </row>
    <row r="34" spans="1:112" ht="13.5" customHeight="1">
      <c r="A34" s="78"/>
      <c r="B34" s="269"/>
      <c r="C34" s="269"/>
      <c r="D34" s="269"/>
      <c r="E34" s="269"/>
      <c r="F34" s="274"/>
      <c r="G34" s="106"/>
      <c r="H34" s="267"/>
      <c r="I34" s="106"/>
      <c r="J34" s="267"/>
      <c r="K34" s="106"/>
      <c r="L34" s="267"/>
      <c r="M34" s="106"/>
      <c r="N34" s="267"/>
      <c r="O34" s="106"/>
      <c r="P34" s="267"/>
      <c r="Q34" s="106"/>
      <c r="R34" s="267"/>
      <c r="S34" s="106"/>
      <c r="T34" s="267"/>
      <c r="U34" s="107"/>
      <c r="V34" s="267"/>
      <c r="W34" s="107"/>
      <c r="X34" s="267"/>
      <c r="Y34" s="106"/>
      <c r="Z34" s="267"/>
      <c r="AA34" s="106"/>
      <c r="AB34" s="274"/>
      <c r="AC34" s="269"/>
      <c r="AD34" s="267"/>
      <c r="AE34" s="279"/>
      <c r="AF34" s="281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64"/>
      <c r="AY34" s="145" t="str">
        <f ca="1"/>
        <v/>
      </c>
      <c r="AZ34" s="97"/>
      <c r="BA34" s="146" t="str">
        <f ca="1"/>
        <v/>
      </c>
      <c r="BB34" s="49"/>
      <c r="BC34" s="145" t="str">
        <f ca="1"/>
        <v/>
      </c>
      <c r="BD34" s="144" t="str">
        <f ca="1"/>
        <v/>
      </c>
      <c r="BE34" s="145" t="str">
        <f ca="1"/>
        <v/>
      </c>
      <c r="BF34" s="143" t="str">
        <f ca="1"/>
        <v/>
      </c>
      <c r="BG34" s="145" t="str">
        <f ca="1"/>
        <v/>
      </c>
      <c r="BH34" s="145" t="str">
        <f ca="1"/>
        <v/>
      </c>
      <c r="BI34" s="49"/>
      <c r="BJ34" s="49"/>
      <c r="BK34" s="49"/>
      <c r="BL34" s="49"/>
      <c r="BM34" s="285" t="str">
        <v/>
      </c>
      <c r="BN34" s="264">
        <v>0</v>
      </c>
      <c r="BO34" s="109">
        <f>IF(BO33="","",BN33)</f>
        <v>15</v>
      </c>
      <c r="BP34" s="109">
        <v>15</v>
      </c>
      <c r="BQ34" s="125"/>
      <c r="BR34" s="264" t="str">
        <v/>
      </c>
      <c r="BS34" s="264">
        <v>0</v>
      </c>
      <c r="BT34" s="109">
        <f>IF(BT33="","",BS33)</f>
        <v>16</v>
      </c>
      <c r="BU34" s="109">
        <v>16</v>
      </c>
      <c r="BV34" s="124"/>
      <c r="BW34" s="285" t="str">
        <v/>
      </c>
      <c r="BX34" s="264">
        <v>0</v>
      </c>
      <c r="BY34" s="102" t="str">
        <f>IF(BY33="","",BX33)</f>
        <v xml:space="preserve"> </v>
      </c>
      <c r="BZ34" s="102" t="str">
        <f t="shared" si="17"/>
        <v xml:space="preserve"> </v>
      </c>
      <c r="CA34" s="128">
        <f ca="1">IFERROR(__xludf.DUMMYFUNCTION("""COMPUTED_VALUE"""),29)</f>
        <v>29</v>
      </c>
      <c r="CB34" s="63">
        <f t="shared" ca="1" si="18"/>
        <v>29</v>
      </c>
      <c r="CC34" s="128"/>
      <c r="CD34" s="159"/>
      <c r="CE34" s="264" t="str">
        <v/>
      </c>
      <c r="CF34" s="264">
        <v>0</v>
      </c>
      <c r="CG34" s="113" t="str">
        <f>IF(CG33="","",CF33)</f>
        <v xml:space="preserve"> </v>
      </c>
      <c r="CH34" s="128" t="str">
        <v xml:space="preserve"> </v>
      </c>
      <c r="CI34" s="115">
        <f ca="1">IFERROR(__xludf.DUMMYFUNCTION("""COMPUTED_VALUE"""),29)</f>
        <v>29</v>
      </c>
      <c r="CJ34" s="49" t="str">
        <v/>
      </c>
      <c r="CK34" s="153">
        <v>0</v>
      </c>
      <c r="CL34" s="113" t="str">
        <f>IF(CL33="","",CK33)</f>
        <v xml:space="preserve"> </v>
      </c>
      <c r="CM34" s="49" t="str">
        <v xml:space="preserve"> </v>
      </c>
      <c r="CN34" s="49">
        <f ca="1">IFERROR(__xludf.DUMMYFUNCTION("""COMPUTED_VALUE"""),29)</f>
        <v>29</v>
      </c>
      <c r="CO34" s="264" t="str">
        <v/>
      </c>
      <c r="CP34" s="264">
        <v>0</v>
      </c>
      <c r="CQ34" s="113" t="str">
        <f>IF(CQ33="","",CP33)</f>
        <v xml:space="preserve"> </v>
      </c>
      <c r="CR34" s="49" t="str">
        <v xml:space="preserve"> </v>
      </c>
      <c r="CS34" s="152">
        <f ca="1">IFERROR(__xludf.DUMMYFUNCTION("""COMPUTED_VALUE"""),29)</f>
        <v>29</v>
      </c>
      <c r="CT34" s="264" t="str">
        <v/>
      </c>
      <c r="CU34" s="264">
        <v>0</v>
      </c>
      <c r="CV34" s="113" t="str">
        <f>IF(CV33="","",CU33)</f>
        <v xml:space="preserve"> </v>
      </c>
      <c r="CW34" s="49" t="str">
        <v xml:space="preserve"> </v>
      </c>
      <c r="CX34" s="49">
        <f ca="1">IFERROR(__xludf.DUMMYFUNCTION("""COMPUTED_VALUE"""),29)</f>
        <v>29</v>
      </c>
      <c r="CY34" s="264" t="str">
        <v/>
      </c>
      <c r="CZ34" s="264">
        <v>0</v>
      </c>
      <c r="DA34" s="113" t="str">
        <f>IF(DA33="","",CZ33)</f>
        <v xml:space="preserve"> </v>
      </c>
      <c r="DB34" s="49" t="str">
        <v xml:space="preserve"> </v>
      </c>
      <c r="DC34" s="49">
        <f ca="1">IFERROR(__xludf.DUMMYFUNCTION("""COMPUTED_VALUE"""),29)</f>
        <v>29</v>
      </c>
      <c r="DD34" s="49" t="str">
        <v/>
      </c>
      <c r="DE34" s="49"/>
      <c r="DF34" s="49"/>
      <c r="DG34" s="49"/>
      <c r="DH34" s="49"/>
    </row>
    <row r="35" spans="1:112" ht="13.5" customHeight="1">
      <c r="A35" s="78"/>
      <c r="B35" s="268">
        <v>15</v>
      </c>
      <c r="C35" s="270" t="str">
        <f>(VLOOKUP($B35,Пр.взв!$D$6:$J$63,2,0))</f>
        <v>МАЙОРСКАЯ Виктория</v>
      </c>
      <c r="D35" s="271" t="str">
        <f>(VLOOKUP($B35,Пр.взв!$D$6:$J$63,5,0))</f>
        <v>КМС</v>
      </c>
      <c r="E35" s="272" t="str">
        <f>(VLOOKUP($B35,Пр.взв!$D$6:$M$63,8,0))</f>
        <v>Москва</v>
      </c>
      <c r="F35" s="273">
        <v>14</v>
      </c>
      <c r="G35" s="86"/>
      <c r="H35" s="266">
        <v>17</v>
      </c>
      <c r="I35" s="86"/>
      <c r="J35" s="266" t="str">
        <f>IF(H35="Х","Х",IF($AC35&lt;6," ","Х"))</f>
        <v xml:space="preserve"> </v>
      </c>
      <c r="K35" s="87"/>
      <c r="L35" s="266" t="str">
        <f>IF(J35="Х","Х",IF(K35&lt;3," ",IF($AC35&lt;6," ","Х")))</f>
        <v xml:space="preserve"> </v>
      </c>
      <c r="M35" s="87"/>
      <c r="N35" s="266" t="str">
        <f>IF(L35="Х","Х",IF(M35&lt;3," ",IF($AC35&lt;6," ","Х")))</f>
        <v xml:space="preserve"> </v>
      </c>
      <c r="O35" s="87"/>
      <c r="P35" s="266" t="str">
        <f>IF(N35="Х","Х",IF(O35&lt;3," ",IF($AC35&lt;6," ","Х")))</f>
        <v xml:space="preserve"> </v>
      </c>
      <c r="Q35" s="87"/>
      <c r="R35" s="266" t="str">
        <f>IF(P35="Х","Х",IF(Q35&lt;3," ",IF($AC35&lt;6," ","Х")))</f>
        <v xml:space="preserve"> </v>
      </c>
      <c r="S35" s="87"/>
      <c r="T35" s="266" t="str">
        <f>IF(R35="Х","Х",IF(S35&lt;3," ",IF($AC35&lt;6," ","Х")))</f>
        <v xml:space="preserve"> </v>
      </c>
      <c r="U35" s="88"/>
      <c r="V35" s="266" t="str">
        <f>IF(T35="Х","Х",IF(U35&lt;3," ",IF($AC35&lt;6," ","Х")))</f>
        <v xml:space="preserve"> </v>
      </c>
      <c r="W35" s="88"/>
      <c r="X35" s="266" t="str">
        <f>IF(V35="А1",$AZ$7,IF(V35="Б2",$AZ$6,IF(V35="Б1",$BA$7,IF(V35="А2",$BA$6,IF(V35="Х","Х",IF(V35&lt;6," "," "))))))</f>
        <v xml:space="preserve"> </v>
      </c>
      <c r="Y35" s="89"/>
      <c r="Z35" s="266" t="str">
        <f>IF(V35="Х","Х",IF(ISBLANK(Y35),"",IF(Y35&gt;2.5," ",IF(B35=BB$6,BB$7,BB$6))))</f>
        <v/>
      </c>
      <c r="AA35" s="89"/>
      <c r="AB35" s="290" t="str">
        <f>IF(H35="Х",F$5,IF(J35="Х",H$5,IF(L35="Х",J$5,IF(N35="Х",L$5,IF(P35="Х",N$5,IF(R35="Х",P$5,IF(T35="Х",R$5,IF(X35="Х",T$5,""))))))))</f>
        <v/>
      </c>
      <c r="AC35" s="276">
        <f>SUM(G35+I35+K35+M35+O35+Q35+S35+U35+Y35+AA35)</f>
        <v>0</v>
      </c>
      <c r="AD35" s="291" t="str">
        <f>AF35</f>
        <v>1-22</v>
      </c>
      <c r="AE35" s="278" t="str">
        <f>AD35</f>
        <v>1-22</v>
      </c>
      <c r="AF35" s="280" t="str">
        <f>COUNTIF(AG$6:AG$148,"&gt;"&amp;AG$6:AG$148)+1&amp;REPT("-"&amp;COUNTIF(AG$6:AG$148,"&gt;="&amp;AG$6:AG$148),COUNTIF(AG$6:AG$148,AG35)&gt;1)</f>
        <v>1-22</v>
      </c>
      <c r="AG35" s="282">
        <f>(AR35*100)+(AP35*10)-AC35</f>
        <v>1280</v>
      </c>
      <c r="AH35" s="288" t="str">
        <f>IF(OR(F35="Х",F35="св")," ",IF(AND(G35&gt;=0,G35&lt;3),"1"," "))</f>
        <v>1</v>
      </c>
      <c r="AI35" s="289" t="str">
        <f>IF(OR(H35="Х",H35="св")," ",IF(AND(I35&gt;=0,I35&lt;3),"1"," "))</f>
        <v>1</v>
      </c>
      <c r="AJ35" s="289" t="str">
        <f>IF(OR(J35="Х",J35="св")," ",IF(AND(K35&gt;=0,K35&lt;3),"1"," "))</f>
        <v>1</v>
      </c>
      <c r="AK35" s="289" t="str">
        <f>IF(OR(L35="Х",L35="св")," ",IF(AND(M35&gt;=0,M35&lt;3),"1"," "))</f>
        <v>1</v>
      </c>
      <c r="AL35" s="289" t="str">
        <f>IF(OR(N35="Х",N35="св")," ",IF(AND(O35&gt;=0,O35&lt;3),"1"," "))</f>
        <v>1</v>
      </c>
      <c r="AM35" s="289" t="str">
        <f>IF(OR(P35="Х",P35="св")," ",IF(AND(Q35&gt;=0,Q35&lt;3),"1"," "))</f>
        <v>1</v>
      </c>
      <c r="AN35" s="289" t="str">
        <f>IF(OR(R35="Х",R35="св")," ",IF(AND(S35&gt;=0,S35&lt;3),"1"," "))</f>
        <v>1</v>
      </c>
      <c r="AO35" s="289" t="str">
        <f>IF(OR(T35="Х",T35="св")," ",IF(AND(U35&gt;=0,U35&lt;3),"1"," "))</f>
        <v>1</v>
      </c>
      <c r="AP35" s="289">
        <f>COUNTIF(AH35:AO36,1)</f>
        <v>8</v>
      </c>
      <c r="AQ35" s="289">
        <f>AG35-AC35</f>
        <v>1280</v>
      </c>
      <c r="AR35" s="292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289" t="str">
        <f>COUNTIF(AG$6:AG$134,"&gt;"&amp;AG$6:AG$134)+1&amp;REPT("-"&amp;COUNTIF(AG$6:AG$134,"&gt;="&amp;AG$6:AG$134),COUNTIF(AG$6:AG$134,AG35)&gt;1)</f>
        <v>1-22</v>
      </c>
      <c r="AT35" s="288" t="str">
        <f t="shared" ref="AT35:AW35" si="19">COUNTIF(AU$6:AU$134,"&gt;"&amp;AU$6:AU$134)+1&amp;REPT("-"&amp;COUNTIF(AU$6:AU$134,"&gt;="&amp;AU$6:AU$134),COUNTIF(AU$6:AU$134,AU35)&gt;1)</f>
        <v>1-64</v>
      </c>
      <c r="AU35" s="288" t="str">
        <f t="shared" si="19"/>
        <v>1-0</v>
      </c>
      <c r="AV35" s="288" t="str">
        <f t="shared" si="19"/>
        <v>1</v>
      </c>
      <c r="AW35" s="288" t="str">
        <f t="shared" si="19"/>
        <v>50</v>
      </c>
      <c r="AX35" s="293">
        <f>IF(X35="Х","Х",IF(Y35&lt;3,B35,"Х"))</f>
        <v>15</v>
      </c>
      <c r="AY35" s="141" t="str">
        <f ca="1"/>
        <v/>
      </c>
      <c r="AZ35" s="97"/>
      <c r="BA35" s="141" t="str">
        <f ca="1"/>
        <v/>
      </c>
      <c r="BB35" s="49"/>
      <c r="BC35" s="141" t="str">
        <f ca="1"/>
        <v/>
      </c>
      <c r="BD35" s="144" t="str">
        <f ca="1"/>
        <v/>
      </c>
      <c r="BE35" s="141" t="str">
        <f ca="1"/>
        <v/>
      </c>
      <c r="BF35" s="143" t="str">
        <f ca="1"/>
        <v/>
      </c>
      <c r="BG35" s="141" t="str">
        <f ca="1"/>
        <v/>
      </c>
      <c r="BH35" s="141" t="str">
        <f ca="1"/>
        <v/>
      </c>
      <c r="BI35" s="49"/>
      <c r="BJ35" s="49"/>
      <c r="BK35" s="49"/>
      <c r="BL35" s="49"/>
      <c r="BM35" s="294">
        <v>15</v>
      </c>
      <c r="BN35" s="287">
        <v>14</v>
      </c>
      <c r="BO35" s="98" t="str">
        <f>IF(BM35&lt;BN35,BM35,"")</f>
        <v/>
      </c>
      <c r="BP35" s="124" t="str">
        <v/>
      </c>
      <c r="BQ35" s="125"/>
      <c r="BR35" s="295">
        <v>15</v>
      </c>
      <c r="BS35" s="287">
        <v>17</v>
      </c>
      <c r="BT35" s="109">
        <f>IF(BR35&lt;BS35,BR35,"")</f>
        <v>15</v>
      </c>
      <c r="BU35" s="124">
        <v>15</v>
      </c>
      <c r="BV35" s="124"/>
      <c r="BW35" s="284">
        <v>15</v>
      </c>
      <c r="BX35" s="286" t="str">
        <v xml:space="preserve"> </v>
      </c>
      <c r="BY35" s="102">
        <f t="array" ref="BY35">IF(BW35&lt;BX35,BW35,"")</f>
        <v>15</v>
      </c>
      <c r="BZ35" s="102">
        <f t="shared" si="17"/>
        <v>15</v>
      </c>
      <c r="CA35" s="63">
        <f ca="1">IFERROR(__xludf.DUMMYFUNCTION("""COMPUTED_VALUE"""),30)</f>
        <v>30</v>
      </c>
      <c r="CB35" s="63">
        <f t="shared" ca="1" si="18"/>
        <v>30</v>
      </c>
      <c r="CC35" s="128"/>
      <c r="CD35" s="159"/>
      <c r="CE35" s="286">
        <v>15</v>
      </c>
      <c r="CF35" s="296" t="str">
        <v xml:space="preserve"> </v>
      </c>
      <c r="CG35" s="98">
        <f t="array" ref="CG35">IF(CE35&lt;CF35,CE35,"")</f>
        <v>15</v>
      </c>
      <c r="CH35" s="63">
        <v>15</v>
      </c>
      <c r="CI35" s="115">
        <f ca="1">IFERROR(__xludf.DUMMYFUNCTION("""COMPUTED_VALUE"""),30)</f>
        <v>30</v>
      </c>
      <c r="CJ35" s="65">
        <v>15</v>
      </c>
      <c r="CK35" s="151" t="str">
        <v xml:space="preserve"> </v>
      </c>
      <c r="CL35" s="98">
        <f t="array" ref="CL35">IF(CJ35&lt;CK35,CJ35,"")</f>
        <v>15</v>
      </c>
      <c r="CM35" s="49">
        <v>15</v>
      </c>
      <c r="CN35" s="49">
        <f ca="1">IFERROR(__xludf.DUMMYFUNCTION("""COMPUTED_VALUE"""),30)</f>
        <v>30</v>
      </c>
      <c r="CO35" s="286">
        <v>15</v>
      </c>
      <c r="CP35" s="286" t="str">
        <v xml:space="preserve"> </v>
      </c>
      <c r="CQ35" s="98">
        <f t="array" ref="CQ35">IF(CO35&lt;CP35,CO35,"")</f>
        <v>15</v>
      </c>
      <c r="CR35" s="65">
        <v>15</v>
      </c>
      <c r="CS35" s="152">
        <f ca="1">IFERROR(__xludf.DUMMYFUNCTION("""COMPUTED_VALUE"""),30)</f>
        <v>30</v>
      </c>
      <c r="CT35" s="286">
        <v>15</v>
      </c>
      <c r="CU35" s="286" t="str">
        <v xml:space="preserve"> </v>
      </c>
      <c r="CV35" s="98">
        <f t="array" ref="CV35">IF(CT35&lt;CU35,CT35,"")</f>
        <v>15</v>
      </c>
      <c r="CW35" s="49">
        <v>15</v>
      </c>
      <c r="CX35" s="49">
        <f ca="1">IFERROR(__xludf.DUMMYFUNCTION("""COMPUTED_VALUE"""),30)</f>
        <v>30</v>
      </c>
      <c r="CY35" s="286">
        <v>15</v>
      </c>
      <c r="CZ35" s="286" t="str">
        <v xml:space="preserve"> </v>
      </c>
      <c r="DA35" s="98">
        <f t="array" ref="DA35">IF(CY35&lt;CZ35,CY35,"")</f>
        <v>15</v>
      </c>
      <c r="DB35" s="49">
        <v>15</v>
      </c>
      <c r="DC35" s="49">
        <f ca="1">IFERROR(__xludf.DUMMYFUNCTION("""COMPUTED_VALUE"""),30)</f>
        <v>30</v>
      </c>
      <c r="DD35" s="49">
        <v>15</v>
      </c>
      <c r="DE35" s="49"/>
      <c r="DF35" s="49"/>
      <c r="DG35" s="49"/>
      <c r="DH35" s="49"/>
    </row>
    <row r="36" spans="1:112" ht="13.5" customHeight="1">
      <c r="A36" s="78"/>
      <c r="B36" s="269"/>
      <c r="C36" s="269"/>
      <c r="D36" s="269"/>
      <c r="E36" s="269"/>
      <c r="F36" s="274"/>
      <c r="G36" s="106"/>
      <c r="H36" s="267"/>
      <c r="I36" s="106"/>
      <c r="J36" s="267"/>
      <c r="K36" s="106"/>
      <c r="L36" s="267"/>
      <c r="M36" s="106"/>
      <c r="N36" s="267"/>
      <c r="O36" s="106"/>
      <c r="P36" s="267"/>
      <c r="Q36" s="106"/>
      <c r="R36" s="267"/>
      <c r="S36" s="106"/>
      <c r="T36" s="267"/>
      <c r="U36" s="107"/>
      <c r="V36" s="267"/>
      <c r="W36" s="107"/>
      <c r="X36" s="267"/>
      <c r="Y36" s="106"/>
      <c r="Z36" s="267"/>
      <c r="AA36" s="106"/>
      <c r="AB36" s="274"/>
      <c r="AC36" s="269"/>
      <c r="AD36" s="267"/>
      <c r="AE36" s="279"/>
      <c r="AF36" s="281"/>
      <c r="AG36" s="283"/>
      <c r="AH36" s="283"/>
      <c r="AI36" s="283"/>
      <c r="AJ36" s="283"/>
      <c r="AK36" s="283"/>
      <c r="AL36" s="283"/>
      <c r="AM36" s="283"/>
      <c r="AN36" s="283"/>
      <c r="AO36" s="283"/>
      <c r="AP36" s="283"/>
      <c r="AQ36" s="283"/>
      <c r="AR36" s="283"/>
      <c r="AS36" s="283"/>
      <c r="AT36" s="283"/>
      <c r="AU36" s="283"/>
      <c r="AV36" s="283"/>
      <c r="AW36" s="283"/>
      <c r="AX36" s="264"/>
      <c r="AY36" s="145" t="str">
        <f ca="1"/>
        <v/>
      </c>
      <c r="AZ36" s="97"/>
      <c r="BA36" s="146" t="str">
        <f ca="1"/>
        <v/>
      </c>
      <c r="BB36" s="49"/>
      <c r="BC36" s="145" t="str">
        <f ca="1"/>
        <v/>
      </c>
      <c r="BD36" s="144" t="str">
        <f ca="1"/>
        <v/>
      </c>
      <c r="BE36" s="145" t="str">
        <f ca="1"/>
        <v/>
      </c>
      <c r="BF36" s="143" t="str">
        <f ca="1"/>
        <v/>
      </c>
      <c r="BG36" s="145" t="str">
        <f ca="1"/>
        <v/>
      </c>
      <c r="BH36" s="145" t="str">
        <f ca="1"/>
        <v/>
      </c>
      <c r="BI36" s="49"/>
      <c r="BJ36" s="49"/>
      <c r="BK36" s="49"/>
      <c r="BL36" s="49"/>
      <c r="BM36" s="285" t="str">
        <v/>
      </c>
      <c r="BN36" s="264">
        <v>0</v>
      </c>
      <c r="BO36" s="109" t="str">
        <f>IF(BO35="","",BN35)</f>
        <v/>
      </c>
      <c r="BP36" s="109" t="str">
        <v/>
      </c>
      <c r="BQ36" s="125"/>
      <c r="BR36" s="264" t="str">
        <v/>
      </c>
      <c r="BS36" s="264">
        <v>0</v>
      </c>
      <c r="BT36" s="109">
        <f>IF(BT35="","",BS35)</f>
        <v>17</v>
      </c>
      <c r="BU36" s="109">
        <v>17</v>
      </c>
      <c r="BV36" s="124"/>
      <c r="BW36" s="285" t="str">
        <v/>
      </c>
      <c r="BX36" s="264">
        <v>0</v>
      </c>
      <c r="BY36" s="102" t="str">
        <f>IF(BY35="","",BX35)</f>
        <v xml:space="preserve"> </v>
      </c>
      <c r="BZ36" s="102" t="str">
        <f t="shared" si="17"/>
        <v xml:space="preserve"> </v>
      </c>
      <c r="CA36" s="128">
        <f ca="1">IFERROR(__xludf.DUMMYFUNCTION("""COMPUTED_VALUE"""),31)</f>
        <v>31</v>
      </c>
      <c r="CB36" s="63">
        <f t="shared" ca="1" si="18"/>
        <v>31</v>
      </c>
      <c r="CC36" s="128"/>
      <c r="CD36" s="159"/>
      <c r="CE36" s="264" t="str">
        <v/>
      </c>
      <c r="CF36" s="264">
        <v>0</v>
      </c>
      <c r="CG36" s="113" t="str">
        <f>IF(CG35="","",CF35)</f>
        <v xml:space="preserve"> </v>
      </c>
      <c r="CH36" s="128" t="str">
        <v xml:space="preserve"> </v>
      </c>
      <c r="CI36" s="115">
        <f ca="1">IFERROR(__xludf.DUMMYFUNCTION("""COMPUTED_VALUE"""),31)</f>
        <v>31</v>
      </c>
      <c r="CJ36" s="49" t="str">
        <v/>
      </c>
      <c r="CK36" s="153">
        <v>0</v>
      </c>
      <c r="CL36" s="113" t="str">
        <f>IF(CL35="","",CK35)</f>
        <v xml:space="preserve"> </v>
      </c>
      <c r="CM36" s="49" t="str">
        <v xml:space="preserve"> </v>
      </c>
      <c r="CN36" s="49">
        <f ca="1">IFERROR(__xludf.DUMMYFUNCTION("""COMPUTED_VALUE"""),31)</f>
        <v>31</v>
      </c>
      <c r="CO36" s="264" t="str">
        <v/>
      </c>
      <c r="CP36" s="264">
        <v>0</v>
      </c>
      <c r="CQ36" s="113" t="str">
        <f>IF(CQ35="","",CP35)</f>
        <v xml:space="preserve"> </v>
      </c>
      <c r="CR36" s="49" t="str">
        <v xml:space="preserve"> </v>
      </c>
      <c r="CS36" s="152">
        <f ca="1">IFERROR(__xludf.DUMMYFUNCTION("""COMPUTED_VALUE"""),31)</f>
        <v>31</v>
      </c>
      <c r="CT36" s="264" t="str">
        <v/>
      </c>
      <c r="CU36" s="264">
        <v>0</v>
      </c>
      <c r="CV36" s="113" t="str">
        <f>IF(CV35="","",CU35)</f>
        <v xml:space="preserve"> </v>
      </c>
      <c r="CW36" s="49" t="str">
        <v xml:space="preserve"> </v>
      </c>
      <c r="CX36" s="49">
        <f ca="1">IFERROR(__xludf.DUMMYFUNCTION("""COMPUTED_VALUE"""),31)</f>
        <v>31</v>
      </c>
      <c r="CY36" s="264" t="str">
        <v/>
      </c>
      <c r="CZ36" s="264">
        <v>0</v>
      </c>
      <c r="DA36" s="113" t="str">
        <f>IF(DA35="","",CZ35)</f>
        <v xml:space="preserve"> </v>
      </c>
      <c r="DB36" s="49" t="str">
        <v xml:space="preserve"> </v>
      </c>
      <c r="DC36" s="49">
        <f ca="1">IFERROR(__xludf.DUMMYFUNCTION("""COMPUTED_VALUE"""),31)</f>
        <v>31</v>
      </c>
      <c r="DD36" s="49" t="str">
        <v/>
      </c>
      <c r="DE36" s="49"/>
      <c r="DF36" s="49"/>
      <c r="DG36" s="49"/>
      <c r="DH36" s="49"/>
    </row>
    <row r="37" spans="1:112" ht="13.5" customHeight="1">
      <c r="A37" s="78"/>
      <c r="B37" s="268">
        <v>16</v>
      </c>
      <c r="C37" s="270" t="str">
        <f>(VLOOKUP($B37,Пр.взв!$D$6:$J$63,2,0))</f>
        <v>ШТЕНЦОВА Валентина</v>
      </c>
      <c r="D37" s="271" t="str">
        <f>(VLOOKUP($B37,Пр.взв!$D$6:$J$63,5,0))</f>
        <v>МС</v>
      </c>
      <c r="E37" s="272" t="str">
        <f>(VLOOKUP($B37,Пр.взв!$D$6:$M$63,8,0))</f>
        <v>Свердловская</v>
      </c>
      <c r="F37" s="273">
        <v>17</v>
      </c>
      <c r="G37" s="86"/>
      <c r="H37" s="266">
        <v>14</v>
      </c>
      <c r="I37" s="86"/>
      <c r="J37" s="266" t="str">
        <f>IF(H37="Х","Х",IF($AC37&lt;6," ","Х"))</f>
        <v xml:space="preserve"> </v>
      </c>
      <c r="K37" s="87"/>
      <c r="L37" s="266" t="str">
        <f>IF(J37="Х","Х",IF(K37&lt;3," ",IF($AC37&lt;6," ","Х")))</f>
        <v xml:space="preserve"> </v>
      </c>
      <c r="M37" s="87"/>
      <c r="N37" s="266" t="str">
        <f>IF(L37="Х","Х",IF(M37&lt;3," ",IF($AC37&lt;6," ","Х")))</f>
        <v xml:space="preserve"> </v>
      </c>
      <c r="O37" s="87"/>
      <c r="P37" s="266" t="str">
        <f>IF(N37="Х","Х",IF(O37&lt;3," ",IF($AC37&lt;6," ","Х")))</f>
        <v xml:space="preserve"> </v>
      </c>
      <c r="Q37" s="87"/>
      <c r="R37" s="266" t="str">
        <f>IF(P37="Х","Х",IF(Q37&lt;3," ",IF($AC37&lt;6," ","Х")))</f>
        <v xml:space="preserve"> </v>
      </c>
      <c r="S37" s="87"/>
      <c r="T37" s="266" t="str">
        <f>IF(R37="Х","Х",IF(S37&lt;3," ",IF($AC37&lt;6," ","Х")))</f>
        <v xml:space="preserve"> </v>
      </c>
      <c r="U37" s="88"/>
      <c r="V37" s="266" t="str">
        <f>IF(T37="Х","Х",IF(U37&lt;3," ",IF($AC37&lt;6," ","Х")))</f>
        <v xml:space="preserve"> </v>
      </c>
      <c r="W37" s="88"/>
      <c r="X37" s="266" t="str">
        <f>IF(V37="А1",$AZ$7,IF(V37="Б2",$AZ$6,IF(V37="Б1",$BA$7,IF(V37="А2",$BA$6,IF(V37="Х","Х",IF(V37&lt;6," "," "))))))</f>
        <v xml:space="preserve"> </v>
      </c>
      <c r="Y37" s="89"/>
      <c r="Z37" s="266" t="str">
        <f>IF(V37="Х","Х",IF(ISBLANK(Y37),"",IF(Y37&gt;2.5," ",IF(B37=BB$6,BB$7,BB$6))))</f>
        <v/>
      </c>
      <c r="AA37" s="89"/>
      <c r="AB37" s="290" t="str">
        <f>IF(H37="Х",F$5,IF(J37="Х",H$5,IF(L37="Х",J$5,IF(N37="Х",L$5,IF(P37="Х",N$5,IF(R37="Х",P$5,IF(T37="Х",R$5,IF(X37="Х",T$5,""))))))))</f>
        <v/>
      </c>
      <c r="AC37" s="276">
        <f>SUM(G37+I37+K37+M37+O37+Q37+S37+U37+Y37+AA37)</f>
        <v>0</v>
      </c>
      <c r="AD37" s="291" t="str">
        <f>AF37</f>
        <v>1-22</v>
      </c>
      <c r="AE37" s="278" t="str">
        <f>AD37</f>
        <v>1-22</v>
      </c>
      <c r="AF37" s="280" t="str">
        <f>COUNTIF(AG$6:AG$148,"&gt;"&amp;AG$6:AG$148)+1&amp;REPT("-"&amp;COUNTIF(AG$6:AG$148,"&gt;="&amp;AG$6:AG$148),COUNTIF(AG$6:AG$148,AG37)&gt;1)</f>
        <v>1-22</v>
      </c>
      <c r="AG37" s="282">
        <f>(AR37*100)+(AP37*10)-AC37</f>
        <v>1280</v>
      </c>
      <c r="AH37" s="288" t="str">
        <f>IF(OR(F37="Х",F37="св")," ",IF(AND(G37&gt;=0,G37&lt;3),"1"," "))</f>
        <v>1</v>
      </c>
      <c r="AI37" s="289" t="str">
        <f>IF(OR(H37="Х",H37="св")," ",IF(AND(I37&gt;=0,I37&lt;3),"1"," "))</f>
        <v>1</v>
      </c>
      <c r="AJ37" s="289" t="str">
        <f>IF(OR(J37="Х",J37="св")," ",IF(AND(K37&gt;=0,K37&lt;3),"1"," "))</f>
        <v>1</v>
      </c>
      <c r="AK37" s="289" t="str">
        <f>IF(OR(L37="Х",L37="св")," ",IF(AND(M37&gt;=0,M37&lt;3),"1"," "))</f>
        <v>1</v>
      </c>
      <c r="AL37" s="289" t="str">
        <f>IF(OR(N37="Х",N37="св")," ",IF(AND(O37&gt;=0,O37&lt;3),"1"," "))</f>
        <v>1</v>
      </c>
      <c r="AM37" s="289" t="str">
        <f>IF(OR(P37="Х",P37="св")," ",IF(AND(Q37&gt;=0,Q37&lt;3),"1"," "))</f>
        <v>1</v>
      </c>
      <c r="AN37" s="289" t="str">
        <f>IF(OR(R37="Х",R37="св")," ",IF(AND(S37&gt;=0,S37&lt;3),"1"," "))</f>
        <v>1</v>
      </c>
      <c r="AO37" s="289" t="str">
        <f>IF(OR(T37="Х",T37="св")," ",IF(AND(U37&gt;=0,U37&lt;3),"1"," "))</f>
        <v>1</v>
      </c>
      <c r="AP37" s="289">
        <f>COUNTIF(AH37:AO38,1)</f>
        <v>8</v>
      </c>
      <c r="AQ37" s="289">
        <f>AG37-AC37</f>
        <v>1280</v>
      </c>
      <c r="AR37" s="292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289" t="str">
        <f>COUNTIF(AG$6:AG$134,"&gt;"&amp;AG$6:AG$134)+1&amp;REPT("-"&amp;COUNTIF(AG$6:AG$134,"&gt;="&amp;AG$6:AG$134),COUNTIF(AG$6:AG$134,AG37)&gt;1)</f>
        <v>1-22</v>
      </c>
      <c r="AT37" s="288" t="str">
        <f t="shared" ref="AT37:AW37" si="20">COUNTIF(AU$6:AU$134,"&gt;"&amp;AU$6:AU$134)+1&amp;REPT("-"&amp;COUNTIF(AU$6:AU$134,"&gt;="&amp;AU$6:AU$134),COUNTIF(AU$6:AU$134,AU37)&gt;1)</f>
        <v>1-64</v>
      </c>
      <c r="AU37" s="288" t="str">
        <f t="shared" si="20"/>
        <v>1-0</v>
      </c>
      <c r="AV37" s="288" t="str">
        <f t="shared" si="20"/>
        <v>1</v>
      </c>
      <c r="AW37" s="288" t="str">
        <f t="shared" si="20"/>
        <v>49</v>
      </c>
      <c r="AX37" s="293">
        <f>IF(X37="Х","Х",IF(Y37&lt;3,B37,"Х"))</f>
        <v>16</v>
      </c>
      <c r="AY37" s="141" t="str">
        <f ca="1"/>
        <v/>
      </c>
      <c r="AZ37" s="97"/>
      <c r="BA37" s="141" t="str">
        <f ca="1"/>
        <v/>
      </c>
      <c r="BB37" s="92"/>
      <c r="BC37" s="141" t="str">
        <f ca="1"/>
        <v/>
      </c>
      <c r="BD37" s="144" t="str">
        <f ca="1"/>
        <v/>
      </c>
      <c r="BE37" s="141" t="str">
        <f ca="1"/>
        <v/>
      </c>
      <c r="BF37" s="143" t="str">
        <f ca="1"/>
        <v/>
      </c>
      <c r="BG37" s="141" t="str">
        <f ca="1"/>
        <v/>
      </c>
      <c r="BH37" s="141" t="str">
        <f ca="1"/>
        <v/>
      </c>
      <c r="BI37" s="49"/>
      <c r="BJ37" s="49"/>
      <c r="BK37" s="49"/>
      <c r="BL37" s="49"/>
      <c r="BM37" s="294">
        <v>16</v>
      </c>
      <c r="BN37" s="287">
        <v>17</v>
      </c>
      <c r="BO37" s="98">
        <f>IF(BM37&lt;BN37,BM37,"")</f>
        <v>16</v>
      </c>
      <c r="BP37" s="124">
        <v>16</v>
      </c>
      <c r="BQ37" s="125"/>
      <c r="BR37" s="295">
        <v>16</v>
      </c>
      <c r="BS37" s="287">
        <v>14</v>
      </c>
      <c r="BT37" s="109" t="str">
        <f>IF(BR37&lt;BS37,BR37,"")</f>
        <v/>
      </c>
      <c r="BU37" s="124" t="str">
        <v/>
      </c>
      <c r="BV37" s="124"/>
      <c r="BW37" s="284">
        <v>16</v>
      </c>
      <c r="BX37" s="286" t="str">
        <v xml:space="preserve"> </v>
      </c>
      <c r="BY37" s="102">
        <f t="array" ref="BY37">IF(BW37&lt;BX37,BW37,"")</f>
        <v>16</v>
      </c>
      <c r="BZ37" s="102">
        <f t="shared" si="17"/>
        <v>16</v>
      </c>
      <c r="CA37" s="63">
        <f ca="1">IFERROR(__xludf.DUMMYFUNCTION("""COMPUTED_VALUE"""),32)</f>
        <v>32</v>
      </c>
      <c r="CB37" s="63">
        <f t="shared" ca="1" si="18"/>
        <v>32</v>
      </c>
      <c r="CC37" s="128"/>
      <c r="CD37" s="159"/>
      <c r="CE37" s="286">
        <v>16</v>
      </c>
      <c r="CF37" s="296" t="str">
        <v xml:space="preserve"> </v>
      </c>
      <c r="CG37" s="98">
        <f t="array" ref="CG37">IF(CE37&lt;CF37,CE37,"")</f>
        <v>16</v>
      </c>
      <c r="CH37" s="63">
        <v>16</v>
      </c>
      <c r="CI37" s="115">
        <f ca="1">IFERROR(__xludf.DUMMYFUNCTION("""COMPUTED_VALUE"""),32)</f>
        <v>32</v>
      </c>
      <c r="CJ37" s="65">
        <v>16</v>
      </c>
      <c r="CK37" s="151" t="str">
        <v xml:space="preserve"> </v>
      </c>
      <c r="CL37" s="98">
        <f t="array" ref="CL37">IF(CJ37&lt;CK37,CJ37,"")</f>
        <v>16</v>
      </c>
      <c r="CM37" s="49">
        <v>16</v>
      </c>
      <c r="CN37" s="49">
        <f ca="1">IFERROR(__xludf.DUMMYFUNCTION("""COMPUTED_VALUE"""),32)</f>
        <v>32</v>
      </c>
      <c r="CO37" s="286">
        <v>16</v>
      </c>
      <c r="CP37" s="286" t="str">
        <v xml:space="preserve"> </v>
      </c>
      <c r="CQ37" s="98">
        <f t="array" ref="CQ37">IF(CO37&lt;CP37,CO37,"")</f>
        <v>16</v>
      </c>
      <c r="CR37" s="65">
        <v>16</v>
      </c>
      <c r="CS37" s="152">
        <f ca="1">IFERROR(__xludf.DUMMYFUNCTION("""COMPUTED_VALUE"""),32)</f>
        <v>32</v>
      </c>
      <c r="CT37" s="286">
        <v>16</v>
      </c>
      <c r="CU37" s="286" t="str">
        <v xml:space="preserve"> </v>
      </c>
      <c r="CV37" s="98">
        <f t="array" ref="CV37">IF(CT37&lt;CU37,CT37,"")</f>
        <v>16</v>
      </c>
      <c r="CW37" s="49">
        <v>16</v>
      </c>
      <c r="CX37" s="49">
        <f ca="1">IFERROR(__xludf.DUMMYFUNCTION("""COMPUTED_VALUE"""),32)</f>
        <v>32</v>
      </c>
      <c r="CY37" s="286">
        <v>16</v>
      </c>
      <c r="CZ37" s="286" t="str">
        <v xml:space="preserve"> </v>
      </c>
      <c r="DA37" s="98">
        <f t="array" ref="DA37">IF(CY37&lt;CZ37,CY37,"")</f>
        <v>16</v>
      </c>
      <c r="DB37" s="49">
        <v>16</v>
      </c>
      <c r="DC37" s="49">
        <f ca="1">IFERROR(__xludf.DUMMYFUNCTION("""COMPUTED_VALUE"""),32)</f>
        <v>32</v>
      </c>
      <c r="DD37" s="49">
        <v>16</v>
      </c>
      <c r="DE37" s="49"/>
      <c r="DF37" s="49"/>
      <c r="DG37" s="49"/>
      <c r="DH37" s="49"/>
    </row>
    <row r="38" spans="1:112" ht="13.5" customHeight="1">
      <c r="A38" s="78"/>
      <c r="B38" s="269"/>
      <c r="C38" s="269"/>
      <c r="D38" s="269"/>
      <c r="E38" s="269"/>
      <c r="F38" s="274"/>
      <c r="G38" s="106"/>
      <c r="H38" s="267"/>
      <c r="I38" s="106"/>
      <c r="J38" s="267"/>
      <c r="K38" s="106"/>
      <c r="L38" s="267"/>
      <c r="M38" s="106"/>
      <c r="N38" s="267"/>
      <c r="O38" s="106"/>
      <c r="P38" s="267"/>
      <c r="Q38" s="106"/>
      <c r="R38" s="267"/>
      <c r="S38" s="106"/>
      <c r="T38" s="267"/>
      <c r="U38" s="107"/>
      <c r="V38" s="267"/>
      <c r="W38" s="107"/>
      <c r="X38" s="267"/>
      <c r="Y38" s="106"/>
      <c r="Z38" s="267"/>
      <c r="AA38" s="106"/>
      <c r="AB38" s="274"/>
      <c r="AC38" s="269"/>
      <c r="AD38" s="267"/>
      <c r="AE38" s="279"/>
      <c r="AF38" s="281"/>
      <c r="AG38" s="283"/>
      <c r="AH38" s="283"/>
      <c r="AI38" s="283"/>
      <c r="AJ38" s="283"/>
      <c r="AK38" s="283"/>
      <c r="AL38" s="283"/>
      <c r="AM38" s="283"/>
      <c r="AN38" s="283"/>
      <c r="AO38" s="283"/>
      <c r="AP38" s="283"/>
      <c r="AQ38" s="283"/>
      <c r="AR38" s="283"/>
      <c r="AS38" s="283"/>
      <c r="AT38" s="283"/>
      <c r="AU38" s="283"/>
      <c r="AV38" s="283"/>
      <c r="AW38" s="283"/>
      <c r="AX38" s="264"/>
      <c r="AY38" s="145" t="str">
        <f ca="1"/>
        <v/>
      </c>
      <c r="AZ38" s="97"/>
      <c r="BA38" s="146" t="str">
        <f ca="1"/>
        <v/>
      </c>
      <c r="BB38" s="92"/>
      <c r="BC38" s="145" t="str">
        <f ca="1"/>
        <v/>
      </c>
      <c r="BD38" s="144">
        <f ca="1"/>
        <v>0</v>
      </c>
      <c r="BE38" s="145" t="str">
        <f ca="1"/>
        <v/>
      </c>
      <c r="BF38" s="143">
        <f ca="1"/>
        <v>0</v>
      </c>
      <c r="BG38" s="145" t="str">
        <f ca="1"/>
        <v/>
      </c>
      <c r="BH38" s="145" t="str">
        <f ca="1"/>
        <v/>
      </c>
      <c r="BI38" s="49"/>
      <c r="BJ38" s="49"/>
      <c r="BK38" s="49"/>
      <c r="BL38" s="49"/>
      <c r="BM38" s="285" t="str">
        <v/>
      </c>
      <c r="BN38" s="264">
        <v>0</v>
      </c>
      <c r="BO38" s="109">
        <f>IF(BO37="","",BN37)</f>
        <v>17</v>
      </c>
      <c r="BP38" s="109">
        <v>17</v>
      </c>
      <c r="BQ38" s="125"/>
      <c r="BR38" s="264" t="str">
        <v/>
      </c>
      <c r="BS38" s="264">
        <v>0</v>
      </c>
      <c r="BT38" s="109" t="str">
        <f>IF(BT37="","",BS37)</f>
        <v/>
      </c>
      <c r="BU38" s="109" t="str">
        <v/>
      </c>
      <c r="BV38" s="124"/>
      <c r="BW38" s="285" t="str">
        <v/>
      </c>
      <c r="BX38" s="264">
        <v>0</v>
      </c>
      <c r="BY38" s="102" t="str">
        <f>IF(BY37="","",BX37)</f>
        <v xml:space="preserve"> </v>
      </c>
      <c r="BZ38" s="102" t="str">
        <f t="shared" si="17"/>
        <v xml:space="preserve"> </v>
      </c>
      <c r="CA38" s="128">
        <f ca="1">IFERROR(__xludf.DUMMYFUNCTION("""COMPUTED_VALUE"""),33)</f>
        <v>33</v>
      </c>
      <c r="CB38" s="63">
        <f t="shared" ca="1" si="18"/>
        <v>33</v>
      </c>
      <c r="CC38" s="128"/>
      <c r="CD38" s="159"/>
      <c r="CE38" s="264" t="str">
        <v/>
      </c>
      <c r="CF38" s="264">
        <v>0</v>
      </c>
      <c r="CG38" s="113" t="str">
        <f>IF(CG37="","",CF37)</f>
        <v xml:space="preserve"> </v>
      </c>
      <c r="CH38" s="128" t="str">
        <v xml:space="preserve"> </v>
      </c>
      <c r="CI38" s="115">
        <f ca="1">IFERROR(__xludf.DUMMYFUNCTION("""COMPUTED_VALUE"""),33)</f>
        <v>33</v>
      </c>
      <c r="CJ38" s="49" t="str">
        <v/>
      </c>
      <c r="CK38" s="153">
        <v>0</v>
      </c>
      <c r="CL38" s="113" t="str">
        <f>IF(CL37="","",CK37)</f>
        <v xml:space="preserve"> </v>
      </c>
      <c r="CM38" s="49" t="str">
        <v xml:space="preserve"> </v>
      </c>
      <c r="CN38" s="49">
        <f ca="1">IFERROR(__xludf.DUMMYFUNCTION("""COMPUTED_VALUE"""),33)</f>
        <v>33</v>
      </c>
      <c r="CO38" s="264" t="str">
        <v/>
      </c>
      <c r="CP38" s="264">
        <v>0</v>
      </c>
      <c r="CQ38" s="113" t="str">
        <f>IF(CQ37="","",CP37)</f>
        <v xml:space="preserve"> </v>
      </c>
      <c r="CR38" s="49" t="str">
        <v xml:space="preserve"> </v>
      </c>
      <c r="CS38" s="152">
        <f ca="1">IFERROR(__xludf.DUMMYFUNCTION("""COMPUTED_VALUE"""),33)</f>
        <v>33</v>
      </c>
      <c r="CT38" s="264" t="str">
        <v/>
      </c>
      <c r="CU38" s="264">
        <v>0</v>
      </c>
      <c r="CV38" s="113" t="str">
        <f>IF(CV37="","",CU37)</f>
        <v xml:space="preserve"> </v>
      </c>
      <c r="CW38" s="49" t="str">
        <v xml:space="preserve"> </v>
      </c>
      <c r="CX38" s="49">
        <f ca="1">IFERROR(__xludf.DUMMYFUNCTION("""COMPUTED_VALUE"""),33)</f>
        <v>33</v>
      </c>
      <c r="CY38" s="264" t="str">
        <v/>
      </c>
      <c r="CZ38" s="264">
        <v>0</v>
      </c>
      <c r="DA38" s="113" t="str">
        <f>IF(DA37="","",CZ37)</f>
        <v xml:space="preserve"> </v>
      </c>
      <c r="DB38" s="49" t="str">
        <v xml:space="preserve"> </v>
      </c>
      <c r="DC38" s="49">
        <f ca="1">IFERROR(__xludf.DUMMYFUNCTION("""COMPUTED_VALUE"""),33)</f>
        <v>33</v>
      </c>
      <c r="DD38" s="49" t="str">
        <v/>
      </c>
      <c r="DE38" s="49"/>
      <c r="DF38" s="49"/>
      <c r="DG38" s="49"/>
      <c r="DH38" s="49"/>
    </row>
    <row r="39" spans="1:112" ht="13.5" customHeight="1">
      <c r="A39" s="78"/>
      <c r="B39" s="268">
        <v>17</v>
      </c>
      <c r="C39" s="270" t="str">
        <f>(VLOOKUP($B39,Пр.взв!$D$6:$J$63,2,0))</f>
        <v>БОЧКАРЕВА Маргарита</v>
      </c>
      <c r="D39" s="271" t="str">
        <f>(VLOOKUP($B39,Пр.взв!$D$6:$J$63,5,0))</f>
        <v>КМС</v>
      </c>
      <c r="E39" s="272" t="str">
        <f>(VLOOKUP($B39,Пр.взв!$D$6:$M$63,8,0))</f>
        <v>Р.Алтай</v>
      </c>
      <c r="F39" s="273">
        <v>16</v>
      </c>
      <c r="G39" s="86"/>
      <c r="H39" s="266">
        <v>15</v>
      </c>
      <c r="I39" s="86"/>
      <c r="J39" s="266" t="str">
        <f>IF(H39="Х","Х",IF($AC39&lt;6," ","Х"))</f>
        <v xml:space="preserve"> </v>
      </c>
      <c r="K39" s="87"/>
      <c r="L39" s="266" t="str">
        <f>IF(J39="Х","Х",IF(K39&lt;3," ",IF($AC39&lt;6," ","Х")))</f>
        <v xml:space="preserve"> </v>
      </c>
      <c r="M39" s="87"/>
      <c r="N39" s="266" t="str">
        <f>IF(L39="Х","Х",IF(M39&lt;3," ",IF($AC39&lt;6," ","Х")))</f>
        <v xml:space="preserve"> </v>
      </c>
      <c r="O39" s="87"/>
      <c r="P39" s="266" t="str">
        <f>IF(N39="Х","Х",IF(O39&lt;3," ",IF($AC39&lt;6," ","Х")))</f>
        <v xml:space="preserve"> </v>
      </c>
      <c r="Q39" s="87"/>
      <c r="R39" s="266" t="str">
        <f>IF(P39="Х","Х",IF(Q39&lt;3," ",IF($AC39&lt;6," ","Х")))</f>
        <v xml:space="preserve"> </v>
      </c>
      <c r="S39" s="87"/>
      <c r="T39" s="266" t="str">
        <f>IF(R39="Х","Х",IF(S39&lt;3," ",IF($AC39&lt;6," ","Х")))</f>
        <v xml:space="preserve"> </v>
      </c>
      <c r="U39" s="88"/>
      <c r="V39" s="266" t="str">
        <f>IF(T39="Х","Х",IF(U39&lt;3," ",IF($AC39&lt;6," ","Х")))</f>
        <v xml:space="preserve"> </v>
      </c>
      <c r="W39" s="88"/>
      <c r="X39" s="266" t="str">
        <f>IF(V39="А1",$AZ$7,IF(V39="Б2",$AZ$6,IF(V39="Б1",$BA$7,IF(V39="А2",$BA$6,IF(V39="Х","Х",IF(V39&lt;6," "," "))))))</f>
        <v xml:space="preserve"> </v>
      </c>
      <c r="Y39" s="89"/>
      <c r="Z39" s="266" t="str">
        <f>IF(V39="Х","Х",IF(ISBLANK(Y39),"",IF(Y39&gt;2.5," ",IF(B39=BB$6,BB$7,BB$6))))</f>
        <v/>
      </c>
      <c r="AA39" s="89"/>
      <c r="AB39" s="290" t="str">
        <f>IF(H39="Х",F$5,IF(J39="Х",H$5,IF(L39="Х",J$5,IF(N39="Х",L$5,IF(P39="Х",N$5,IF(R39="Х",P$5,IF(T39="Х",R$5,IF(X39="Х",T$5,""))))))))</f>
        <v/>
      </c>
      <c r="AC39" s="276">
        <f>SUM(G39+I39+K39+M39+O39+Q39+S39+U39+Y39+AA39)</f>
        <v>0</v>
      </c>
      <c r="AD39" s="291" t="str">
        <f>AF39</f>
        <v>1-22</v>
      </c>
      <c r="AE39" s="278" t="str">
        <f>AD39</f>
        <v>1-22</v>
      </c>
      <c r="AF39" s="280" t="str">
        <f>COUNTIF(AG$6:AG$148,"&gt;"&amp;AG$6:AG$148)+1&amp;REPT("-"&amp;COUNTIF(AG$6:AG$148,"&gt;="&amp;AG$6:AG$148),COUNTIF(AG$6:AG$148,AG39)&gt;1)</f>
        <v>1-22</v>
      </c>
      <c r="AG39" s="282">
        <f>(AR39*100)+(AP39*10)-AC39</f>
        <v>1280</v>
      </c>
      <c r="AH39" s="288" t="str">
        <f>IF(OR(F39="Х",F39="св")," ",IF(AND(G39&gt;=0,G39&lt;3),"1"," "))</f>
        <v>1</v>
      </c>
      <c r="AI39" s="289" t="str">
        <f>IF(OR(H39="Х",H39="св")," ",IF(AND(I39&gt;=0,I39&lt;3),"1"," "))</f>
        <v>1</v>
      </c>
      <c r="AJ39" s="289" t="str">
        <f>IF(OR(J39="Х",J39="св")," ",IF(AND(K39&gt;=0,K39&lt;3),"1"," "))</f>
        <v>1</v>
      </c>
      <c r="AK39" s="289" t="str">
        <f>IF(OR(L39="Х",L39="св")," ",IF(AND(M39&gt;=0,M39&lt;3),"1"," "))</f>
        <v>1</v>
      </c>
      <c r="AL39" s="289" t="str">
        <f>IF(OR(N39="Х",N39="св")," ",IF(AND(O39&gt;=0,O39&lt;3),"1"," "))</f>
        <v>1</v>
      </c>
      <c r="AM39" s="289" t="str">
        <f>IF(OR(P39="Х",P39="св")," ",IF(AND(Q39&gt;=0,Q39&lt;3),"1"," "))</f>
        <v>1</v>
      </c>
      <c r="AN39" s="289" t="str">
        <f>IF(OR(R39="Х",R39="св")," ",IF(AND(S39&gt;=0,S39&lt;3),"1"," "))</f>
        <v>1</v>
      </c>
      <c r="AO39" s="289" t="str">
        <f>IF(OR(T39="Х",T39="св")," ",IF(AND(U39&gt;=0,U39&lt;3),"1"," "))</f>
        <v>1</v>
      </c>
      <c r="AP39" s="289">
        <f>COUNTIF(AH39:AO40,1)</f>
        <v>8</v>
      </c>
      <c r="AQ39" s="289">
        <f>AG39-AC39</f>
        <v>1280</v>
      </c>
      <c r="AR39" s="292">
        <f>IF(F39=0,0,IF(F39="Х",1,IF(H39="Х",2,IF(J39="Х",3,IF(L39="Х",4,IF(N39="Х",5,IF(P39="Х",6,IF(R39="Х",7,IF(T39="Х",8,IF(V39="Х",9,IF(Y39&gt;2.5,10,IF(AA39&gt;2.5,11,IF(AA39&gt;=0,12,IF(AA39=" ",0,))))))))))))))</f>
        <v>12</v>
      </c>
      <c r="AS39" s="289" t="str">
        <f>COUNTIF(AG$6:AG$134,"&gt;"&amp;AG$6:AG$134)+1&amp;REPT("-"&amp;COUNTIF(AG$6:AG$134,"&gt;="&amp;AG$6:AG$134),COUNTIF(AG$6:AG$134,AG39)&gt;1)</f>
        <v>1-22</v>
      </c>
      <c r="AT39" s="288" t="str">
        <f t="shared" ref="AT39:AW39" si="21">COUNTIF(AU$6:AU$134,"&gt;"&amp;AU$6:AU$134)+1&amp;REPT("-"&amp;COUNTIF(AU$6:AU$134,"&gt;="&amp;AU$6:AU$134),COUNTIF(AU$6:AU$134,AU39)&gt;1)</f>
        <v>1-64</v>
      </c>
      <c r="AU39" s="288" t="str">
        <f t="shared" si="21"/>
        <v>1-0</v>
      </c>
      <c r="AV39" s="288" t="str">
        <f t="shared" si="21"/>
        <v>1</v>
      </c>
      <c r="AW39" s="288" t="str">
        <f t="shared" si="21"/>
        <v>48</v>
      </c>
      <c r="AX39" s="293">
        <f>IF(X39="Х","Х",IF(Y39&lt;3,B39,"Х"))</f>
        <v>17</v>
      </c>
      <c r="AY39" s="141" t="str">
        <f ca="1"/>
        <v/>
      </c>
      <c r="AZ39" s="97"/>
      <c r="BA39" s="141" t="str">
        <f ca="1"/>
        <v/>
      </c>
      <c r="BB39" s="92"/>
      <c r="BC39" s="49" t="str">
        <f ca="1"/>
        <v/>
      </c>
      <c r="BD39" s="144">
        <f ca="1"/>
        <v>0</v>
      </c>
      <c r="BE39" s="49" t="str">
        <f ca="1"/>
        <v/>
      </c>
      <c r="BF39" s="143">
        <f ca="1"/>
        <v>0</v>
      </c>
      <c r="BG39" s="141" t="str">
        <f ca="1"/>
        <v/>
      </c>
      <c r="BH39" s="141" t="str">
        <f ca="1"/>
        <v/>
      </c>
      <c r="BI39" s="49"/>
      <c r="BJ39" s="49"/>
      <c r="BK39" s="49"/>
      <c r="BL39" s="49"/>
      <c r="BM39" s="294">
        <v>17</v>
      </c>
      <c r="BN39" s="287">
        <v>16</v>
      </c>
      <c r="BO39" s="98" t="str">
        <f>IF(BM39&lt;BN39,BM39,"")</f>
        <v/>
      </c>
      <c r="BP39" s="124" t="str">
        <v/>
      </c>
      <c r="BQ39" s="125"/>
      <c r="BR39" s="295">
        <v>17</v>
      </c>
      <c r="BS39" s="287">
        <v>15</v>
      </c>
      <c r="BT39" s="109" t="str">
        <f>IF(BR39&lt;BS39,BR39,"")</f>
        <v/>
      </c>
      <c r="BU39" s="124" t="str">
        <v/>
      </c>
      <c r="BV39" s="124"/>
      <c r="BW39" s="284">
        <v>17</v>
      </c>
      <c r="BX39" s="286" t="str">
        <v xml:space="preserve"> </v>
      </c>
      <c r="BY39" s="102">
        <f t="array" ref="BY39">IF(BW39&lt;BX39,BW39,"")</f>
        <v>17</v>
      </c>
      <c r="BZ39" s="102">
        <f t="shared" si="17"/>
        <v>17</v>
      </c>
      <c r="CA39" s="63">
        <f ca="1">IFERROR(__xludf.DUMMYFUNCTION("""COMPUTED_VALUE"""),34)</f>
        <v>34</v>
      </c>
      <c r="CB39" s="63">
        <f t="shared" ca="1" si="18"/>
        <v>34</v>
      </c>
      <c r="CC39" s="128"/>
      <c r="CD39" s="159"/>
      <c r="CE39" s="286">
        <v>17</v>
      </c>
      <c r="CF39" s="296" t="str">
        <v xml:space="preserve"> </v>
      </c>
      <c r="CG39" s="98">
        <f t="array" ref="CG39">IF(CE39&lt;CF39,CE39,"")</f>
        <v>17</v>
      </c>
      <c r="CH39" s="63">
        <v>17</v>
      </c>
      <c r="CI39" s="115">
        <f ca="1">IFERROR(__xludf.DUMMYFUNCTION("""COMPUTED_VALUE"""),34)</f>
        <v>34</v>
      </c>
      <c r="CJ39" s="65">
        <v>17</v>
      </c>
      <c r="CK39" s="151" t="str">
        <v xml:space="preserve"> </v>
      </c>
      <c r="CL39" s="98">
        <f t="array" ref="CL39">IF(CJ39&lt;CK39,CJ39,"")</f>
        <v>17</v>
      </c>
      <c r="CM39" s="49">
        <v>17</v>
      </c>
      <c r="CN39" s="49">
        <f ca="1">IFERROR(__xludf.DUMMYFUNCTION("""COMPUTED_VALUE"""),34)</f>
        <v>34</v>
      </c>
      <c r="CO39" s="286">
        <v>17</v>
      </c>
      <c r="CP39" s="286" t="str">
        <v xml:space="preserve"> </v>
      </c>
      <c r="CQ39" s="98">
        <f t="array" ref="CQ39">IF(CO39&lt;CP39,CO39,"")</f>
        <v>17</v>
      </c>
      <c r="CR39" s="65">
        <v>17</v>
      </c>
      <c r="CS39" s="152">
        <f ca="1">IFERROR(__xludf.DUMMYFUNCTION("""COMPUTED_VALUE"""),34)</f>
        <v>34</v>
      </c>
      <c r="CT39" s="286">
        <v>17</v>
      </c>
      <c r="CU39" s="286" t="str">
        <v xml:space="preserve"> </v>
      </c>
      <c r="CV39" s="98">
        <f t="array" ref="CV39">IF(CT39&lt;CU39,CT39,"")</f>
        <v>17</v>
      </c>
      <c r="CW39" s="49">
        <v>17</v>
      </c>
      <c r="CX39" s="49">
        <f ca="1">IFERROR(__xludf.DUMMYFUNCTION("""COMPUTED_VALUE"""),34)</f>
        <v>34</v>
      </c>
      <c r="CY39" s="286">
        <v>17</v>
      </c>
      <c r="CZ39" s="286" t="str">
        <v xml:space="preserve"> </v>
      </c>
      <c r="DA39" s="98">
        <f t="array" ref="DA39">IF(CY39&lt;CZ39,CY39,"")</f>
        <v>17</v>
      </c>
      <c r="DB39" s="49">
        <v>17</v>
      </c>
      <c r="DC39" s="49">
        <f ca="1">IFERROR(__xludf.DUMMYFUNCTION("""COMPUTED_VALUE"""),34)</f>
        <v>34</v>
      </c>
      <c r="DD39" s="49">
        <v>17</v>
      </c>
      <c r="DE39" s="49"/>
      <c r="DF39" s="49"/>
      <c r="DG39" s="49"/>
      <c r="DH39" s="49"/>
    </row>
    <row r="40" spans="1:112" ht="13.5" customHeight="1">
      <c r="A40" s="78"/>
      <c r="B40" s="269"/>
      <c r="C40" s="269"/>
      <c r="D40" s="269"/>
      <c r="E40" s="269"/>
      <c r="F40" s="274"/>
      <c r="G40" s="106"/>
      <c r="H40" s="267"/>
      <c r="I40" s="106"/>
      <c r="J40" s="267"/>
      <c r="K40" s="106"/>
      <c r="L40" s="267"/>
      <c r="M40" s="106"/>
      <c r="N40" s="267"/>
      <c r="O40" s="106"/>
      <c r="P40" s="267"/>
      <c r="Q40" s="106"/>
      <c r="R40" s="267"/>
      <c r="S40" s="106"/>
      <c r="T40" s="267"/>
      <c r="U40" s="107"/>
      <c r="V40" s="267"/>
      <c r="W40" s="107"/>
      <c r="X40" s="267"/>
      <c r="Y40" s="106"/>
      <c r="Z40" s="267"/>
      <c r="AA40" s="106"/>
      <c r="AB40" s="274"/>
      <c r="AC40" s="269"/>
      <c r="AD40" s="267"/>
      <c r="AE40" s="279"/>
      <c r="AF40" s="281"/>
      <c r="AG40" s="283"/>
      <c r="AH40" s="283"/>
      <c r="AI40" s="283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64"/>
      <c r="AY40" s="145" t="str">
        <f ca="1"/>
        <v/>
      </c>
      <c r="AZ40" s="97"/>
      <c r="BA40" s="146" t="str">
        <f ca="1"/>
        <v/>
      </c>
      <c r="BB40" s="92"/>
      <c r="BC40" s="49" t="str">
        <f ca="1"/>
        <v/>
      </c>
      <c r="BD40" s="144">
        <f ca="1"/>
        <v>0</v>
      </c>
      <c r="BE40" s="49" t="str">
        <f ca="1"/>
        <v/>
      </c>
      <c r="BF40" s="143">
        <f ca="1"/>
        <v>0</v>
      </c>
      <c r="BG40" s="145" t="str">
        <f ca="1"/>
        <v/>
      </c>
      <c r="BH40" s="145" t="str">
        <f ca="1"/>
        <v/>
      </c>
      <c r="BI40" s="49"/>
      <c r="BJ40" s="49"/>
      <c r="BK40" s="49"/>
      <c r="BL40" s="49"/>
      <c r="BM40" s="285" t="str">
        <v/>
      </c>
      <c r="BN40" s="264">
        <v>0</v>
      </c>
      <c r="BO40" s="109" t="str">
        <f>IF(BO39="","",BN39)</f>
        <v/>
      </c>
      <c r="BP40" s="109" t="str">
        <v/>
      </c>
      <c r="BQ40" s="125"/>
      <c r="BR40" s="264" t="str">
        <v/>
      </c>
      <c r="BS40" s="264">
        <v>0</v>
      </c>
      <c r="BT40" s="109" t="str">
        <f>IF(BT39="","",BS39)</f>
        <v/>
      </c>
      <c r="BU40" s="109" t="str">
        <v/>
      </c>
      <c r="BV40" s="124"/>
      <c r="BW40" s="285" t="str">
        <v/>
      </c>
      <c r="BX40" s="264">
        <v>0</v>
      </c>
      <c r="BY40" s="102" t="str">
        <f>IF(BY39="","",BX39)</f>
        <v xml:space="preserve"> </v>
      </c>
      <c r="BZ40" s="102" t="str">
        <f t="shared" si="17"/>
        <v xml:space="preserve"> </v>
      </c>
      <c r="CA40" s="128">
        <f ca="1">IFERROR(__xludf.DUMMYFUNCTION("""COMPUTED_VALUE"""),35)</f>
        <v>35</v>
      </c>
      <c r="CB40" s="63">
        <f t="shared" ca="1" si="18"/>
        <v>35</v>
      </c>
      <c r="CC40" s="128"/>
      <c r="CD40" s="159"/>
      <c r="CE40" s="264" t="str">
        <v/>
      </c>
      <c r="CF40" s="264">
        <v>0</v>
      </c>
      <c r="CG40" s="113" t="str">
        <f>IF(CG39="","",CF39)</f>
        <v xml:space="preserve"> </v>
      </c>
      <c r="CH40" s="128" t="str">
        <v xml:space="preserve"> </v>
      </c>
      <c r="CI40" s="115">
        <f ca="1">IFERROR(__xludf.DUMMYFUNCTION("""COMPUTED_VALUE"""),35)</f>
        <v>35</v>
      </c>
      <c r="CJ40" s="49" t="str">
        <v/>
      </c>
      <c r="CK40" s="153">
        <v>0</v>
      </c>
      <c r="CL40" s="113" t="str">
        <f>IF(CL39="","",CK39)</f>
        <v xml:space="preserve"> </v>
      </c>
      <c r="CM40" s="49" t="str">
        <v xml:space="preserve"> </v>
      </c>
      <c r="CN40" s="49">
        <f ca="1">IFERROR(__xludf.DUMMYFUNCTION("""COMPUTED_VALUE"""),35)</f>
        <v>35</v>
      </c>
      <c r="CO40" s="264" t="str">
        <v/>
      </c>
      <c r="CP40" s="264">
        <v>0</v>
      </c>
      <c r="CQ40" s="113" t="str">
        <f>IF(CQ39="","",CP39)</f>
        <v xml:space="preserve"> </v>
      </c>
      <c r="CR40" s="49" t="str">
        <v xml:space="preserve"> </v>
      </c>
      <c r="CS40" s="152">
        <f ca="1">IFERROR(__xludf.DUMMYFUNCTION("""COMPUTED_VALUE"""),35)</f>
        <v>35</v>
      </c>
      <c r="CT40" s="264" t="str">
        <v/>
      </c>
      <c r="CU40" s="264">
        <v>0</v>
      </c>
      <c r="CV40" s="113" t="str">
        <f>IF(CV39="","",CU39)</f>
        <v xml:space="preserve"> </v>
      </c>
      <c r="CW40" s="49" t="str">
        <v xml:space="preserve"> </v>
      </c>
      <c r="CX40" s="49">
        <f ca="1">IFERROR(__xludf.DUMMYFUNCTION("""COMPUTED_VALUE"""),35)</f>
        <v>35</v>
      </c>
      <c r="CY40" s="264" t="str">
        <v/>
      </c>
      <c r="CZ40" s="264">
        <v>0</v>
      </c>
      <c r="DA40" s="113" t="str">
        <f>IF(DA39="","",CZ39)</f>
        <v xml:space="preserve"> </v>
      </c>
      <c r="DB40" s="49" t="str">
        <v xml:space="preserve"> </v>
      </c>
      <c r="DC40" s="49">
        <f ca="1">IFERROR(__xludf.DUMMYFUNCTION("""COMPUTED_VALUE"""),35)</f>
        <v>35</v>
      </c>
      <c r="DD40" s="49" t="str">
        <v/>
      </c>
      <c r="DE40" s="49"/>
      <c r="DF40" s="49"/>
      <c r="DG40" s="49"/>
      <c r="DH40" s="49"/>
    </row>
    <row r="41" spans="1:112" ht="13.5" customHeight="1">
      <c r="A41" s="78"/>
      <c r="B41" s="268">
        <v>18</v>
      </c>
      <c r="C41" s="270" t="str">
        <f>(VLOOKUP($B41,Пр.взв!$D$6:$J$63,2,0))</f>
        <v>АРТАМОНОВА Лина</v>
      </c>
      <c r="D41" s="271" t="str">
        <f>(VLOOKUP($B41,Пр.взв!$D$6:$J$63,5,0))</f>
        <v>КМС</v>
      </c>
      <c r="E41" s="272" t="str">
        <f>(VLOOKUP($B41,Пр.взв!$D$6:$M$63,8,0))</f>
        <v>Саратовская</v>
      </c>
      <c r="F41" s="273">
        <v>19</v>
      </c>
      <c r="G41" s="86"/>
      <c r="H41" s="266">
        <v>20</v>
      </c>
      <c r="I41" s="86"/>
      <c r="J41" s="266" t="str">
        <f>IF(H41="Х","Х",IF($AC41&lt;6," ","Х"))</f>
        <v xml:space="preserve"> </v>
      </c>
      <c r="K41" s="87"/>
      <c r="L41" s="266" t="str">
        <f>IF(J41="Х","Х",IF(K41&lt;3," ",IF($AC41&lt;6," ","Х")))</f>
        <v xml:space="preserve"> </v>
      </c>
      <c r="M41" s="87"/>
      <c r="N41" s="266" t="str">
        <f>IF(L41="Х","Х",IF(M41&lt;3," ",IF($AC41&lt;6," ","Х")))</f>
        <v xml:space="preserve"> </v>
      </c>
      <c r="O41" s="87"/>
      <c r="P41" s="266" t="str">
        <f>IF(N41="Х","Х",IF(O41&lt;3," ",IF($AC41&lt;6," ","Х")))</f>
        <v xml:space="preserve"> </v>
      </c>
      <c r="Q41" s="87"/>
      <c r="R41" s="266" t="str">
        <f>IF(P41="Х","Х",IF(Q41&lt;3," ",IF($AC41&lt;6," ","Х")))</f>
        <v xml:space="preserve"> </v>
      </c>
      <c r="S41" s="87"/>
      <c r="T41" s="266" t="str">
        <f>IF(R41="Х","Х",IF(S41&lt;3," ",IF($AC41&lt;6," ","Х")))</f>
        <v xml:space="preserve"> </v>
      </c>
      <c r="U41" s="88"/>
      <c r="V41" s="266" t="str">
        <f>IF(T41="Х","Х",IF(U41&lt;3," ",IF($AC41&lt;6," ","Х")))</f>
        <v xml:space="preserve"> </v>
      </c>
      <c r="W41" s="88"/>
      <c r="X41" s="266" t="str">
        <f>IF(V41="А1",$AZ$7,IF(V41="Б2",$AZ$6,IF(V41="Б1",$BA$7,IF(V41="А2",$BA$6,IF(V41="Х","Х",IF(V41&lt;6," "," "))))))</f>
        <v xml:space="preserve"> </v>
      </c>
      <c r="Y41" s="89"/>
      <c r="Z41" s="266" t="str">
        <f>IF(V41="Х","Х",IF(ISBLANK(Y41),"",IF(Y41&gt;2.5," ",IF(B41=BB$6,BB$7,BB$6))))</f>
        <v/>
      </c>
      <c r="AA41" s="89"/>
      <c r="AB41" s="290" t="str">
        <f>IF(H41="Х",F$5,IF(J41="Х",H$5,IF(L41="Х",J$5,IF(N41="Х",L$5,IF(P41="Х",N$5,IF(R41="Х",P$5,IF(T41="Х",R$5,IF(X41="Х",T$5,""))))))))</f>
        <v/>
      </c>
      <c r="AC41" s="276">
        <f>SUM(G41+I41+K41+M41+O41+Q41+S41+U41+Y41+AA41)</f>
        <v>0</v>
      </c>
      <c r="AD41" s="277" t="str">
        <f>AF41</f>
        <v>1-22</v>
      </c>
      <c r="AE41" s="278" t="str">
        <f>AD41</f>
        <v>1-22</v>
      </c>
      <c r="AF41" s="280" t="str">
        <f>COUNTIF(AG$6:AG$148,"&gt;"&amp;AG$6:AG$148)+1&amp;REPT("-"&amp;COUNTIF(AG$6:AG$148,"&gt;="&amp;AG$6:AG$148),COUNTIF(AG$6:AG$148,AG41)&gt;1)</f>
        <v>1-22</v>
      </c>
      <c r="AG41" s="282">
        <f>(AR41*100)+(AP41*10)-AC41</f>
        <v>1280</v>
      </c>
      <c r="AH41" s="288" t="str">
        <f>IF(OR(F41="Х",F41="св")," ",IF(AND(G41&gt;=0,G41&lt;3),"1"," "))</f>
        <v>1</v>
      </c>
      <c r="AI41" s="289" t="str">
        <f>IF(OR(H41="Х",H41="св")," ",IF(AND(I41&gt;=0,I41&lt;3),"1"," "))</f>
        <v>1</v>
      </c>
      <c r="AJ41" s="289" t="str">
        <f>IF(OR(J41="Х",J41="св")," ",IF(AND(K41&gt;=0,K41&lt;3),"1"," "))</f>
        <v>1</v>
      </c>
      <c r="AK41" s="289" t="str">
        <f>IF(OR(L41="Х",L41="св")," ",IF(AND(M41&gt;=0,M41&lt;3),"1"," "))</f>
        <v>1</v>
      </c>
      <c r="AL41" s="289" t="str">
        <f>IF(OR(N41="Х",N41="св")," ",IF(AND(O41&gt;=0,O41&lt;3),"1"," "))</f>
        <v>1</v>
      </c>
      <c r="AM41" s="289" t="str">
        <f>IF(OR(P41="Х",P41="св")," ",IF(AND(Q41&gt;=0,Q41&lt;3),"1"," "))</f>
        <v>1</v>
      </c>
      <c r="AN41" s="289" t="str">
        <f>IF(OR(R41="Х",R41="св")," ",IF(AND(S41&gt;=0,S41&lt;3),"1"," "))</f>
        <v>1</v>
      </c>
      <c r="AO41" s="289" t="str">
        <f>IF(OR(T41="Х",T41="св")," ",IF(AND(U41&gt;=0,U41&lt;3),"1"," "))</f>
        <v>1</v>
      </c>
      <c r="AP41" s="289">
        <f>COUNTIF(AH41:AO42,1)</f>
        <v>8</v>
      </c>
      <c r="AQ41" s="289">
        <f>AG41-AC41</f>
        <v>1280</v>
      </c>
      <c r="AR41" s="292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289" t="str">
        <f>COUNTIF(AG$6:AG$134,"&gt;"&amp;AG$6:AG$134)+1&amp;REPT("-"&amp;COUNTIF(AG$6:AG$134,"&gt;="&amp;AG$6:AG$134),COUNTIF(AG$6:AG$134,AG41)&gt;1)</f>
        <v>1-22</v>
      </c>
      <c r="AT41" s="288" t="str">
        <f t="shared" ref="AT41:AW41" si="22">COUNTIF(AU$6:AU$134,"&gt;"&amp;AU$6:AU$134)+1&amp;REPT("-"&amp;COUNTIF(AU$6:AU$134,"&gt;="&amp;AU$6:AU$134),COUNTIF(AU$6:AU$134,AU41)&gt;1)</f>
        <v>1-64</v>
      </c>
      <c r="AU41" s="288" t="str">
        <f t="shared" si="22"/>
        <v>1-0</v>
      </c>
      <c r="AV41" s="288" t="str">
        <f t="shared" si="22"/>
        <v>1</v>
      </c>
      <c r="AW41" s="288" t="str">
        <f t="shared" si="22"/>
        <v>47</v>
      </c>
      <c r="AX41" s="293">
        <f>IF(X41="Х","Х",IF(Y41&lt;3,B41,"Х"))</f>
        <v>18</v>
      </c>
      <c r="AY41" s="141" t="str">
        <f ca="1"/>
        <v/>
      </c>
      <c r="AZ41" s="97"/>
      <c r="BA41" s="141" t="str">
        <f ca="1"/>
        <v/>
      </c>
      <c r="BB41" s="92"/>
      <c r="BC41" s="49" t="str">
        <f ca="1"/>
        <v/>
      </c>
      <c r="BD41" s="144">
        <f ca="1"/>
        <v>0</v>
      </c>
      <c r="BE41" s="49" t="str">
        <f ca="1"/>
        <v/>
      </c>
      <c r="BF41" s="143">
        <f ca="1"/>
        <v>0</v>
      </c>
      <c r="BG41" s="49" t="str">
        <f ca="1"/>
        <v/>
      </c>
      <c r="BH41" s="49" t="str">
        <f ca="1"/>
        <v/>
      </c>
      <c r="BI41" s="49"/>
      <c r="BJ41" s="49"/>
      <c r="BK41" s="49"/>
      <c r="BL41" s="49"/>
      <c r="BM41" s="294">
        <v>18</v>
      </c>
      <c r="BN41" s="287">
        <v>19</v>
      </c>
      <c r="BO41" s="98">
        <f>IF(BM41&lt;BN41,BM41,"")</f>
        <v>18</v>
      </c>
      <c r="BP41" s="124">
        <v>18</v>
      </c>
      <c r="BQ41" s="125"/>
      <c r="BR41" s="295">
        <v>18</v>
      </c>
      <c r="BS41" s="287">
        <v>20</v>
      </c>
      <c r="BT41" s="109">
        <f>IF(BR41&lt;BS41,BR41,"")</f>
        <v>18</v>
      </c>
      <c r="BU41" s="124">
        <v>18</v>
      </c>
      <c r="BV41" s="124"/>
      <c r="BW41" s="284">
        <v>18</v>
      </c>
      <c r="BX41" s="286" t="str">
        <v xml:space="preserve"> </v>
      </c>
      <c r="BY41" s="102">
        <f t="array" ref="BY41">IF(BW41&lt;BX41,BW41,"")</f>
        <v>18</v>
      </c>
      <c r="BZ41" s="102">
        <f t="shared" si="17"/>
        <v>18</v>
      </c>
      <c r="CA41" s="63">
        <f ca="1">IFERROR(__xludf.DUMMYFUNCTION("""COMPUTED_VALUE"""),36)</f>
        <v>36</v>
      </c>
      <c r="CB41" s="63">
        <f t="shared" ca="1" si="18"/>
        <v>36</v>
      </c>
      <c r="CC41" s="128"/>
      <c r="CD41" s="159"/>
      <c r="CE41" s="286">
        <v>18</v>
      </c>
      <c r="CF41" s="296" t="str">
        <v xml:space="preserve"> </v>
      </c>
      <c r="CG41" s="98">
        <f t="array" ref="CG41">IF(CE41&lt;CF41,CE41,"")</f>
        <v>18</v>
      </c>
      <c r="CH41" s="63">
        <v>18</v>
      </c>
      <c r="CI41" s="115">
        <f ca="1">IFERROR(__xludf.DUMMYFUNCTION("""COMPUTED_VALUE"""),36)</f>
        <v>36</v>
      </c>
      <c r="CJ41" s="65">
        <v>18</v>
      </c>
      <c r="CK41" s="151" t="str">
        <v xml:space="preserve"> </v>
      </c>
      <c r="CL41" s="98">
        <f t="array" ref="CL41">IF(CJ41&lt;CK41,CJ41,"")</f>
        <v>18</v>
      </c>
      <c r="CM41" s="49">
        <v>18</v>
      </c>
      <c r="CN41" s="49">
        <f ca="1">IFERROR(__xludf.DUMMYFUNCTION("""COMPUTED_VALUE"""),36)</f>
        <v>36</v>
      </c>
      <c r="CO41" s="286">
        <v>18</v>
      </c>
      <c r="CP41" s="286" t="str">
        <v xml:space="preserve"> </v>
      </c>
      <c r="CQ41" s="98">
        <f t="array" ref="CQ41">IF(CO41&lt;CP41,CO41,"")</f>
        <v>18</v>
      </c>
      <c r="CR41" s="65">
        <v>18</v>
      </c>
      <c r="CS41" s="152">
        <f ca="1">IFERROR(__xludf.DUMMYFUNCTION("""COMPUTED_VALUE"""),36)</f>
        <v>36</v>
      </c>
      <c r="CT41" s="286">
        <v>18</v>
      </c>
      <c r="CU41" s="286" t="str">
        <v xml:space="preserve"> </v>
      </c>
      <c r="CV41" s="98">
        <f t="array" ref="CV41">IF(CT41&lt;CU41,CT41,"")</f>
        <v>18</v>
      </c>
      <c r="CW41" s="49">
        <v>18</v>
      </c>
      <c r="CX41" s="49">
        <f ca="1">IFERROR(__xludf.DUMMYFUNCTION("""COMPUTED_VALUE"""),36)</f>
        <v>36</v>
      </c>
      <c r="CY41" s="286">
        <v>18</v>
      </c>
      <c r="CZ41" s="286" t="str">
        <v xml:space="preserve"> </v>
      </c>
      <c r="DA41" s="98">
        <f t="array" ref="DA41">IF(CY41&lt;CZ41,CY41,"")</f>
        <v>18</v>
      </c>
      <c r="DB41" s="49">
        <v>18</v>
      </c>
      <c r="DC41" s="49">
        <f ca="1">IFERROR(__xludf.DUMMYFUNCTION("""COMPUTED_VALUE"""),36)</f>
        <v>36</v>
      </c>
      <c r="DD41" s="49">
        <v>18</v>
      </c>
      <c r="DE41" s="49"/>
      <c r="DF41" s="49"/>
      <c r="DG41" s="49"/>
      <c r="DH41" s="49"/>
    </row>
    <row r="42" spans="1:112" ht="13.5" customHeight="1">
      <c r="A42" s="78"/>
      <c r="B42" s="269"/>
      <c r="C42" s="269"/>
      <c r="D42" s="269"/>
      <c r="E42" s="269"/>
      <c r="F42" s="274"/>
      <c r="G42" s="106"/>
      <c r="H42" s="267"/>
      <c r="I42" s="106"/>
      <c r="J42" s="267"/>
      <c r="K42" s="106"/>
      <c r="L42" s="267"/>
      <c r="M42" s="106"/>
      <c r="N42" s="267"/>
      <c r="O42" s="106"/>
      <c r="P42" s="267"/>
      <c r="Q42" s="106"/>
      <c r="R42" s="267"/>
      <c r="S42" s="106"/>
      <c r="T42" s="267"/>
      <c r="U42" s="107"/>
      <c r="V42" s="267"/>
      <c r="W42" s="107"/>
      <c r="X42" s="267"/>
      <c r="Y42" s="106"/>
      <c r="Z42" s="267"/>
      <c r="AA42" s="106"/>
      <c r="AB42" s="274"/>
      <c r="AC42" s="269"/>
      <c r="AD42" s="267"/>
      <c r="AE42" s="279"/>
      <c r="AF42" s="281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64"/>
      <c r="AY42" s="145" t="str">
        <f ca="1"/>
        <v/>
      </c>
      <c r="AZ42" s="97"/>
      <c r="BA42" s="146" t="str">
        <f ca="1"/>
        <v/>
      </c>
      <c r="BB42" s="92"/>
      <c r="BC42" s="49" t="str">
        <f ca="1"/>
        <v/>
      </c>
      <c r="BD42" s="144">
        <f ca="1"/>
        <v>0</v>
      </c>
      <c r="BE42" s="49" t="str">
        <f ca="1"/>
        <v/>
      </c>
      <c r="BF42" s="143">
        <f ca="1"/>
        <v>0</v>
      </c>
      <c r="BG42" s="49" t="str">
        <f ca="1"/>
        <v/>
      </c>
      <c r="BH42" s="49" t="str">
        <f ca="1"/>
        <v/>
      </c>
      <c r="BI42" s="49"/>
      <c r="BJ42" s="49"/>
      <c r="BK42" s="49"/>
      <c r="BL42" s="49"/>
      <c r="BM42" s="285" t="str">
        <v/>
      </c>
      <c r="BN42" s="264">
        <v>0</v>
      </c>
      <c r="BO42" s="109">
        <f>IF(BO41="","",BN41)</f>
        <v>19</v>
      </c>
      <c r="BP42" s="109">
        <v>19</v>
      </c>
      <c r="BQ42" s="125"/>
      <c r="BR42" s="264" t="str">
        <v/>
      </c>
      <c r="BS42" s="264">
        <v>0</v>
      </c>
      <c r="BT42" s="109">
        <f>IF(BT41="","",BS41)</f>
        <v>20</v>
      </c>
      <c r="BU42" s="109">
        <v>20</v>
      </c>
      <c r="BV42" s="124"/>
      <c r="BW42" s="285" t="str">
        <v/>
      </c>
      <c r="BX42" s="264">
        <v>0</v>
      </c>
      <c r="BY42" s="102" t="str">
        <f>IF(BY41="","",BX41)</f>
        <v xml:space="preserve"> </v>
      </c>
      <c r="BZ42" s="102" t="str">
        <f t="shared" si="17"/>
        <v xml:space="preserve"> </v>
      </c>
      <c r="CA42" s="128">
        <f ca="1">IFERROR(__xludf.DUMMYFUNCTION("""COMPUTED_VALUE"""),37)</f>
        <v>37</v>
      </c>
      <c r="CB42" s="63">
        <f t="shared" ca="1" si="18"/>
        <v>37</v>
      </c>
      <c r="CC42" s="128"/>
      <c r="CD42" s="159"/>
      <c r="CE42" s="264" t="str">
        <v/>
      </c>
      <c r="CF42" s="264">
        <v>0</v>
      </c>
      <c r="CG42" s="113" t="str">
        <f>IF(CG41="","",CF41)</f>
        <v xml:space="preserve"> </v>
      </c>
      <c r="CH42" s="128" t="str">
        <v xml:space="preserve"> </v>
      </c>
      <c r="CI42" s="115">
        <f ca="1">IFERROR(__xludf.DUMMYFUNCTION("""COMPUTED_VALUE"""),37)</f>
        <v>37</v>
      </c>
      <c r="CJ42" s="49" t="str">
        <v/>
      </c>
      <c r="CK42" s="153">
        <v>0</v>
      </c>
      <c r="CL42" s="113" t="str">
        <f>IF(CL41="","",CK41)</f>
        <v xml:space="preserve"> </v>
      </c>
      <c r="CM42" s="49" t="str">
        <v xml:space="preserve"> </v>
      </c>
      <c r="CN42" s="49">
        <f ca="1">IFERROR(__xludf.DUMMYFUNCTION("""COMPUTED_VALUE"""),37)</f>
        <v>37</v>
      </c>
      <c r="CO42" s="264" t="str">
        <v/>
      </c>
      <c r="CP42" s="264">
        <v>0</v>
      </c>
      <c r="CQ42" s="113" t="str">
        <f>IF(CQ41="","",CP41)</f>
        <v xml:space="preserve"> </v>
      </c>
      <c r="CR42" s="49" t="str">
        <v xml:space="preserve"> </v>
      </c>
      <c r="CS42" s="152">
        <f ca="1">IFERROR(__xludf.DUMMYFUNCTION("""COMPUTED_VALUE"""),37)</f>
        <v>37</v>
      </c>
      <c r="CT42" s="264" t="str">
        <v/>
      </c>
      <c r="CU42" s="264">
        <v>0</v>
      </c>
      <c r="CV42" s="113" t="str">
        <f>IF(CV41="","",CU41)</f>
        <v xml:space="preserve"> </v>
      </c>
      <c r="CW42" s="49" t="str">
        <v xml:space="preserve"> </v>
      </c>
      <c r="CX42" s="49">
        <f ca="1">IFERROR(__xludf.DUMMYFUNCTION("""COMPUTED_VALUE"""),37)</f>
        <v>37</v>
      </c>
      <c r="CY42" s="264" t="str">
        <v/>
      </c>
      <c r="CZ42" s="264">
        <v>0</v>
      </c>
      <c r="DA42" s="113" t="str">
        <f>IF(DA41="","",CZ41)</f>
        <v xml:space="preserve"> </v>
      </c>
      <c r="DB42" s="49" t="str">
        <v xml:space="preserve"> </v>
      </c>
      <c r="DC42" s="49">
        <f ca="1">IFERROR(__xludf.DUMMYFUNCTION("""COMPUTED_VALUE"""),37)</f>
        <v>37</v>
      </c>
      <c r="DD42" s="49" t="str">
        <v/>
      </c>
      <c r="DE42" s="49"/>
      <c r="DF42" s="49"/>
      <c r="DG42" s="49"/>
      <c r="DH42" s="49"/>
    </row>
    <row r="43" spans="1:112" ht="13.5" customHeight="1">
      <c r="A43" s="78"/>
      <c r="B43" s="268">
        <v>19</v>
      </c>
      <c r="C43" s="270" t="str">
        <f>(VLOOKUP($B43,Пр.взв!$D$6:$J$63,2,0))</f>
        <v>ВОРОШИЛОВА Мария</v>
      </c>
      <c r="D43" s="271" t="str">
        <f>(VLOOKUP($B43,Пр.взв!$D$6:$J$63,5,0))</f>
        <v>КМС</v>
      </c>
      <c r="E43" s="272" t="str">
        <f>(VLOOKUP($B43,Пр.взв!$D$6:$M$63,8,0))</f>
        <v>Смоленская</v>
      </c>
      <c r="F43" s="273">
        <v>18</v>
      </c>
      <c r="G43" s="86"/>
      <c r="H43" s="266">
        <v>21</v>
      </c>
      <c r="I43" s="86"/>
      <c r="J43" s="266" t="str">
        <f>IF(H43="Х","Х",IF($AC43&lt;6," ","Х"))</f>
        <v xml:space="preserve"> </v>
      </c>
      <c r="K43" s="87"/>
      <c r="L43" s="266" t="str">
        <f>IF(J43="Х","Х",IF(K43&lt;3," ",IF($AC43&lt;6," ","Х")))</f>
        <v xml:space="preserve"> </v>
      </c>
      <c r="M43" s="87"/>
      <c r="N43" s="266" t="str">
        <f>IF(L43="Х","Х",IF(M43&lt;3," ",IF($AC43&lt;6," ","Х")))</f>
        <v xml:space="preserve"> </v>
      </c>
      <c r="O43" s="87"/>
      <c r="P43" s="266" t="str">
        <f>IF(N43="Х","Х",IF(O43&lt;3," ",IF($AC43&lt;6," ","Х")))</f>
        <v xml:space="preserve"> </v>
      </c>
      <c r="Q43" s="87"/>
      <c r="R43" s="266" t="str">
        <f>IF(P43="Х","Х",IF(Q43&lt;3," ",IF($AC43&lt;6," ","Х")))</f>
        <v xml:space="preserve"> </v>
      </c>
      <c r="S43" s="87"/>
      <c r="T43" s="266" t="str">
        <f>IF(R43="Х","Х",IF(S43&lt;3," ",IF($AC43&lt;6," ","Х")))</f>
        <v xml:space="preserve"> </v>
      </c>
      <c r="U43" s="88"/>
      <c r="V43" s="266" t="str">
        <f>IF(T43="Х","Х",IF(U43&lt;3," ",IF($AC43&lt;6," ","Х")))</f>
        <v xml:space="preserve"> </v>
      </c>
      <c r="W43" s="88"/>
      <c r="X43" s="266" t="str">
        <f>IF(V43="А1",$AZ$7,IF(V43="Б2",$AZ$6,IF(V43="Б1",$BA$7,IF(V43="А2",$BA$6,IF(V43="Х","Х",IF(V43&lt;6," "," "))))))</f>
        <v xml:space="preserve"> </v>
      </c>
      <c r="Y43" s="89"/>
      <c r="Z43" s="266" t="str">
        <f>IF(V43="Х","Х",IF(ISBLANK(Y43),"",IF(Y43&gt;2.5," ",IF(B43=BB$6,BB$7,BB$6))))</f>
        <v/>
      </c>
      <c r="AA43" s="89"/>
      <c r="AB43" s="290" t="str">
        <f>IF(H43="Х",F$5,IF(J43="Х",H$5,IF(L43="Х",J$5,IF(N43="Х",L$5,IF(P43="Х",N$5,IF(R43="Х",P$5,IF(T43="Х",R$5,IF(X43="Х",T$5,""))))))))</f>
        <v/>
      </c>
      <c r="AC43" s="276">
        <f>SUM(G43+I43+K43+M43+O43+Q43+S43+U43+Y43+AA43)</f>
        <v>0</v>
      </c>
      <c r="AD43" s="291" t="str">
        <f>AF43</f>
        <v>1-22</v>
      </c>
      <c r="AE43" s="278" t="str">
        <f>AD43</f>
        <v>1-22</v>
      </c>
      <c r="AF43" s="280" t="str">
        <f>COUNTIF(AG$6:AG$148,"&gt;"&amp;AG$6:AG$148)+1&amp;REPT("-"&amp;COUNTIF(AG$6:AG$148,"&gt;="&amp;AG$6:AG$148),COUNTIF(AG$6:AG$148,AG43)&gt;1)</f>
        <v>1-22</v>
      </c>
      <c r="AG43" s="282">
        <f>(AR43*100)+(AP43*10)-AC43</f>
        <v>1280</v>
      </c>
      <c r="AH43" s="288" t="str">
        <f>IF(OR(F43="Х",F43="св")," ",IF(AND(G43&gt;=0,G43&lt;3),"1"," "))</f>
        <v>1</v>
      </c>
      <c r="AI43" s="289" t="str">
        <f>IF(OR(H43="Х",H43="св")," ",IF(AND(I43&gt;=0,I43&lt;3),"1"," "))</f>
        <v>1</v>
      </c>
      <c r="AJ43" s="289" t="str">
        <f>IF(OR(J43="Х",J43="св")," ",IF(AND(K43&gt;=0,K43&lt;3),"1"," "))</f>
        <v>1</v>
      </c>
      <c r="AK43" s="289" t="str">
        <f>IF(OR(L43="Х",L43="св")," ",IF(AND(M43&gt;=0,M43&lt;3),"1"," "))</f>
        <v>1</v>
      </c>
      <c r="AL43" s="289" t="str">
        <f>IF(OR(N43="Х",N43="св")," ",IF(AND(O43&gt;=0,O43&lt;3),"1"," "))</f>
        <v>1</v>
      </c>
      <c r="AM43" s="289" t="str">
        <f>IF(OR(P43="Х",P43="св")," ",IF(AND(Q43&gt;=0,Q43&lt;3),"1"," "))</f>
        <v>1</v>
      </c>
      <c r="AN43" s="289" t="str">
        <f>IF(OR(R43="Х",R43="св")," ",IF(AND(S43&gt;=0,S43&lt;3),"1"," "))</f>
        <v>1</v>
      </c>
      <c r="AO43" s="289" t="str">
        <f>IF(OR(T43="Х",T43="св")," ",IF(AND(U43&gt;=0,U43&lt;3),"1"," "))</f>
        <v>1</v>
      </c>
      <c r="AP43" s="289">
        <f>COUNTIF(AH43:AO44,1)</f>
        <v>8</v>
      </c>
      <c r="AQ43" s="289">
        <f>AG43-AC43</f>
        <v>1280</v>
      </c>
      <c r="AR43" s="292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289" t="str">
        <f>COUNTIF(AG$6:AG$134,"&gt;"&amp;AG$6:AG$134)+1&amp;REPT("-"&amp;COUNTIF(AG$6:AG$134,"&gt;="&amp;AG$6:AG$134),COUNTIF(AG$6:AG$134,AG43)&gt;1)</f>
        <v>1-22</v>
      </c>
      <c r="AT43" s="288" t="str">
        <f t="shared" ref="AT43:AW43" si="23">COUNTIF(AU$6:AU$134,"&gt;"&amp;AU$6:AU$134)+1&amp;REPT("-"&amp;COUNTIF(AU$6:AU$134,"&gt;="&amp;AU$6:AU$134),COUNTIF(AU$6:AU$134,AU43)&gt;1)</f>
        <v>1-64</v>
      </c>
      <c r="AU43" s="288" t="str">
        <f t="shared" si="23"/>
        <v>1-0</v>
      </c>
      <c r="AV43" s="288" t="str">
        <f t="shared" si="23"/>
        <v>1</v>
      </c>
      <c r="AW43" s="288" t="str">
        <f t="shared" si="23"/>
        <v>46</v>
      </c>
      <c r="AX43" s="293">
        <f>IF(X43="Х","Х",IF(Y43&lt;3,B43,"Х"))</f>
        <v>19</v>
      </c>
      <c r="AY43" s="141" t="str">
        <f ca="1"/>
        <v/>
      </c>
      <c r="AZ43" s="97"/>
      <c r="BA43" s="141" t="str">
        <f ca="1"/>
        <v/>
      </c>
      <c r="BB43" s="92"/>
      <c r="BC43" s="49" t="str">
        <f ca="1"/>
        <v/>
      </c>
      <c r="BD43" s="144">
        <f ca="1"/>
        <v>0</v>
      </c>
      <c r="BE43" s="166" t="str">
        <f ca="1"/>
        <v/>
      </c>
      <c r="BF43" s="143">
        <f ca="1"/>
        <v>0</v>
      </c>
      <c r="BG43" s="77" t="str">
        <f ca="1"/>
        <v/>
      </c>
      <c r="BH43" s="49" t="str">
        <f ca="1"/>
        <v/>
      </c>
      <c r="BI43" s="49"/>
      <c r="BJ43" s="49"/>
      <c r="BK43" s="49"/>
      <c r="BL43" s="49"/>
      <c r="BM43" s="294">
        <v>19</v>
      </c>
      <c r="BN43" s="287">
        <v>18</v>
      </c>
      <c r="BO43" s="98" t="str">
        <f>IF(BM43&lt;BN43,BM43,"")</f>
        <v/>
      </c>
      <c r="BP43" s="124" t="str">
        <v/>
      </c>
      <c r="BQ43" s="125"/>
      <c r="BR43" s="295">
        <v>19</v>
      </c>
      <c r="BS43" s="287">
        <v>21</v>
      </c>
      <c r="BT43" s="109">
        <f>IF(BR43&lt;BS43,BR43,"")</f>
        <v>19</v>
      </c>
      <c r="BU43" s="124">
        <v>19</v>
      </c>
      <c r="BV43" s="124"/>
      <c r="BW43" s="284">
        <v>19</v>
      </c>
      <c r="BX43" s="286" t="str">
        <v xml:space="preserve"> </v>
      </c>
      <c r="BY43" s="102">
        <f t="array" ref="BY43">IF(BW43&lt;BX43,BW43,"")</f>
        <v>19</v>
      </c>
      <c r="BZ43" s="102">
        <f t="shared" si="17"/>
        <v>19</v>
      </c>
      <c r="CA43" s="63">
        <f ca="1">IFERROR(__xludf.DUMMYFUNCTION("""COMPUTED_VALUE"""),38)</f>
        <v>38</v>
      </c>
      <c r="CB43" s="63">
        <f t="shared" ca="1" si="18"/>
        <v>38</v>
      </c>
      <c r="CC43" s="128"/>
      <c r="CD43" s="159"/>
      <c r="CE43" s="286">
        <v>19</v>
      </c>
      <c r="CF43" s="296" t="str">
        <v xml:space="preserve"> </v>
      </c>
      <c r="CG43" s="98">
        <f t="array" ref="CG43">IF(CE43&lt;CF43,CE43,"")</f>
        <v>19</v>
      </c>
      <c r="CH43" s="63">
        <v>19</v>
      </c>
      <c r="CI43" s="115">
        <f ca="1">IFERROR(__xludf.DUMMYFUNCTION("""COMPUTED_VALUE"""),38)</f>
        <v>38</v>
      </c>
      <c r="CJ43" s="65">
        <v>19</v>
      </c>
      <c r="CK43" s="151" t="str">
        <v xml:space="preserve"> </v>
      </c>
      <c r="CL43" s="98">
        <f t="array" ref="CL43">IF(CJ43&lt;CK43,CJ43,"")</f>
        <v>19</v>
      </c>
      <c r="CM43" s="49">
        <v>19</v>
      </c>
      <c r="CN43" s="49">
        <f ca="1">IFERROR(__xludf.DUMMYFUNCTION("""COMPUTED_VALUE"""),38)</f>
        <v>38</v>
      </c>
      <c r="CO43" s="286">
        <v>19</v>
      </c>
      <c r="CP43" s="286" t="str">
        <v xml:space="preserve"> </v>
      </c>
      <c r="CQ43" s="98">
        <f t="array" ref="CQ43">IF(CO43&lt;CP43,CO43,"")</f>
        <v>19</v>
      </c>
      <c r="CR43" s="65">
        <v>19</v>
      </c>
      <c r="CS43" s="152">
        <f ca="1">IFERROR(__xludf.DUMMYFUNCTION("""COMPUTED_VALUE"""),38)</f>
        <v>38</v>
      </c>
      <c r="CT43" s="286">
        <v>19</v>
      </c>
      <c r="CU43" s="286" t="str">
        <v xml:space="preserve"> </v>
      </c>
      <c r="CV43" s="98">
        <f t="array" ref="CV43">IF(CT43&lt;CU43,CT43,"")</f>
        <v>19</v>
      </c>
      <c r="CW43" s="49">
        <v>19</v>
      </c>
      <c r="CX43" s="49">
        <f ca="1">IFERROR(__xludf.DUMMYFUNCTION("""COMPUTED_VALUE"""),38)</f>
        <v>38</v>
      </c>
      <c r="CY43" s="286">
        <v>19</v>
      </c>
      <c r="CZ43" s="286" t="str">
        <v xml:space="preserve"> </v>
      </c>
      <c r="DA43" s="98">
        <f t="array" ref="DA43">IF(CY43&lt;CZ43,CY43,"")</f>
        <v>19</v>
      </c>
      <c r="DB43" s="49">
        <v>19</v>
      </c>
      <c r="DC43" s="49">
        <f ca="1">IFERROR(__xludf.DUMMYFUNCTION("""COMPUTED_VALUE"""),38)</f>
        <v>38</v>
      </c>
      <c r="DD43" s="49">
        <v>19</v>
      </c>
      <c r="DE43" s="49"/>
      <c r="DF43" s="49"/>
      <c r="DG43" s="49"/>
      <c r="DH43" s="49"/>
    </row>
    <row r="44" spans="1:112" ht="13.5" customHeight="1">
      <c r="A44" s="78"/>
      <c r="B44" s="269"/>
      <c r="C44" s="269"/>
      <c r="D44" s="269"/>
      <c r="E44" s="269"/>
      <c r="F44" s="274"/>
      <c r="G44" s="106"/>
      <c r="H44" s="267"/>
      <c r="I44" s="106"/>
      <c r="J44" s="267"/>
      <c r="K44" s="106"/>
      <c r="L44" s="267"/>
      <c r="M44" s="106"/>
      <c r="N44" s="267"/>
      <c r="O44" s="106"/>
      <c r="P44" s="267"/>
      <c r="Q44" s="106"/>
      <c r="R44" s="267"/>
      <c r="S44" s="106"/>
      <c r="T44" s="267"/>
      <c r="U44" s="107"/>
      <c r="V44" s="267"/>
      <c r="W44" s="107"/>
      <c r="X44" s="267"/>
      <c r="Y44" s="106"/>
      <c r="Z44" s="267"/>
      <c r="AA44" s="106"/>
      <c r="AB44" s="274"/>
      <c r="AC44" s="269"/>
      <c r="AD44" s="267"/>
      <c r="AE44" s="279"/>
      <c r="AF44" s="281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/>
      <c r="AR44" s="283"/>
      <c r="AS44" s="283"/>
      <c r="AT44" s="283"/>
      <c r="AU44" s="283"/>
      <c r="AV44" s="283"/>
      <c r="AW44" s="283"/>
      <c r="AX44" s="264"/>
      <c r="AY44" s="145" t="str">
        <f ca="1"/>
        <v/>
      </c>
      <c r="AZ44" s="97"/>
      <c r="BA44" s="146" t="str">
        <f ca="1"/>
        <v/>
      </c>
      <c r="BB44" s="92"/>
      <c r="BC44" s="49" t="str">
        <f ca="1"/>
        <v/>
      </c>
      <c r="BD44" s="144">
        <f ca="1"/>
        <v>0</v>
      </c>
      <c r="BE44" s="49" t="str">
        <f ca="1"/>
        <v/>
      </c>
      <c r="BF44" s="143">
        <f ca="1"/>
        <v>0</v>
      </c>
      <c r="BG44" s="49" t="str">
        <f ca="1"/>
        <v/>
      </c>
      <c r="BH44" s="49" t="str">
        <f ca="1"/>
        <v/>
      </c>
      <c r="BI44" s="49"/>
      <c r="BJ44" s="49"/>
      <c r="BK44" s="49"/>
      <c r="BL44" s="49"/>
      <c r="BM44" s="285" t="str">
        <v/>
      </c>
      <c r="BN44" s="264">
        <v>0</v>
      </c>
      <c r="BO44" s="109" t="str">
        <f>IF(BO43="","",BN43)</f>
        <v/>
      </c>
      <c r="BP44" s="109" t="str">
        <v/>
      </c>
      <c r="BQ44" s="125"/>
      <c r="BR44" s="264" t="str">
        <v/>
      </c>
      <c r="BS44" s="264">
        <v>0</v>
      </c>
      <c r="BT44" s="109">
        <f>IF(BT43="","",BS43)</f>
        <v>21</v>
      </c>
      <c r="BU44" s="109">
        <v>21</v>
      </c>
      <c r="BV44" s="124"/>
      <c r="BW44" s="285" t="str">
        <v/>
      </c>
      <c r="BX44" s="264">
        <v>0</v>
      </c>
      <c r="BY44" s="102" t="str">
        <f>IF(BY43="","",BX43)</f>
        <v xml:space="preserve"> </v>
      </c>
      <c r="BZ44" s="102" t="str">
        <f t="shared" si="17"/>
        <v xml:space="preserve"> </v>
      </c>
      <c r="CA44" s="128">
        <f ca="1">IFERROR(__xludf.DUMMYFUNCTION("""COMPUTED_VALUE"""),39)</f>
        <v>39</v>
      </c>
      <c r="CB44" s="63">
        <f t="shared" ca="1" si="18"/>
        <v>39</v>
      </c>
      <c r="CC44" s="128"/>
      <c r="CD44" s="159"/>
      <c r="CE44" s="264" t="str">
        <v/>
      </c>
      <c r="CF44" s="264">
        <v>0</v>
      </c>
      <c r="CG44" s="113" t="str">
        <f>IF(CG43="","",CF43)</f>
        <v xml:space="preserve"> </v>
      </c>
      <c r="CH44" s="128" t="str">
        <v xml:space="preserve"> </v>
      </c>
      <c r="CI44" s="115">
        <f ca="1">IFERROR(__xludf.DUMMYFUNCTION("""COMPUTED_VALUE"""),39)</f>
        <v>39</v>
      </c>
      <c r="CJ44" s="49" t="str">
        <v/>
      </c>
      <c r="CK44" s="153">
        <v>0</v>
      </c>
      <c r="CL44" s="113" t="str">
        <f>IF(CL43="","",CK43)</f>
        <v xml:space="preserve"> </v>
      </c>
      <c r="CM44" s="49" t="str">
        <v xml:space="preserve"> </v>
      </c>
      <c r="CN44" s="49">
        <f ca="1">IFERROR(__xludf.DUMMYFUNCTION("""COMPUTED_VALUE"""),39)</f>
        <v>39</v>
      </c>
      <c r="CO44" s="264" t="str">
        <v/>
      </c>
      <c r="CP44" s="264">
        <v>0</v>
      </c>
      <c r="CQ44" s="113" t="str">
        <f>IF(CQ43="","",CP43)</f>
        <v xml:space="preserve"> </v>
      </c>
      <c r="CR44" s="49" t="str">
        <v xml:space="preserve"> </v>
      </c>
      <c r="CS44" s="152">
        <f ca="1">IFERROR(__xludf.DUMMYFUNCTION("""COMPUTED_VALUE"""),39)</f>
        <v>39</v>
      </c>
      <c r="CT44" s="264" t="str">
        <v/>
      </c>
      <c r="CU44" s="264">
        <v>0</v>
      </c>
      <c r="CV44" s="113" t="str">
        <f>IF(CV43="","",CU43)</f>
        <v xml:space="preserve"> </v>
      </c>
      <c r="CW44" s="49" t="str">
        <v xml:space="preserve"> </v>
      </c>
      <c r="CX44" s="49">
        <f ca="1">IFERROR(__xludf.DUMMYFUNCTION("""COMPUTED_VALUE"""),39)</f>
        <v>39</v>
      </c>
      <c r="CY44" s="264" t="str">
        <v/>
      </c>
      <c r="CZ44" s="264">
        <v>0</v>
      </c>
      <c r="DA44" s="113" t="str">
        <f>IF(DA43="","",CZ43)</f>
        <v xml:space="preserve"> </v>
      </c>
      <c r="DB44" s="49" t="str">
        <v xml:space="preserve"> </v>
      </c>
      <c r="DC44" s="49">
        <f ca="1">IFERROR(__xludf.DUMMYFUNCTION("""COMPUTED_VALUE"""),39)</f>
        <v>39</v>
      </c>
      <c r="DD44" s="49" t="str">
        <v/>
      </c>
      <c r="DE44" s="49"/>
      <c r="DF44" s="49"/>
      <c r="DG44" s="49"/>
      <c r="DH44" s="49"/>
    </row>
    <row r="45" spans="1:112" ht="13.5" customHeight="1">
      <c r="A45" s="78"/>
      <c r="B45" s="268">
        <v>20</v>
      </c>
      <c r="C45" s="270" t="str">
        <f>(VLOOKUP($B45,Пр.взв!$D$6:$J$63,2,0))</f>
        <v>МАКСИМОВА Василиса</v>
      </c>
      <c r="D45" s="271" t="str">
        <f>(VLOOKUP($B45,Пр.взв!$D$6:$J$63,5,0))</f>
        <v>КМС</v>
      </c>
      <c r="E45" s="272" t="str">
        <f>(VLOOKUP($B45,Пр.взв!$D$6:$M$63,8,0))</f>
        <v>Астраханская</v>
      </c>
      <c r="F45" s="273">
        <v>21</v>
      </c>
      <c r="G45" s="86"/>
      <c r="H45" s="266">
        <v>18</v>
      </c>
      <c r="I45" s="86"/>
      <c r="J45" s="266" t="str">
        <f>IF(H45="Х","Х",IF($AC45&lt;6," ","Х"))</f>
        <v xml:space="preserve"> </v>
      </c>
      <c r="K45" s="87"/>
      <c r="L45" s="266" t="str">
        <f>IF(J45="Х","Х",IF(K45&lt;3," ",IF($AC45&lt;6," ","Х")))</f>
        <v xml:space="preserve"> </v>
      </c>
      <c r="M45" s="87"/>
      <c r="N45" s="266" t="str">
        <f>IF(L45="Х","Х",IF(M45&lt;3," ",IF($AC45&lt;6," ","Х")))</f>
        <v xml:space="preserve"> </v>
      </c>
      <c r="O45" s="87"/>
      <c r="P45" s="266" t="str">
        <f>IF(N45="Х","Х",IF(O45&lt;3," ",IF($AC45&lt;6," ","Х")))</f>
        <v xml:space="preserve"> </v>
      </c>
      <c r="Q45" s="87"/>
      <c r="R45" s="266" t="str">
        <f>IF(P45="Х","Х",IF(Q45&lt;3," ",IF($AC45&lt;6," ","Х")))</f>
        <v xml:space="preserve"> </v>
      </c>
      <c r="S45" s="87"/>
      <c r="T45" s="266" t="str">
        <f>IF(R45="Х","Х",IF(S45&lt;3," ",IF($AC45&lt;6," ","Х")))</f>
        <v xml:space="preserve"> </v>
      </c>
      <c r="U45" s="88"/>
      <c r="V45" s="266" t="str">
        <f>IF(T45="Х","Х",IF(U45&lt;3," ",IF($AC45&lt;6," ","Х")))</f>
        <v xml:space="preserve"> </v>
      </c>
      <c r="W45" s="88"/>
      <c r="X45" s="266" t="str">
        <f>IF(V45="А1",$AZ$7,IF(V45="Б2",$AZ$6,IF(V45="Б1",$BA$7,IF(V45="А2",$BA$6,IF(V45="Х","Х",IF(V45&lt;6," "," "))))))</f>
        <v xml:space="preserve"> </v>
      </c>
      <c r="Y45" s="89"/>
      <c r="Z45" s="266" t="str">
        <f>IF(V45="Х","Х",IF(ISBLANK(Y45),"",IF(Y45&gt;2.5," ",IF(B45=BB$6,BB$7,BB$6))))</f>
        <v/>
      </c>
      <c r="AA45" s="89"/>
      <c r="AB45" s="290" t="str">
        <f>IF(H45="Х",F$5,IF(J45="Х",H$5,IF(L45="Х",J$5,IF(N45="Х",L$5,IF(P45="Х",N$5,IF(R45="Х",P$5,IF(T45="Х",R$5,IF(X45="Х",T$5,""))))))))</f>
        <v/>
      </c>
      <c r="AC45" s="276">
        <f>SUM(G45+I45+K45+M45+O45+Q45+S45+U45+Y45+AA45)</f>
        <v>0</v>
      </c>
      <c r="AD45" s="291" t="str">
        <f>AF45</f>
        <v>1-22</v>
      </c>
      <c r="AE45" s="278" t="str">
        <f>AD45</f>
        <v>1-22</v>
      </c>
      <c r="AF45" s="280" t="str">
        <f>COUNTIF(AG$6:AG$148,"&gt;"&amp;AG$6:AG$148)+1&amp;REPT("-"&amp;COUNTIF(AG$6:AG$148,"&gt;="&amp;AG$6:AG$148),COUNTIF(AG$6:AG$148,AG45)&gt;1)</f>
        <v>1-22</v>
      </c>
      <c r="AG45" s="282">
        <f>(AR45*100)+(AP45*10)-AC45</f>
        <v>1280</v>
      </c>
      <c r="AH45" s="288" t="str">
        <f>IF(OR(F45="Х",F45="св")," ",IF(AND(G45&gt;=0,G45&lt;3),"1"," "))</f>
        <v>1</v>
      </c>
      <c r="AI45" s="289" t="str">
        <f>IF(OR(H45="Х",H45="св")," ",IF(AND(I45&gt;=0,I45&lt;3),"1"," "))</f>
        <v>1</v>
      </c>
      <c r="AJ45" s="289" t="str">
        <f>IF(OR(J45="Х",J45="св")," ",IF(AND(K45&gt;=0,K45&lt;3),"1"," "))</f>
        <v>1</v>
      </c>
      <c r="AK45" s="289" t="str">
        <f>IF(OR(L45="Х",L45="св")," ",IF(AND(M45&gt;=0,M45&lt;3),"1"," "))</f>
        <v>1</v>
      </c>
      <c r="AL45" s="289" t="str">
        <f>IF(OR(N45="Х",N45="св")," ",IF(AND(O45&gt;=0,O45&lt;3),"1"," "))</f>
        <v>1</v>
      </c>
      <c r="AM45" s="289" t="str">
        <f>IF(OR(P45="Х",P45="св")," ",IF(AND(Q45&gt;=0,Q45&lt;3),"1"," "))</f>
        <v>1</v>
      </c>
      <c r="AN45" s="289" t="str">
        <f>IF(OR(R45="Х",R45="св")," ",IF(AND(S45&gt;=0,S45&lt;3),"1"," "))</f>
        <v>1</v>
      </c>
      <c r="AO45" s="289" t="str">
        <f>IF(OR(T45="Х",T45="св")," ",IF(AND(U45&gt;=0,U45&lt;3),"1"," "))</f>
        <v>1</v>
      </c>
      <c r="AP45" s="289">
        <f>COUNTIF(AH45:AO46,1)</f>
        <v>8</v>
      </c>
      <c r="AQ45" s="289">
        <f>AG45-AC45</f>
        <v>1280</v>
      </c>
      <c r="AR45" s="292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289" t="str">
        <f>COUNTIF(AG$6:AG$134,"&gt;"&amp;AG$6:AG$134)+1&amp;REPT("-"&amp;COUNTIF(AG$6:AG$134,"&gt;="&amp;AG$6:AG$134),COUNTIF(AG$6:AG$134,AG45)&gt;1)</f>
        <v>1-22</v>
      </c>
      <c r="AT45" s="288" t="str">
        <f t="shared" ref="AT45:AW45" si="24">COUNTIF(AU$6:AU$134,"&gt;"&amp;AU$6:AU$134)+1&amp;REPT("-"&amp;COUNTIF(AU$6:AU$134,"&gt;="&amp;AU$6:AU$134),COUNTIF(AU$6:AU$134,AU45)&gt;1)</f>
        <v>1-64</v>
      </c>
      <c r="AU45" s="288" t="str">
        <f t="shared" si="24"/>
        <v>1-0</v>
      </c>
      <c r="AV45" s="288" t="str">
        <f t="shared" si="24"/>
        <v>1</v>
      </c>
      <c r="AW45" s="288" t="str">
        <f t="shared" si="24"/>
        <v>45</v>
      </c>
      <c r="AX45" s="293">
        <f>IF(X45="Х","Х",IF(Y45&lt;3,B45,"Х"))</f>
        <v>20</v>
      </c>
      <c r="AY45" s="141" t="str">
        <f ca="1"/>
        <v/>
      </c>
      <c r="AZ45" s="97"/>
      <c r="BA45" s="141" t="str">
        <f ca="1"/>
        <v/>
      </c>
      <c r="BB45" s="92"/>
      <c r="BC45" s="49" t="str">
        <f ca="1"/>
        <v/>
      </c>
      <c r="BD45" s="144">
        <f ca="1"/>
        <v>0</v>
      </c>
      <c r="BE45" s="49" t="str">
        <f ca="1"/>
        <v/>
      </c>
      <c r="BF45" s="143">
        <f ca="1"/>
        <v>0</v>
      </c>
      <c r="BG45" s="49" t="str">
        <f ca="1"/>
        <v/>
      </c>
      <c r="BH45" s="49" t="str">
        <f ca="1"/>
        <v/>
      </c>
      <c r="BI45" s="49"/>
      <c r="BJ45" s="49"/>
      <c r="BK45" s="49"/>
      <c r="BL45" s="49"/>
      <c r="BM45" s="294">
        <v>20</v>
      </c>
      <c r="BN45" s="287">
        <v>21</v>
      </c>
      <c r="BO45" s="98">
        <f>IF(BM45&lt;BN45,BM45,"")</f>
        <v>20</v>
      </c>
      <c r="BP45" s="124">
        <v>20</v>
      </c>
      <c r="BQ45" s="125"/>
      <c r="BR45" s="295">
        <v>20</v>
      </c>
      <c r="BS45" s="287">
        <v>18</v>
      </c>
      <c r="BT45" s="109" t="str">
        <f>IF(BR45&lt;BS45,BR45,"")</f>
        <v/>
      </c>
      <c r="BU45" s="124" t="str">
        <v/>
      </c>
      <c r="BV45" s="124"/>
      <c r="BW45" s="284">
        <v>20</v>
      </c>
      <c r="BX45" s="286" t="str">
        <v xml:space="preserve"> </v>
      </c>
      <c r="BY45" s="102">
        <f t="array" ref="BY45">IF(BW45&lt;BX45,BW45,"")</f>
        <v>20</v>
      </c>
      <c r="BZ45" s="102">
        <f t="shared" si="17"/>
        <v>20</v>
      </c>
      <c r="CA45" s="63">
        <f ca="1">IFERROR(__xludf.DUMMYFUNCTION("""COMPUTED_VALUE"""),40)</f>
        <v>40</v>
      </c>
      <c r="CB45" s="63">
        <f t="shared" ca="1" si="18"/>
        <v>40</v>
      </c>
      <c r="CC45" s="128"/>
      <c r="CD45" s="159"/>
      <c r="CE45" s="286">
        <v>20</v>
      </c>
      <c r="CF45" s="296" t="str">
        <v xml:space="preserve"> </v>
      </c>
      <c r="CG45" s="98">
        <f t="array" ref="CG45">IF(CE45&lt;CF45,CE45,"")</f>
        <v>20</v>
      </c>
      <c r="CH45" s="63">
        <v>20</v>
      </c>
      <c r="CI45" s="115">
        <f ca="1">IFERROR(__xludf.DUMMYFUNCTION("""COMPUTED_VALUE"""),40)</f>
        <v>40</v>
      </c>
      <c r="CJ45" s="65">
        <v>20</v>
      </c>
      <c r="CK45" s="151" t="str">
        <v xml:space="preserve"> </v>
      </c>
      <c r="CL45" s="98">
        <f t="array" ref="CL45">IF(CJ45&lt;CK45,CJ45,"")</f>
        <v>20</v>
      </c>
      <c r="CM45" s="49">
        <v>20</v>
      </c>
      <c r="CN45" s="49">
        <f ca="1">IFERROR(__xludf.DUMMYFUNCTION("""COMPUTED_VALUE"""),40)</f>
        <v>40</v>
      </c>
      <c r="CO45" s="286">
        <v>20</v>
      </c>
      <c r="CP45" s="286" t="str">
        <v xml:space="preserve"> </v>
      </c>
      <c r="CQ45" s="98">
        <f t="array" ref="CQ45">IF(CO45&lt;CP45,CO45,"")</f>
        <v>20</v>
      </c>
      <c r="CR45" s="65">
        <v>20</v>
      </c>
      <c r="CS45" s="152">
        <f ca="1">IFERROR(__xludf.DUMMYFUNCTION("""COMPUTED_VALUE"""),40)</f>
        <v>40</v>
      </c>
      <c r="CT45" s="286">
        <v>20</v>
      </c>
      <c r="CU45" s="286" t="str">
        <v xml:space="preserve"> </v>
      </c>
      <c r="CV45" s="98">
        <f t="array" ref="CV45">IF(CT45&lt;CU45,CT45,"")</f>
        <v>20</v>
      </c>
      <c r="CW45" s="49">
        <v>20</v>
      </c>
      <c r="CX45" s="49">
        <f ca="1">IFERROR(__xludf.DUMMYFUNCTION("""COMPUTED_VALUE"""),40)</f>
        <v>40</v>
      </c>
      <c r="CY45" s="286">
        <v>20</v>
      </c>
      <c r="CZ45" s="286" t="str">
        <v xml:space="preserve"> </v>
      </c>
      <c r="DA45" s="98">
        <f t="array" ref="DA45">IF(CY45&lt;CZ45,CY45,"")</f>
        <v>20</v>
      </c>
      <c r="DB45" s="49">
        <v>20</v>
      </c>
      <c r="DC45" s="49">
        <f ca="1">IFERROR(__xludf.DUMMYFUNCTION("""COMPUTED_VALUE"""),40)</f>
        <v>40</v>
      </c>
      <c r="DD45" s="49">
        <v>20</v>
      </c>
      <c r="DE45" s="49"/>
      <c r="DF45" s="49"/>
      <c r="DG45" s="49"/>
      <c r="DH45" s="49"/>
    </row>
    <row r="46" spans="1:112" ht="13.5" customHeight="1">
      <c r="A46" s="78"/>
      <c r="B46" s="269"/>
      <c r="C46" s="269"/>
      <c r="D46" s="269"/>
      <c r="E46" s="269"/>
      <c r="F46" s="274"/>
      <c r="G46" s="106"/>
      <c r="H46" s="267"/>
      <c r="I46" s="106"/>
      <c r="J46" s="267"/>
      <c r="K46" s="106"/>
      <c r="L46" s="267"/>
      <c r="M46" s="106"/>
      <c r="N46" s="267"/>
      <c r="O46" s="106"/>
      <c r="P46" s="267"/>
      <c r="Q46" s="106"/>
      <c r="R46" s="267"/>
      <c r="S46" s="106"/>
      <c r="T46" s="267"/>
      <c r="U46" s="107"/>
      <c r="V46" s="267"/>
      <c r="W46" s="107"/>
      <c r="X46" s="267"/>
      <c r="Y46" s="106"/>
      <c r="Z46" s="267"/>
      <c r="AA46" s="106"/>
      <c r="AB46" s="274"/>
      <c r="AC46" s="269"/>
      <c r="AD46" s="267"/>
      <c r="AE46" s="279"/>
      <c r="AF46" s="281"/>
      <c r="AG46" s="283"/>
      <c r="AH46" s="283"/>
      <c r="AI46" s="283"/>
      <c r="AJ46" s="283"/>
      <c r="AK46" s="283"/>
      <c r="AL46" s="283"/>
      <c r="AM46" s="283"/>
      <c r="AN46" s="283"/>
      <c r="AO46" s="283"/>
      <c r="AP46" s="283"/>
      <c r="AQ46" s="283"/>
      <c r="AR46" s="283"/>
      <c r="AS46" s="283"/>
      <c r="AT46" s="283"/>
      <c r="AU46" s="283"/>
      <c r="AV46" s="283"/>
      <c r="AW46" s="283"/>
      <c r="AX46" s="264"/>
      <c r="AY46" s="145" t="str">
        <f ca="1"/>
        <v/>
      </c>
      <c r="AZ46" s="97"/>
      <c r="BA46" s="146" t="str">
        <f ca="1"/>
        <v/>
      </c>
      <c r="BB46" s="92"/>
      <c r="BC46" s="49" t="str">
        <f ca="1"/>
        <v/>
      </c>
      <c r="BD46" s="144">
        <f ca="1"/>
        <v>0</v>
      </c>
      <c r="BE46" s="166" t="str">
        <f ca="1"/>
        <v/>
      </c>
      <c r="BF46" s="143">
        <f ca="1"/>
        <v>0</v>
      </c>
      <c r="BG46" s="77" t="str">
        <f ca="1"/>
        <v/>
      </c>
      <c r="BH46" s="49" t="str">
        <f ca="1"/>
        <v/>
      </c>
      <c r="BI46" s="49"/>
      <c r="BJ46" s="49"/>
      <c r="BK46" s="49"/>
      <c r="BL46" s="49"/>
      <c r="BM46" s="285" t="str">
        <v/>
      </c>
      <c r="BN46" s="264">
        <v>0</v>
      </c>
      <c r="BO46" s="109">
        <f>IF(BO45="","",BN45)</f>
        <v>21</v>
      </c>
      <c r="BP46" s="109">
        <v>21</v>
      </c>
      <c r="BQ46" s="125"/>
      <c r="BR46" s="264" t="str">
        <v/>
      </c>
      <c r="BS46" s="264">
        <v>0</v>
      </c>
      <c r="BT46" s="109" t="str">
        <f>IF(BT45="","",BS45)</f>
        <v/>
      </c>
      <c r="BU46" s="109" t="str">
        <v/>
      </c>
      <c r="BV46" s="124"/>
      <c r="BW46" s="285" t="str">
        <v/>
      </c>
      <c r="BX46" s="264">
        <v>0</v>
      </c>
      <c r="BY46" s="102" t="str">
        <f>IF(BY45="","",BX45)</f>
        <v xml:space="preserve"> </v>
      </c>
      <c r="BZ46" s="102" t="str">
        <f t="shared" si="17"/>
        <v xml:space="preserve"> </v>
      </c>
      <c r="CA46" s="128">
        <f ca="1">IFERROR(__xludf.DUMMYFUNCTION("""COMPUTED_VALUE"""),41)</f>
        <v>41</v>
      </c>
      <c r="CB46" s="63">
        <f t="shared" ca="1" si="18"/>
        <v>41</v>
      </c>
      <c r="CC46" s="128"/>
      <c r="CD46" s="159"/>
      <c r="CE46" s="264" t="str">
        <v/>
      </c>
      <c r="CF46" s="264">
        <v>0</v>
      </c>
      <c r="CG46" s="113" t="str">
        <f>IF(CG45="","",CF45)</f>
        <v xml:space="preserve"> </v>
      </c>
      <c r="CH46" s="128" t="str">
        <v xml:space="preserve"> </v>
      </c>
      <c r="CI46" s="115">
        <f ca="1">IFERROR(__xludf.DUMMYFUNCTION("""COMPUTED_VALUE"""),41)</f>
        <v>41</v>
      </c>
      <c r="CJ46" s="49" t="str">
        <v/>
      </c>
      <c r="CK46" s="153">
        <v>0</v>
      </c>
      <c r="CL46" s="113" t="str">
        <f>IF(CL45="","",CK45)</f>
        <v xml:space="preserve"> </v>
      </c>
      <c r="CM46" s="49" t="str">
        <v xml:space="preserve"> </v>
      </c>
      <c r="CN46" s="49">
        <f ca="1">IFERROR(__xludf.DUMMYFUNCTION("""COMPUTED_VALUE"""),41)</f>
        <v>41</v>
      </c>
      <c r="CO46" s="264" t="str">
        <v/>
      </c>
      <c r="CP46" s="264">
        <v>0</v>
      </c>
      <c r="CQ46" s="113" t="str">
        <f>IF(CQ45="","",CP45)</f>
        <v xml:space="preserve"> </v>
      </c>
      <c r="CR46" s="49" t="str">
        <v xml:space="preserve"> </v>
      </c>
      <c r="CS46" s="152">
        <f ca="1">IFERROR(__xludf.DUMMYFUNCTION("""COMPUTED_VALUE"""),41)</f>
        <v>41</v>
      </c>
      <c r="CT46" s="264" t="str">
        <v/>
      </c>
      <c r="CU46" s="264">
        <v>0</v>
      </c>
      <c r="CV46" s="113" t="str">
        <f>IF(CV45="","",CU45)</f>
        <v xml:space="preserve"> </v>
      </c>
      <c r="CW46" s="49" t="str">
        <v xml:space="preserve"> </v>
      </c>
      <c r="CX46" s="49">
        <f ca="1">IFERROR(__xludf.DUMMYFUNCTION("""COMPUTED_VALUE"""),41)</f>
        <v>41</v>
      </c>
      <c r="CY46" s="264" t="str">
        <v/>
      </c>
      <c r="CZ46" s="264">
        <v>0</v>
      </c>
      <c r="DA46" s="113" t="str">
        <f>IF(DA45="","",CZ45)</f>
        <v xml:space="preserve"> </v>
      </c>
      <c r="DB46" s="49" t="str">
        <v xml:space="preserve"> </v>
      </c>
      <c r="DC46" s="49">
        <f ca="1">IFERROR(__xludf.DUMMYFUNCTION("""COMPUTED_VALUE"""),41)</f>
        <v>41</v>
      </c>
      <c r="DD46" s="49" t="str">
        <v/>
      </c>
      <c r="DE46" s="49"/>
      <c r="DF46" s="49"/>
      <c r="DG46" s="49"/>
      <c r="DH46" s="49"/>
    </row>
    <row r="47" spans="1:112" ht="13.5" customHeight="1">
      <c r="A47" s="78"/>
      <c r="B47" s="268">
        <v>21</v>
      </c>
      <c r="C47" s="270" t="str">
        <f>(VLOOKUP($B47,Пр.взв!$D$6:$J$63,2,0))</f>
        <v>МУХИНА  Ольга</v>
      </c>
      <c r="D47" s="271" t="str">
        <f>(VLOOKUP($B47,Пр.взв!$D$6:$J$63,5,0))</f>
        <v>КМС</v>
      </c>
      <c r="E47" s="272" t="str">
        <f>(VLOOKUP($B47,Пр.взв!$D$6:$M$63,8,0))</f>
        <v>Свердловская</v>
      </c>
      <c r="F47" s="273">
        <v>20</v>
      </c>
      <c r="G47" s="86"/>
      <c r="H47" s="266">
        <v>19</v>
      </c>
      <c r="I47" s="86"/>
      <c r="J47" s="266" t="str">
        <f>IF(H47="Х","Х",IF($AC47&lt;6," ","Х"))</f>
        <v xml:space="preserve"> </v>
      </c>
      <c r="K47" s="87"/>
      <c r="L47" s="266" t="str">
        <f>IF(J47="Х","Х",IF(K47&lt;3," ",IF($AC47&lt;6," ","Х")))</f>
        <v xml:space="preserve"> </v>
      </c>
      <c r="M47" s="87"/>
      <c r="N47" s="266" t="str">
        <f>IF(L47="Х","Х",IF(M47&lt;3," ",IF($AC47&lt;6," ","Х")))</f>
        <v xml:space="preserve"> </v>
      </c>
      <c r="O47" s="87"/>
      <c r="P47" s="266" t="str">
        <f>IF(N47="Х","Х",IF(O47&lt;3," ",IF($AC47&lt;6," ","Х")))</f>
        <v xml:space="preserve"> </v>
      </c>
      <c r="Q47" s="87"/>
      <c r="R47" s="266" t="str">
        <f>IF(P47="Х","Х",IF(Q47&lt;3," ",IF($AC47&lt;6," ","Х")))</f>
        <v xml:space="preserve"> </v>
      </c>
      <c r="S47" s="87"/>
      <c r="T47" s="266" t="str">
        <f>IF(R47="Х","Х",IF(S47&lt;3," ",IF($AC47&lt;6," ","Х")))</f>
        <v xml:space="preserve"> </v>
      </c>
      <c r="U47" s="88"/>
      <c r="V47" s="266" t="str">
        <f>IF(T47="Х","Х",IF(U47&lt;3," ",IF($AC47&lt;6," ","Х")))</f>
        <v xml:space="preserve"> </v>
      </c>
      <c r="W47" s="88"/>
      <c r="X47" s="266" t="str">
        <f>IF(V47="А1",$AZ$7,IF(V47="Б2",$AZ$6,IF(V47="Б1",$BA$7,IF(V47="А2",$BA$6,IF(V47="Х","Х",IF(V47&lt;6," "," "))))))</f>
        <v xml:space="preserve"> </v>
      </c>
      <c r="Y47" s="89"/>
      <c r="Z47" s="266" t="str">
        <f>IF(V47="Х","Х",IF(ISBLANK(Y47),"",IF(Y47&gt;2.5," ",IF(B47=BB$6,BB$7,BB$6))))</f>
        <v/>
      </c>
      <c r="AA47" s="89"/>
      <c r="AB47" s="290" t="str">
        <f>IF(H47="Х",F$5,IF(J47="Х",H$5,IF(L47="Х",J$5,IF(N47="Х",L$5,IF(P47="Х",N$5,IF(R47="Х",P$5,IF(T47="Х",R$5,IF(X47="Х",T$5,""))))))))</f>
        <v/>
      </c>
      <c r="AC47" s="276">
        <f>SUM(G47+I47+K47+M47+O47+Q47+S47+U47+Y47+AA47)</f>
        <v>0</v>
      </c>
      <c r="AD47" s="291" t="str">
        <f>AF47</f>
        <v>1-22</v>
      </c>
      <c r="AE47" s="278" t="str">
        <f>AD47</f>
        <v>1-22</v>
      </c>
      <c r="AF47" s="280" t="str">
        <f>COUNTIF(AG$6:AG$148,"&gt;"&amp;AG$6:AG$148)+1&amp;REPT("-"&amp;COUNTIF(AG$6:AG$148,"&gt;="&amp;AG$6:AG$148),COUNTIF(AG$6:AG$148,AG47)&gt;1)</f>
        <v>1-22</v>
      </c>
      <c r="AG47" s="282">
        <f>(AR47*100)+(AP47*10)-AC47</f>
        <v>1280</v>
      </c>
      <c r="AH47" s="288" t="str">
        <f>IF(OR(F47="Х",F47="св")," ",IF(AND(G47&gt;=0,G47&lt;3),"1"," "))</f>
        <v>1</v>
      </c>
      <c r="AI47" s="289" t="str">
        <f>IF(OR(H47="Х",H47="св")," ",IF(AND(I47&gt;=0,I47&lt;3),"1"," "))</f>
        <v>1</v>
      </c>
      <c r="AJ47" s="289" t="str">
        <f>IF(OR(J47="Х",J47="св")," ",IF(AND(K47&gt;=0,K47&lt;3),"1"," "))</f>
        <v>1</v>
      </c>
      <c r="AK47" s="289" t="str">
        <f>IF(OR(L47="Х",L47="св")," ",IF(AND(M47&gt;=0,M47&lt;3),"1"," "))</f>
        <v>1</v>
      </c>
      <c r="AL47" s="289" t="str">
        <f>IF(OR(N47="Х",N47="св")," ",IF(AND(O47&gt;=0,O47&lt;3),"1"," "))</f>
        <v>1</v>
      </c>
      <c r="AM47" s="289" t="str">
        <f>IF(OR(P47="Х",P47="св")," ",IF(AND(Q47&gt;=0,Q47&lt;3),"1"," "))</f>
        <v>1</v>
      </c>
      <c r="AN47" s="289" t="str">
        <f>IF(OR(R47="Х",R47="св")," ",IF(AND(S47&gt;=0,S47&lt;3),"1"," "))</f>
        <v>1</v>
      </c>
      <c r="AO47" s="289" t="str">
        <f>IF(OR(T47="Х",T47="св")," ",IF(AND(U47&gt;=0,U47&lt;3),"1"," "))</f>
        <v>1</v>
      </c>
      <c r="AP47" s="289">
        <f>COUNTIF(AH47:AO48,1)</f>
        <v>8</v>
      </c>
      <c r="AQ47" s="289">
        <f>AG47-AC47</f>
        <v>1280</v>
      </c>
      <c r="AR47" s="292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289" t="str">
        <f>COUNTIF(AG$6:AG$134,"&gt;"&amp;AG$6:AG$134)+1&amp;REPT("-"&amp;COUNTIF(AG$6:AG$134,"&gt;="&amp;AG$6:AG$134),COUNTIF(AG$6:AG$134,AG47)&gt;1)</f>
        <v>1-22</v>
      </c>
      <c r="AT47" s="288" t="str">
        <f t="shared" ref="AT47:AW47" si="25">COUNTIF(AU$6:AU$134,"&gt;"&amp;AU$6:AU$134)+1&amp;REPT("-"&amp;COUNTIF(AU$6:AU$134,"&gt;="&amp;AU$6:AU$134),COUNTIF(AU$6:AU$134,AU47)&gt;1)</f>
        <v>1-64</v>
      </c>
      <c r="AU47" s="288" t="str">
        <f t="shared" si="25"/>
        <v>1-0</v>
      </c>
      <c r="AV47" s="288" t="str">
        <f t="shared" si="25"/>
        <v>1</v>
      </c>
      <c r="AW47" s="288" t="str">
        <f t="shared" si="25"/>
        <v>44</v>
      </c>
      <c r="AX47" s="293">
        <f>IF(X47="Х","Х",IF(Y47&lt;3,B47,"Х"))</f>
        <v>21</v>
      </c>
      <c r="AY47" s="141" t="str">
        <f ca="1"/>
        <v/>
      </c>
      <c r="AZ47" s="97"/>
      <c r="BA47" s="141" t="str">
        <f ca="1"/>
        <v/>
      </c>
      <c r="BB47" s="92"/>
      <c r="BC47" s="49" t="str">
        <f ca="1"/>
        <v/>
      </c>
      <c r="BD47" s="144">
        <f ca="1"/>
        <v>0</v>
      </c>
      <c r="BE47" s="49" t="str">
        <f ca="1"/>
        <v/>
      </c>
      <c r="BF47" s="143">
        <f ca="1"/>
        <v>0</v>
      </c>
      <c r="BG47" s="49" t="str">
        <f ca="1"/>
        <v/>
      </c>
      <c r="BH47" s="49" t="str">
        <f ca="1"/>
        <v/>
      </c>
      <c r="BI47" s="49"/>
      <c r="BJ47" s="49"/>
      <c r="BK47" s="49"/>
      <c r="BL47" s="49"/>
      <c r="BM47" s="294">
        <v>21</v>
      </c>
      <c r="BN47" s="287">
        <v>20</v>
      </c>
      <c r="BO47" s="98" t="str">
        <f>IF(BM47&lt;BN47,BM47,"")</f>
        <v/>
      </c>
      <c r="BP47" s="124" t="str">
        <v/>
      </c>
      <c r="BQ47" s="125"/>
      <c r="BR47" s="295">
        <v>21</v>
      </c>
      <c r="BS47" s="287">
        <v>19</v>
      </c>
      <c r="BT47" s="109" t="str">
        <f>IF(BR47&lt;BS47,BR47,"")</f>
        <v/>
      </c>
      <c r="BU47" s="124" t="str">
        <v/>
      </c>
      <c r="BV47" s="124"/>
      <c r="BW47" s="284">
        <v>21</v>
      </c>
      <c r="BX47" s="286" t="str">
        <v xml:space="preserve"> </v>
      </c>
      <c r="BY47" s="102">
        <f t="array" ref="BY47">IF(BW47&lt;BX47,BW47,"")</f>
        <v>21</v>
      </c>
      <c r="BZ47" s="102">
        <f t="shared" si="17"/>
        <v>21</v>
      </c>
      <c r="CA47" s="63">
        <f ca="1">IFERROR(__xludf.DUMMYFUNCTION("""COMPUTED_VALUE"""),42)</f>
        <v>42</v>
      </c>
      <c r="CB47" s="63">
        <f t="shared" ca="1" si="18"/>
        <v>42</v>
      </c>
      <c r="CC47" s="128"/>
      <c r="CD47" s="159"/>
      <c r="CE47" s="286">
        <v>21</v>
      </c>
      <c r="CF47" s="296" t="str">
        <v xml:space="preserve"> </v>
      </c>
      <c r="CG47" s="98">
        <f t="array" ref="CG47">IF(CE47&lt;CF47,CE47,"")</f>
        <v>21</v>
      </c>
      <c r="CH47" s="63">
        <v>21</v>
      </c>
      <c r="CI47" s="115">
        <f ca="1">IFERROR(__xludf.DUMMYFUNCTION("""COMPUTED_VALUE"""),42)</f>
        <v>42</v>
      </c>
      <c r="CJ47" s="65">
        <v>21</v>
      </c>
      <c r="CK47" s="151" t="str">
        <v xml:space="preserve"> </v>
      </c>
      <c r="CL47" s="98">
        <f t="array" ref="CL47">IF(CJ47&lt;CK47,CJ47,"")</f>
        <v>21</v>
      </c>
      <c r="CM47" s="49">
        <v>21</v>
      </c>
      <c r="CN47" s="49">
        <f ca="1">IFERROR(__xludf.DUMMYFUNCTION("""COMPUTED_VALUE"""),42)</f>
        <v>42</v>
      </c>
      <c r="CO47" s="286">
        <v>21</v>
      </c>
      <c r="CP47" s="286" t="str">
        <v xml:space="preserve"> </v>
      </c>
      <c r="CQ47" s="98">
        <f t="array" ref="CQ47">IF(CO47&lt;CP47,CO47,"")</f>
        <v>21</v>
      </c>
      <c r="CR47" s="65">
        <v>21</v>
      </c>
      <c r="CS47" s="152">
        <f ca="1">IFERROR(__xludf.DUMMYFUNCTION("""COMPUTED_VALUE"""),42)</f>
        <v>42</v>
      </c>
      <c r="CT47" s="286">
        <v>21</v>
      </c>
      <c r="CU47" s="286" t="str">
        <v xml:space="preserve"> </v>
      </c>
      <c r="CV47" s="98">
        <f t="array" ref="CV47">IF(CT47&lt;CU47,CT47,"")</f>
        <v>21</v>
      </c>
      <c r="CW47" s="49">
        <v>21</v>
      </c>
      <c r="CX47" s="49">
        <f ca="1">IFERROR(__xludf.DUMMYFUNCTION("""COMPUTED_VALUE"""),42)</f>
        <v>42</v>
      </c>
      <c r="CY47" s="286">
        <v>21</v>
      </c>
      <c r="CZ47" s="286" t="str">
        <v xml:space="preserve"> </v>
      </c>
      <c r="DA47" s="98">
        <f t="array" ref="DA47">IF(CY47&lt;CZ47,CY47,"")</f>
        <v>21</v>
      </c>
      <c r="DB47" s="49">
        <v>21</v>
      </c>
      <c r="DC47" s="49">
        <f ca="1">IFERROR(__xludf.DUMMYFUNCTION("""COMPUTED_VALUE"""),42)</f>
        <v>42</v>
      </c>
      <c r="DD47" s="49">
        <v>21</v>
      </c>
      <c r="DE47" s="49"/>
      <c r="DF47" s="49"/>
      <c r="DG47" s="49"/>
      <c r="DH47" s="49"/>
    </row>
    <row r="48" spans="1:112" ht="13.5" customHeight="1">
      <c r="A48" s="78"/>
      <c r="B48" s="269"/>
      <c r="C48" s="269"/>
      <c r="D48" s="269"/>
      <c r="E48" s="269"/>
      <c r="F48" s="274"/>
      <c r="G48" s="106"/>
      <c r="H48" s="267"/>
      <c r="I48" s="106"/>
      <c r="J48" s="267"/>
      <c r="K48" s="106"/>
      <c r="L48" s="267"/>
      <c r="M48" s="106"/>
      <c r="N48" s="267"/>
      <c r="O48" s="106"/>
      <c r="P48" s="267"/>
      <c r="Q48" s="106"/>
      <c r="R48" s="267"/>
      <c r="S48" s="106"/>
      <c r="T48" s="267"/>
      <c r="U48" s="107"/>
      <c r="V48" s="267"/>
      <c r="W48" s="107"/>
      <c r="X48" s="267"/>
      <c r="Y48" s="106"/>
      <c r="Z48" s="267"/>
      <c r="AA48" s="106"/>
      <c r="AB48" s="274"/>
      <c r="AC48" s="269"/>
      <c r="AD48" s="267"/>
      <c r="AE48" s="279"/>
      <c r="AF48" s="281"/>
      <c r="AG48" s="283"/>
      <c r="AH48" s="283"/>
      <c r="AI48" s="283"/>
      <c r="AJ48" s="283"/>
      <c r="AK48" s="283"/>
      <c r="AL48" s="283"/>
      <c r="AM48" s="283"/>
      <c r="AN48" s="283"/>
      <c r="AO48" s="283"/>
      <c r="AP48" s="283"/>
      <c r="AQ48" s="283"/>
      <c r="AR48" s="283"/>
      <c r="AS48" s="283"/>
      <c r="AT48" s="283"/>
      <c r="AU48" s="283"/>
      <c r="AV48" s="283"/>
      <c r="AW48" s="283"/>
      <c r="AX48" s="264"/>
      <c r="AY48" s="145" t="str">
        <f ca="1"/>
        <v/>
      </c>
      <c r="AZ48" s="97"/>
      <c r="BA48" s="146" t="str">
        <f ca="1"/>
        <v/>
      </c>
      <c r="BB48" s="92"/>
      <c r="BC48" s="49" t="str">
        <f ca="1"/>
        <v/>
      </c>
      <c r="BD48" s="144">
        <f ca="1"/>
        <v>0</v>
      </c>
      <c r="BE48" s="49" t="str">
        <f ca="1"/>
        <v/>
      </c>
      <c r="BF48" s="143">
        <f ca="1"/>
        <v>0</v>
      </c>
      <c r="BG48" s="49" t="str">
        <f ca="1"/>
        <v/>
      </c>
      <c r="BH48" s="49" t="str">
        <f ca="1"/>
        <v/>
      </c>
      <c r="BI48" s="49"/>
      <c r="BJ48" s="49"/>
      <c r="BK48" s="49"/>
      <c r="BL48" s="49"/>
      <c r="BM48" s="285" t="str">
        <v/>
      </c>
      <c r="BN48" s="264">
        <v>0</v>
      </c>
      <c r="BO48" s="109" t="str">
        <f>IF(BO47="","",BN47)</f>
        <v/>
      </c>
      <c r="BP48" s="109" t="str">
        <v/>
      </c>
      <c r="BQ48" s="125"/>
      <c r="BR48" s="264" t="str">
        <v/>
      </c>
      <c r="BS48" s="264">
        <v>0</v>
      </c>
      <c r="BT48" s="109" t="str">
        <f>IF(BT47="","",BS47)</f>
        <v/>
      </c>
      <c r="BU48" s="109" t="str">
        <v/>
      </c>
      <c r="BV48" s="124"/>
      <c r="BW48" s="285" t="str">
        <v/>
      </c>
      <c r="BX48" s="264">
        <v>0</v>
      </c>
      <c r="BY48" s="102" t="str">
        <f>IF(BY47="","",BX47)</f>
        <v xml:space="preserve"> </v>
      </c>
      <c r="BZ48" s="102" t="str">
        <f t="shared" si="17"/>
        <v xml:space="preserve"> </v>
      </c>
      <c r="CA48" s="128">
        <f ca="1">IFERROR(__xludf.DUMMYFUNCTION("""COMPUTED_VALUE"""),43)</f>
        <v>43</v>
      </c>
      <c r="CB48" s="63">
        <f t="shared" ca="1" si="18"/>
        <v>43</v>
      </c>
      <c r="CC48" s="128"/>
      <c r="CD48" s="159"/>
      <c r="CE48" s="264" t="str">
        <v/>
      </c>
      <c r="CF48" s="264">
        <v>0</v>
      </c>
      <c r="CG48" s="113" t="str">
        <f>IF(CG47="","",CF47)</f>
        <v xml:space="preserve"> </v>
      </c>
      <c r="CH48" s="128" t="str">
        <v xml:space="preserve"> </v>
      </c>
      <c r="CI48" s="115">
        <f ca="1">IFERROR(__xludf.DUMMYFUNCTION("""COMPUTED_VALUE"""),43)</f>
        <v>43</v>
      </c>
      <c r="CJ48" s="49" t="str">
        <v/>
      </c>
      <c r="CK48" s="153">
        <v>0</v>
      </c>
      <c r="CL48" s="113" t="str">
        <f>IF(CL47="","",CK47)</f>
        <v xml:space="preserve"> </v>
      </c>
      <c r="CM48" s="49" t="str">
        <v xml:space="preserve"> </v>
      </c>
      <c r="CN48" s="49">
        <f ca="1">IFERROR(__xludf.DUMMYFUNCTION("""COMPUTED_VALUE"""),43)</f>
        <v>43</v>
      </c>
      <c r="CO48" s="264" t="str">
        <v/>
      </c>
      <c r="CP48" s="264">
        <v>0</v>
      </c>
      <c r="CQ48" s="113" t="str">
        <f>IF(CQ47="","",CP47)</f>
        <v xml:space="preserve"> </v>
      </c>
      <c r="CR48" s="49" t="str">
        <v xml:space="preserve"> </v>
      </c>
      <c r="CS48" s="152">
        <f ca="1">IFERROR(__xludf.DUMMYFUNCTION("""COMPUTED_VALUE"""),43)</f>
        <v>43</v>
      </c>
      <c r="CT48" s="264" t="str">
        <v/>
      </c>
      <c r="CU48" s="264">
        <v>0</v>
      </c>
      <c r="CV48" s="113" t="str">
        <f>IF(CV47="","",CU47)</f>
        <v xml:space="preserve"> </v>
      </c>
      <c r="CW48" s="49" t="str">
        <v xml:space="preserve"> </v>
      </c>
      <c r="CX48" s="49">
        <f ca="1">IFERROR(__xludf.DUMMYFUNCTION("""COMPUTED_VALUE"""),43)</f>
        <v>43</v>
      </c>
      <c r="CY48" s="264" t="str">
        <v/>
      </c>
      <c r="CZ48" s="264">
        <v>0</v>
      </c>
      <c r="DA48" s="113" t="str">
        <f>IF(DA47="","",CZ47)</f>
        <v xml:space="preserve"> </v>
      </c>
      <c r="DB48" s="49" t="str">
        <v xml:space="preserve"> </v>
      </c>
      <c r="DC48" s="49">
        <f ca="1">IFERROR(__xludf.DUMMYFUNCTION("""COMPUTED_VALUE"""),43)</f>
        <v>43</v>
      </c>
      <c r="DD48" s="49" t="str">
        <v/>
      </c>
      <c r="DE48" s="49"/>
      <c r="DF48" s="49"/>
      <c r="DG48" s="49"/>
      <c r="DH48" s="49"/>
    </row>
    <row r="49" spans="1:112" ht="13.5" customHeight="1">
      <c r="A49" s="78"/>
      <c r="B49" s="268">
        <v>22</v>
      </c>
      <c r="C49" s="270" t="str">
        <f>(VLOOKUP($B49,Пр.взв!$D$6:$J$63,2,0))</f>
        <v>ТАЛПА Елизавета</v>
      </c>
      <c r="D49" s="271" t="str">
        <f>(VLOOKUP($B49,Пр.взв!$D$6:$J$63,5,0))</f>
        <v>КМС</v>
      </c>
      <c r="E49" s="272" t="str">
        <f>(VLOOKUP($B49,Пр.взв!$D$6:$M$63,8,0))</f>
        <v>Р.Коми</v>
      </c>
      <c r="F49" s="273">
        <v>23</v>
      </c>
      <c r="G49" s="86"/>
      <c r="H49" s="266">
        <v>24</v>
      </c>
      <c r="I49" s="86"/>
      <c r="J49" s="266" t="str">
        <f>IF(H49="Х","Х",IF($AC49&lt;6," ","Х"))</f>
        <v xml:space="preserve"> </v>
      </c>
      <c r="K49" s="87"/>
      <c r="L49" s="266" t="str">
        <f>IF(J49="Х","Х",IF(K49&lt;3," ",IF($AC49&lt;6," ","Х")))</f>
        <v xml:space="preserve"> </v>
      </c>
      <c r="M49" s="87"/>
      <c r="N49" s="266" t="str">
        <f>IF(L49="Х","Х",IF(M49&lt;3," ",IF($AC49&lt;6," ","Х")))</f>
        <v xml:space="preserve"> </v>
      </c>
      <c r="O49" s="87"/>
      <c r="P49" s="266" t="str">
        <f>IF(N49="Х","Х",IF(O49&lt;3," ",IF($AC49&lt;6," ","Х")))</f>
        <v xml:space="preserve"> </v>
      </c>
      <c r="Q49" s="87"/>
      <c r="R49" s="266" t="str">
        <f>IF(P49="Х","Х",IF(Q49&lt;3," ",IF($AC49&lt;6," ","Х")))</f>
        <v xml:space="preserve"> </v>
      </c>
      <c r="S49" s="87"/>
      <c r="T49" s="266" t="str">
        <f>IF(R49="Х","Х",IF(S49&lt;3," ",IF($AC49&lt;6," ","Х")))</f>
        <v xml:space="preserve"> </v>
      </c>
      <c r="U49" s="88"/>
      <c r="V49" s="266" t="str">
        <f>IF(T49="Х","Х",IF(U49&lt;3," ",IF($AC49&lt;6," ","Х")))</f>
        <v xml:space="preserve"> </v>
      </c>
      <c r="W49" s="88"/>
      <c r="X49" s="266" t="str">
        <f>IF(V49="А1",$AZ$7,IF(V49="Б2",$AZ$6,IF(V49="Б1",$BA$7,IF(V49="А2",$BA$6,IF(V49="Х","Х",IF(V49&lt;6," "," "))))))</f>
        <v xml:space="preserve"> </v>
      </c>
      <c r="Y49" s="89"/>
      <c r="Z49" s="266" t="str">
        <f>IF(V49="Х","Х",IF(ISBLANK(Y49),"",IF(Y49&gt;2.5," ",IF(B49=BB$6,BB$7,BB$6))))</f>
        <v/>
      </c>
      <c r="AA49" s="89"/>
      <c r="AB49" s="290" t="str">
        <f>IF(H49="Х",F$5,IF(J49="Х",H$5,IF(L49="Х",J$5,IF(N49="Х",L$5,IF(P49="Х",N$5,IF(R49="Х",P$5,IF(T49="Х",R$5,IF(X49="Х",T$5,""))))))))</f>
        <v/>
      </c>
      <c r="AC49" s="276">
        <f>SUM(G49+I49+K49+M49+O49+Q49+S49+U49+Y49+AA49)</f>
        <v>0</v>
      </c>
      <c r="AD49" s="291" t="str">
        <f>AF49</f>
        <v>1-22</v>
      </c>
      <c r="AE49" s="278" t="str">
        <f>AD49</f>
        <v>1-22</v>
      </c>
      <c r="AF49" s="280" t="str">
        <f>COUNTIF(AG$6:AG$148,"&gt;"&amp;AG$6:AG$148)+1&amp;REPT("-"&amp;COUNTIF(AG$6:AG$148,"&gt;="&amp;AG$6:AG$148),COUNTIF(AG$6:AG$148,AG49)&gt;1)</f>
        <v>1-22</v>
      </c>
      <c r="AG49" s="282">
        <f>(AR49*100)+(AP49*10)-AC49</f>
        <v>1280</v>
      </c>
      <c r="AH49" s="288" t="str">
        <f>IF(OR(F49="Х",F49="св")," ",IF(AND(G49&gt;=0,G49&lt;3),"1"," "))</f>
        <v>1</v>
      </c>
      <c r="AI49" s="289" t="str">
        <f>IF(OR(H49="Х",H49="св")," ",IF(AND(I49&gt;=0,I49&lt;3),"1"," "))</f>
        <v>1</v>
      </c>
      <c r="AJ49" s="289" t="str">
        <f>IF(OR(J49="Х",J49="св")," ",IF(AND(K49&gt;=0,K49&lt;3),"1"," "))</f>
        <v>1</v>
      </c>
      <c r="AK49" s="289" t="str">
        <f>IF(OR(L49="Х",L49="св")," ",IF(AND(M49&gt;=0,M49&lt;3),"1"," "))</f>
        <v>1</v>
      </c>
      <c r="AL49" s="289" t="str">
        <f>IF(OR(N49="Х",N49="св")," ",IF(AND(O49&gt;=0,O49&lt;3),"1"," "))</f>
        <v>1</v>
      </c>
      <c r="AM49" s="289" t="str">
        <f>IF(OR(P49="Х",P49="св")," ",IF(AND(Q49&gt;=0,Q49&lt;3),"1"," "))</f>
        <v>1</v>
      </c>
      <c r="AN49" s="289" t="str">
        <f>IF(OR(R49="Х",R49="св")," ",IF(AND(S49&gt;=0,S49&lt;3),"1"," "))</f>
        <v>1</v>
      </c>
      <c r="AO49" s="289" t="str">
        <f>IF(OR(T49="Х",T49="св")," ",IF(AND(U49&gt;=0,U49&lt;3),"1"," "))</f>
        <v>1</v>
      </c>
      <c r="AP49" s="289">
        <f>COUNTIF(AH49:AO50,1)</f>
        <v>8</v>
      </c>
      <c r="AQ49" s="289">
        <f>AG49-AC49</f>
        <v>1280</v>
      </c>
      <c r="AR49" s="292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289" t="str">
        <f>COUNTIF(AG$6:AG$134,"&gt;"&amp;AG$6:AG$134)+1&amp;REPT("-"&amp;COUNTIF(AG$6:AG$134,"&gt;="&amp;AG$6:AG$134),COUNTIF(AG$6:AG$134,AG49)&gt;1)</f>
        <v>1-22</v>
      </c>
      <c r="AT49" s="288" t="str">
        <f t="shared" ref="AT49:AW49" si="26">COUNTIF(AU$6:AU$134,"&gt;"&amp;AU$6:AU$134)+1&amp;REPT("-"&amp;COUNTIF(AU$6:AU$134,"&gt;="&amp;AU$6:AU$134),COUNTIF(AU$6:AU$134,AU49)&gt;1)</f>
        <v>1-64</v>
      </c>
      <c r="AU49" s="288" t="str">
        <f t="shared" si="26"/>
        <v>1-0</v>
      </c>
      <c r="AV49" s="288" t="str">
        <f t="shared" si="26"/>
        <v>1</v>
      </c>
      <c r="AW49" s="288" t="str">
        <f t="shared" si="26"/>
        <v>43</v>
      </c>
      <c r="AX49" s="293">
        <f>IF(X49="Х","Х",IF(Y49&lt;3,B49,"Х"))</f>
        <v>22</v>
      </c>
      <c r="AY49" s="141" t="str">
        <f ca="1"/>
        <v/>
      </c>
      <c r="AZ49" s="97"/>
      <c r="BA49" s="141" t="str">
        <f ca="1"/>
        <v/>
      </c>
      <c r="BB49" s="264"/>
      <c r="BC49" s="264" t="str">
        <f ca="1"/>
        <v/>
      </c>
      <c r="BD49" s="144">
        <f ca="1"/>
        <v>0</v>
      </c>
      <c r="BE49" s="49" t="str">
        <f ca="1"/>
        <v/>
      </c>
      <c r="BF49" s="143">
        <f ca="1"/>
        <v>0</v>
      </c>
      <c r="BG49" s="49" t="str">
        <f ca="1"/>
        <v/>
      </c>
      <c r="BH49" s="49" t="str">
        <f ca="1"/>
        <v/>
      </c>
      <c r="BI49" s="49"/>
      <c r="BJ49" s="49"/>
      <c r="BK49" s="49"/>
      <c r="BL49" s="49"/>
      <c r="BM49" s="294">
        <v>22</v>
      </c>
      <c r="BN49" s="287">
        <v>23</v>
      </c>
      <c r="BO49" s="98">
        <f>IF(BM49&lt;BN49,BM49,"")</f>
        <v>22</v>
      </c>
      <c r="BP49" s="124">
        <v>22</v>
      </c>
      <c r="BQ49" s="125"/>
      <c r="BR49" s="295">
        <v>22</v>
      </c>
      <c r="BS49" s="287">
        <v>24</v>
      </c>
      <c r="BT49" s="109">
        <f>IF(BR49&lt;BS49,BR49,"")</f>
        <v>22</v>
      </c>
      <c r="BU49" s="124">
        <v>22</v>
      </c>
      <c r="BV49" s="124"/>
      <c r="BW49" s="284">
        <v>22</v>
      </c>
      <c r="BX49" s="286" t="str">
        <v xml:space="preserve"> </v>
      </c>
      <c r="BY49" s="102">
        <f t="array" ref="BY49">IF(BW49&lt;BX49,BW49,"")</f>
        <v>22</v>
      </c>
      <c r="BZ49" s="102">
        <f t="shared" si="17"/>
        <v>22</v>
      </c>
      <c r="CA49" s="63">
        <f ca="1">IFERROR(__xludf.DUMMYFUNCTION("""COMPUTED_VALUE"""),44)</f>
        <v>44</v>
      </c>
      <c r="CB49" s="63">
        <f t="shared" ca="1" si="18"/>
        <v>44</v>
      </c>
      <c r="CC49" s="128"/>
      <c r="CD49" s="159"/>
      <c r="CE49" s="286">
        <v>22</v>
      </c>
      <c r="CF49" s="296" t="str">
        <v xml:space="preserve"> </v>
      </c>
      <c r="CG49" s="98">
        <f t="array" ref="CG49">IF(CE49&lt;CF49,CE49,"")</f>
        <v>22</v>
      </c>
      <c r="CH49" s="63">
        <v>22</v>
      </c>
      <c r="CI49" s="115">
        <f ca="1">IFERROR(__xludf.DUMMYFUNCTION("""COMPUTED_VALUE"""),44)</f>
        <v>44</v>
      </c>
      <c r="CJ49" s="65">
        <v>22</v>
      </c>
      <c r="CK49" s="151" t="str">
        <v xml:space="preserve"> </v>
      </c>
      <c r="CL49" s="98">
        <f t="array" ref="CL49">IF(CJ49&lt;CK49,CJ49,"")</f>
        <v>22</v>
      </c>
      <c r="CM49" s="49">
        <v>22</v>
      </c>
      <c r="CN49" s="49">
        <f ca="1">IFERROR(__xludf.DUMMYFUNCTION("""COMPUTED_VALUE"""),44)</f>
        <v>44</v>
      </c>
      <c r="CO49" s="286">
        <v>22</v>
      </c>
      <c r="CP49" s="286" t="str">
        <v xml:space="preserve"> </v>
      </c>
      <c r="CQ49" s="98">
        <f t="array" ref="CQ49">IF(CO49&lt;CP49,CO49,"")</f>
        <v>22</v>
      </c>
      <c r="CR49" s="65">
        <v>22</v>
      </c>
      <c r="CS49" s="152">
        <f ca="1">IFERROR(__xludf.DUMMYFUNCTION("""COMPUTED_VALUE"""),44)</f>
        <v>44</v>
      </c>
      <c r="CT49" s="286">
        <v>22</v>
      </c>
      <c r="CU49" s="286" t="str">
        <v xml:space="preserve"> </v>
      </c>
      <c r="CV49" s="98">
        <f t="array" ref="CV49">IF(CT49&lt;CU49,CT49,"")</f>
        <v>22</v>
      </c>
      <c r="CW49" s="49">
        <v>22</v>
      </c>
      <c r="CX49" s="49">
        <f ca="1">IFERROR(__xludf.DUMMYFUNCTION("""COMPUTED_VALUE"""),44)</f>
        <v>44</v>
      </c>
      <c r="CY49" s="286">
        <v>22</v>
      </c>
      <c r="CZ49" s="286" t="str">
        <v xml:space="preserve"> </v>
      </c>
      <c r="DA49" s="98">
        <f t="array" ref="DA49">IF(CY49&lt;CZ49,CY49,"")</f>
        <v>22</v>
      </c>
      <c r="DB49" s="49">
        <v>22</v>
      </c>
      <c r="DC49" s="49">
        <f ca="1">IFERROR(__xludf.DUMMYFUNCTION("""COMPUTED_VALUE"""),44)</f>
        <v>44</v>
      </c>
      <c r="DD49" s="49">
        <v>22</v>
      </c>
      <c r="DE49" s="49"/>
      <c r="DF49" s="49"/>
      <c r="DG49" s="49"/>
      <c r="DH49" s="49"/>
    </row>
    <row r="50" spans="1:112" ht="13.5" customHeight="1">
      <c r="A50" s="78"/>
      <c r="B50" s="269"/>
      <c r="C50" s="269"/>
      <c r="D50" s="269"/>
      <c r="E50" s="269"/>
      <c r="F50" s="274"/>
      <c r="G50" s="106"/>
      <c r="H50" s="267"/>
      <c r="I50" s="106"/>
      <c r="J50" s="267"/>
      <c r="K50" s="106"/>
      <c r="L50" s="267"/>
      <c r="M50" s="106"/>
      <c r="N50" s="267"/>
      <c r="O50" s="106"/>
      <c r="P50" s="267"/>
      <c r="Q50" s="106"/>
      <c r="R50" s="267"/>
      <c r="S50" s="106"/>
      <c r="T50" s="267"/>
      <c r="U50" s="107"/>
      <c r="V50" s="267"/>
      <c r="W50" s="107"/>
      <c r="X50" s="267"/>
      <c r="Y50" s="106"/>
      <c r="Z50" s="267"/>
      <c r="AA50" s="106"/>
      <c r="AB50" s="274"/>
      <c r="AC50" s="269"/>
      <c r="AD50" s="267"/>
      <c r="AE50" s="279"/>
      <c r="AF50" s="281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64"/>
      <c r="AY50" s="92" t="str">
        <f ca="1"/>
        <v/>
      </c>
      <c r="AZ50" s="92"/>
      <c r="BA50" s="92" t="str">
        <f ca="1"/>
        <v/>
      </c>
      <c r="BB50" s="92"/>
      <c r="BC50" s="49" t="str">
        <f ca="1"/>
        <v/>
      </c>
      <c r="BD50" s="144">
        <f ca="1"/>
        <v>0</v>
      </c>
      <c r="BE50" s="49" t="str">
        <f ca="1"/>
        <v/>
      </c>
      <c r="BF50" s="143">
        <f ca="1"/>
        <v>0</v>
      </c>
      <c r="BG50" s="49" t="str">
        <f ca="1"/>
        <v/>
      </c>
      <c r="BH50" s="49" t="str">
        <f ca="1"/>
        <v/>
      </c>
      <c r="BI50" s="49"/>
      <c r="BJ50" s="49"/>
      <c r="BK50" s="49"/>
      <c r="BL50" s="49"/>
      <c r="BM50" s="285" t="str">
        <v/>
      </c>
      <c r="BN50" s="264">
        <v>0</v>
      </c>
      <c r="BO50" s="109">
        <f>IF(BO49="","",BN49)</f>
        <v>23</v>
      </c>
      <c r="BP50" s="109">
        <v>23</v>
      </c>
      <c r="BQ50" s="125"/>
      <c r="BR50" s="264" t="str">
        <v/>
      </c>
      <c r="BS50" s="264">
        <v>0</v>
      </c>
      <c r="BT50" s="109">
        <f>IF(BT49="","",BS49)</f>
        <v>24</v>
      </c>
      <c r="BU50" s="109">
        <v>24</v>
      </c>
      <c r="BV50" s="124"/>
      <c r="BW50" s="285" t="str">
        <v/>
      </c>
      <c r="BX50" s="264">
        <v>0</v>
      </c>
      <c r="BY50" s="102" t="str">
        <f>IF(BY49="","",BX49)</f>
        <v xml:space="preserve"> </v>
      </c>
      <c r="BZ50" s="102" t="str">
        <f t="shared" si="17"/>
        <v xml:space="preserve"> </v>
      </c>
      <c r="CA50" s="128">
        <f ca="1">IFERROR(__xludf.DUMMYFUNCTION("""COMPUTED_VALUE"""),45)</f>
        <v>45</v>
      </c>
      <c r="CB50" s="63">
        <f t="shared" ca="1" si="18"/>
        <v>45</v>
      </c>
      <c r="CC50" s="128"/>
      <c r="CD50" s="159"/>
      <c r="CE50" s="264" t="str">
        <v/>
      </c>
      <c r="CF50" s="264">
        <v>0</v>
      </c>
      <c r="CG50" s="113" t="str">
        <f>IF(CG49="","",CF49)</f>
        <v xml:space="preserve"> </v>
      </c>
      <c r="CH50" s="128" t="str">
        <v xml:space="preserve"> </v>
      </c>
      <c r="CI50" s="115">
        <f ca="1">IFERROR(__xludf.DUMMYFUNCTION("""COMPUTED_VALUE"""),45)</f>
        <v>45</v>
      </c>
      <c r="CJ50" s="49" t="str">
        <v/>
      </c>
      <c r="CK50" s="153">
        <v>0</v>
      </c>
      <c r="CL50" s="113" t="str">
        <f>IF(CL49="","",CK49)</f>
        <v xml:space="preserve"> </v>
      </c>
      <c r="CM50" s="49" t="str">
        <v xml:space="preserve"> </v>
      </c>
      <c r="CN50" s="49">
        <f ca="1">IFERROR(__xludf.DUMMYFUNCTION("""COMPUTED_VALUE"""),45)</f>
        <v>45</v>
      </c>
      <c r="CO50" s="264" t="str">
        <v/>
      </c>
      <c r="CP50" s="264">
        <v>0</v>
      </c>
      <c r="CQ50" s="113" t="str">
        <f>IF(CQ49="","",CP49)</f>
        <v xml:space="preserve"> </v>
      </c>
      <c r="CR50" s="49" t="str">
        <v xml:space="preserve"> </v>
      </c>
      <c r="CS50" s="152">
        <f ca="1">IFERROR(__xludf.DUMMYFUNCTION("""COMPUTED_VALUE"""),45)</f>
        <v>45</v>
      </c>
      <c r="CT50" s="264" t="str">
        <v/>
      </c>
      <c r="CU50" s="264">
        <v>0</v>
      </c>
      <c r="CV50" s="113" t="str">
        <f>IF(CV49="","",CU49)</f>
        <v xml:space="preserve"> </v>
      </c>
      <c r="CW50" s="49" t="str">
        <v xml:space="preserve"> </v>
      </c>
      <c r="CX50" s="49">
        <f ca="1">IFERROR(__xludf.DUMMYFUNCTION("""COMPUTED_VALUE"""),45)</f>
        <v>45</v>
      </c>
      <c r="CY50" s="264" t="str">
        <v/>
      </c>
      <c r="CZ50" s="264">
        <v>0</v>
      </c>
      <c r="DA50" s="113" t="str">
        <f>IF(DA49="","",CZ49)</f>
        <v xml:space="preserve"> </v>
      </c>
      <c r="DB50" s="49" t="str">
        <v xml:space="preserve"> </v>
      </c>
      <c r="DC50" s="49">
        <f ca="1">IFERROR(__xludf.DUMMYFUNCTION("""COMPUTED_VALUE"""),45)</f>
        <v>45</v>
      </c>
      <c r="DD50" s="49" t="str">
        <v/>
      </c>
      <c r="DE50" s="49"/>
      <c r="DF50" s="49"/>
      <c r="DG50" s="49"/>
      <c r="DH50" s="49"/>
    </row>
    <row r="51" spans="1:112" ht="13.5" customHeight="1">
      <c r="A51" s="78"/>
      <c r="B51" s="268">
        <v>23</v>
      </c>
      <c r="C51" s="270" t="str">
        <f>(VLOOKUP($B51,Пр.взв!$D$6:$J$63,2,0))</f>
        <v>ТИХОНОВА Юлия</v>
      </c>
      <c r="D51" s="271" t="str">
        <f>(VLOOKUP($B51,Пр.взв!$D$6:$J$63,5,0))</f>
        <v>1р</v>
      </c>
      <c r="E51" s="272" t="str">
        <f>(VLOOKUP($B51,Пр.взв!$D$6:$M$63,8,0))</f>
        <v>Забайкальский</v>
      </c>
      <c r="F51" s="273">
        <v>22</v>
      </c>
      <c r="G51" s="86"/>
      <c r="H51" s="266">
        <v>26</v>
      </c>
      <c r="I51" s="86"/>
      <c r="J51" s="266" t="str">
        <f>IF(H51="Х","Х",IF($AC51&lt;6," ","Х"))</f>
        <v xml:space="preserve"> </v>
      </c>
      <c r="K51" s="87"/>
      <c r="L51" s="266" t="str">
        <f>IF(J51="Х","Х",IF(K51&lt;3," ",IF($AC51&lt;6," ","Х")))</f>
        <v xml:space="preserve"> </v>
      </c>
      <c r="M51" s="87"/>
      <c r="N51" s="266" t="str">
        <f>IF(L51="Х","Х",IF(M51&lt;3," ",IF($AC51&lt;6," ","Х")))</f>
        <v xml:space="preserve"> </v>
      </c>
      <c r="O51" s="87"/>
      <c r="P51" s="266" t="str">
        <f>IF(N51="Х","Х",IF(O51&lt;3," ",IF($AC51&lt;6," ","Х")))</f>
        <v xml:space="preserve"> </v>
      </c>
      <c r="Q51" s="87"/>
      <c r="R51" s="266" t="str">
        <f>IF(P51="Х","Х",IF(Q51&lt;3," ",IF($AC51&lt;6," ","Х")))</f>
        <v xml:space="preserve"> </v>
      </c>
      <c r="S51" s="87"/>
      <c r="T51" s="266" t="str">
        <f>IF(R51="Х","Х",IF(S51&lt;3," ",IF($AC51&lt;6," ","Х")))</f>
        <v xml:space="preserve"> </v>
      </c>
      <c r="U51" s="88"/>
      <c r="V51" s="266" t="str">
        <f>IF(T51="Х","Х",IF(U51&lt;3," ",IF($AC51&lt;6," ","Х")))</f>
        <v xml:space="preserve"> </v>
      </c>
      <c r="W51" s="88"/>
      <c r="X51" s="266" t="str">
        <f>IF(V51="А1",$AZ$7,IF(V51="Б2",$AZ$6,IF(V51="Б1",$BA$7,IF(V51="А2",$BA$6,IF(V51="Х","Х",IF(V51&lt;6," "," "))))))</f>
        <v xml:space="preserve"> </v>
      </c>
      <c r="Y51" s="89"/>
      <c r="Z51" s="266" t="str">
        <f>IF(V51="Х","Х",IF(ISBLANK(Y51),"",IF(Y51&gt;2.5," ",IF(B51=BB$6,BB$7,BB$6))))</f>
        <v/>
      </c>
      <c r="AA51" s="89"/>
      <c r="AB51" s="290" t="str">
        <f>IF(H51="Х",F$5,IF(J51="Х",H$5,IF(L51="Х",J$5,IF(N51="Х",L$5,IF(P51="Х",N$5,IF(R51="Х",P$5,IF(T51="Х",R$5,IF(X51="Х",T$5,""))))))))</f>
        <v/>
      </c>
      <c r="AC51" s="276">
        <f>SUM(G51+I51+K51+M51+O51+Q51+S51+U51+Y51+AA51)</f>
        <v>0</v>
      </c>
      <c r="AD51" s="291" t="str">
        <f>AF51</f>
        <v>1-22</v>
      </c>
      <c r="AE51" s="278" t="str">
        <f>AD51</f>
        <v>1-22</v>
      </c>
      <c r="AF51" s="280" t="str">
        <f>COUNTIF(AG$6:AG$148,"&gt;"&amp;AG$6:AG$148)+1&amp;REPT("-"&amp;COUNTIF(AG$6:AG$148,"&gt;="&amp;AG$6:AG$148),COUNTIF(AG$6:AG$148,AG51)&gt;1)</f>
        <v>1-22</v>
      </c>
      <c r="AG51" s="282">
        <f>(AR51*100)+(AP51*10)-AC51</f>
        <v>1280</v>
      </c>
      <c r="AH51" s="288" t="str">
        <f>IF(OR(F51="Х",F51="св")," ",IF(AND(G51&gt;=0,G51&lt;3),"1"," "))</f>
        <v>1</v>
      </c>
      <c r="AI51" s="289" t="str">
        <f>IF(OR(H51="Х",H51="св")," ",IF(AND(I51&gt;=0,I51&lt;3),"1"," "))</f>
        <v>1</v>
      </c>
      <c r="AJ51" s="289" t="str">
        <f>IF(OR(J51="Х",J51="св")," ",IF(AND(K51&gt;=0,K51&lt;3),"1"," "))</f>
        <v>1</v>
      </c>
      <c r="AK51" s="289" t="str">
        <f>IF(OR(L51="Х",L51="св")," ",IF(AND(M51&gt;=0,M51&lt;3),"1"," "))</f>
        <v>1</v>
      </c>
      <c r="AL51" s="289" t="str">
        <f>IF(OR(N51="Х",N51="св")," ",IF(AND(O51&gt;=0,O51&lt;3),"1"," "))</f>
        <v>1</v>
      </c>
      <c r="AM51" s="289" t="str">
        <f>IF(OR(P51="Х",P51="св")," ",IF(AND(Q51&gt;=0,Q51&lt;3),"1"," "))</f>
        <v>1</v>
      </c>
      <c r="AN51" s="289" t="str">
        <f>IF(OR(R51="Х",R51="св")," ",IF(AND(S51&gt;=0,S51&lt;3),"1"," "))</f>
        <v>1</v>
      </c>
      <c r="AO51" s="289" t="str">
        <f>IF(OR(T51="Х",T51="св")," ",IF(AND(U51&gt;=0,U51&lt;3),"1"," "))</f>
        <v>1</v>
      </c>
      <c r="AP51" s="289">
        <f>COUNTIF(AH51:AO52,1)</f>
        <v>8</v>
      </c>
      <c r="AQ51" s="289">
        <f>AG51-AC51</f>
        <v>1280</v>
      </c>
      <c r="AR51" s="292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289" t="str">
        <f>COUNTIF(AG$6:AG$134,"&gt;"&amp;AG$6:AG$134)+1&amp;REPT("-"&amp;COUNTIF(AG$6:AG$134,"&gt;="&amp;AG$6:AG$134),COUNTIF(AG$6:AG$134,AG51)&gt;1)</f>
        <v>1-22</v>
      </c>
      <c r="AT51" s="288" t="str">
        <f t="shared" ref="AT51:AW51" si="27">COUNTIF(AU$6:AU$134,"&gt;"&amp;AU$6:AU$134)+1&amp;REPT("-"&amp;COUNTIF(AU$6:AU$134,"&gt;="&amp;AU$6:AU$134),COUNTIF(AU$6:AU$134,AU51)&gt;1)</f>
        <v>1-64</v>
      </c>
      <c r="AU51" s="288" t="str">
        <f t="shared" si="27"/>
        <v>1-0</v>
      </c>
      <c r="AV51" s="288" t="str">
        <f t="shared" si="27"/>
        <v>1</v>
      </c>
      <c r="AW51" s="288" t="str">
        <f t="shared" si="27"/>
        <v>42</v>
      </c>
      <c r="AX51" s="293">
        <f>IF(X51="Х","Х",IF(Y51&lt;3,B51,"Х"))</f>
        <v>23</v>
      </c>
      <c r="AY51" s="92" t="str">
        <f ca="1"/>
        <v/>
      </c>
      <c r="AZ51" s="92"/>
      <c r="BA51" s="92" t="str">
        <f ca="1"/>
        <v/>
      </c>
      <c r="BB51" s="92"/>
      <c r="BC51" s="49" t="str">
        <f ca="1"/>
        <v/>
      </c>
      <c r="BD51" s="144">
        <f ca="1"/>
        <v>0</v>
      </c>
      <c r="BE51" s="49" t="str">
        <f ca="1"/>
        <v/>
      </c>
      <c r="BF51" s="143">
        <f ca="1"/>
        <v>0</v>
      </c>
      <c r="BG51" s="49" t="str">
        <f ca="1"/>
        <v/>
      </c>
      <c r="BH51" s="49" t="str">
        <f ca="1"/>
        <v/>
      </c>
      <c r="BI51" s="49"/>
      <c r="BJ51" s="49"/>
      <c r="BK51" s="49"/>
      <c r="BL51" s="49"/>
      <c r="BM51" s="294">
        <v>23</v>
      </c>
      <c r="BN51" s="287">
        <v>22</v>
      </c>
      <c r="BO51" s="98" t="str">
        <f>IF(BM51&lt;BN51,BM51,"")</f>
        <v/>
      </c>
      <c r="BP51" s="124" t="str">
        <v/>
      </c>
      <c r="BQ51" s="125"/>
      <c r="BR51" s="295">
        <v>23</v>
      </c>
      <c r="BS51" s="287">
        <v>26</v>
      </c>
      <c r="BT51" s="109">
        <f>IF(BR51&lt;BS51,BR51,"")</f>
        <v>23</v>
      </c>
      <c r="BU51" s="124">
        <v>23</v>
      </c>
      <c r="BV51" s="124"/>
      <c r="BW51" s="284">
        <v>23</v>
      </c>
      <c r="BX51" s="286" t="str">
        <v xml:space="preserve"> </v>
      </c>
      <c r="BY51" s="102">
        <f t="array" ref="BY51">IF(BW51&lt;BX51,BW51,"")</f>
        <v>23</v>
      </c>
      <c r="BZ51" s="102">
        <f t="shared" si="17"/>
        <v>23</v>
      </c>
      <c r="CA51" s="63">
        <f ca="1">IFERROR(__xludf.DUMMYFUNCTION("""COMPUTED_VALUE"""),46)</f>
        <v>46</v>
      </c>
      <c r="CB51" s="63">
        <f t="shared" ca="1" si="18"/>
        <v>46</v>
      </c>
      <c r="CC51" s="128"/>
      <c r="CD51" s="159"/>
      <c r="CE51" s="286">
        <v>23</v>
      </c>
      <c r="CF51" s="296" t="str">
        <v xml:space="preserve"> </v>
      </c>
      <c r="CG51" s="98">
        <f t="array" ref="CG51">IF(CE51&lt;CF51,CE51,"")</f>
        <v>23</v>
      </c>
      <c r="CH51" s="63">
        <v>23</v>
      </c>
      <c r="CI51" s="115">
        <f ca="1">IFERROR(__xludf.DUMMYFUNCTION("""COMPUTED_VALUE"""),46)</f>
        <v>46</v>
      </c>
      <c r="CJ51" s="65">
        <v>23</v>
      </c>
      <c r="CK51" s="151" t="str">
        <v xml:space="preserve"> </v>
      </c>
      <c r="CL51" s="98">
        <f t="array" ref="CL51">IF(CJ51&lt;CK51,CJ51,"")</f>
        <v>23</v>
      </c>
      <c r="CM51" s="49">
        <v>23</v>
      </c>
      <c r="CN51" s="49">
        <f ca="1">IFERROR(__xludf.DUMMYFUNCTION("""COMPUTED_VALUE"""),46)</f>
        <v>46</v>
      </c>
      <c r="CO51" s="286">
        <v>23</v>
      </c>
      <c r="CP51" s="286" t="str">
        <v xml:space="preserve"> </v>
      </c>
      <c r="CQ51" s="98">
        <f t="array" ref="CQ51">IF(CO51&lt;CP51,CO51,"")</f>
        <v>23</v>
      </c>
      <c r="CR51" s="65">
        <v>23</v>
      </c>
      <c r="CS51" s="152">
        <f ca="1">IFERROR(__xludf.DUMMYFUNCTION("""COMPUTED_VALUE"""),46)</f>
        <v>46</v>
      </c>
      <c r="CT51" s="286">
        <v>23</v>
      </c>
      <c r="CU51" s="286" t="str">
        <v xml:space="preserve"> </v>
      </c>
      <c r="CV51" s="98">
        <f t="array" ref="CV51">IF(CT51&lt;CU51,CT51,"")</f>
        <v>23</v>
      </c>
      <c r="CW51" s="49">
        <v>23</v>
      </c>
      <c r="CX51" s="49">
        <f ca="1">IFERROR(__xludf.DUMMYFUNCTION("""COMPUTED_VALUE"""),46)</f>
        <v>46</v>
      </c>
      <c r="CY51" s="286">
        <v>23</v>
      </c>
      <c r="CZ51" s="286" t="str">
        <v xml:space="preserve"> </v>
      </c>
      <c r="DA51" s="98">
        <f t="array" ref="DA51">IF(CY51&lt;CZ51,CY51,"")</f>
        <v>23</v>
      </c>
      <c r="DB51" s="49">
        <v>23</v>
      </c>
      <c r="DC51" s="49">
        <f ca="1">IFERROR(__xludf.DUMMYFUNCTION("""COMPUTED_VALUE"""),46)</f>
        <v>46</v>
      </c>
      <c r="DD51" s="49">
        <v>23</v>
      </c>
      <c r="DE51" s="49"/>
      <c r="DF51" s="49"/>
      <c r="DG51" s="49"/>
      <c r="DH51" s="49"/>
    </row>
    <row r="52" spans="1:112" ht="13.5" customHeight="1">
      <c r="A52" s="78"/>
      <c r="B52" s="269"/>
      <c r="C52" s="269"/>
      <c r="D52" s="269"/>
      <c r="E52" s="269"/>
      <c r="F52" s="274"/>
      <c r="G52" s="106"/>
      <c r="H52" s="267"/>
      <c r="I52" s="106"/>
      <c r="J52" s="267"/>
      <c r="K52" s="106"/>
      <c r="L52" s="267"/>
      <c r="M52" s="106"/>
      <c r="N52" s="267"/>
      <c r="O52" s="106"/>
      <c r="P52" s="267"/>
      <c r="Q52" s="106"/>
      <c r="R52" s="267"/>
      <c r="S52" s="106"/>
      <c r="T52" s="267"/>
      <c r="U52" s="107"/>
      <c r="V52" s="267"/>
      <c r="W52" s="107"/>
      <c r="X52" s="267"/>
      <c r="Y52" s="106"/>
      <c r="Z52" s="267"/>
      <c r="AA52" s="106"/>
      <c r="AB52" s="274"/>
      <c r="AC52" s="269"/>
      <c r="AD52" s="267"/>
      <c r="AE52" s="279"/>
      <c r="AF52" s="281"/>
      <c r="AG52" s="283"/>
      <c r="AH52" s="283"/>
      <c r="AI52" s="283"/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/>
      <c r="AU52" s="283"/>
      <c r="AV52" s="283"/>
      <c r="AW52" s="283"/>
      <c r="AX52" s="264"/>
      <c r="AY52" s="92" t="str">
        <f ca="1"/>
        <v/>
      </c>
      <c r="AZ52" s="92"/>
      <c r="BA52" s="92" t="str">
        <f ca="1"/>
        <v/>
      </c>
      <c r="BB52" s="92"/>
      <c r="BC52" s="49" t="str">
        <f ca="1"/>
        <v/>
      </c>
      <c r="BD52" s="144">
        <f ca="1"/>
        <v>0</v>
      </c>
      <c r="BE52" s="49" t="str">
        <f ca="1"/>
        <v/>
      </c>
      <c r="BF52" s="143">
        <f ca="1"/>
        <v>0</v>
      </c>
      <c r="BG52" s="49" t="str">
        <f ca="1"/>
        <v/>
      </c>
      <c r="BH52" s="49" t="str">
        <f ca="1"/>
        <v/>
      </c>
      <c r="BI52" s="49"/>
      <c r="BJ52" s="49"/>
      <c r="BK52" s="49"/>
      <c r="BL52" s="49"/>
      <c r="BM52" s="285" t="str">
        <v/>
      </c>
      <c r="BN52" s="264">
        <v>0</v>
      </c>
      <c r="BO52" s="109" t="str">
        <f>IF(BO51="","",BN51)</f>
        <v/>
      </c>
      <c r="BP52" s="109" t="str">
        <v/>
      </c>
      <c r="BQ52" s="125"/>
      <c r="BR52" s="264" t="str">
        <v/>
      </c>
      <c r="BS52" s="264">
        <v>0</v>
      </c>
      <c r="BT52" s="109">
        <f>IF(BT51="","",BS51)</f>
        <v>26</v>
      </c>
      <c r="BU52" s="109">
        <v>26</v>
      </c>
      <c r="BV52" s="124"/>
      <c r="BW52" s="285" t="str">
        <v/>
      </c>
      <c r="BX52" s="264">
        <v>0</v>
      </c>
      <c r="BY52" s="102" t="str">
        <f>IF(BY51="","",BX51)</f>
        <v xml:space="preserve"> </v>
      </c>
      <c r="BZ52" s="102" t="str">
        <f t="shared" si="17"/>
        <v xml:space="preserve"> </v>
      </c>
      <c r="CA52" s="128">
        <f ca="1">IFERROR(__xludf.DUMMYFUNCTION("""COMPUTED_VALUE"""),47)</f>
        <v>47</v>
      </c>
      <c r="CB52" s="63">
        <f t="shared" ca="1" si="18"/>
        <v>47</v>
      </c>
      <c r="CC52" s="128"/>
      <c r="CD52" s="159"/>
      <c r="CE52" s="264" t="str">
        <v/>
      </c>
      <c r="CF52" s="264">
        <v>0</v>
      </c>
      <c r="CG52" s="113" t="str">
        <f>IF(CG51="","",CF51)</f>
        <v xml:space="preserve"> </v>
      </c>
      <c r="CH52" s="128" t="str">
        <v xml:space="preserve"> </v>
      </c>
      <c r="CI52" s="115">
        <f ca="1">IFERROR(__xludf.DUMMYFUNCTION("""COMPUTED_VALUE"""),47)</f>
        <v>47</v>
      </c>
      <c r="CJ52" s="49" t="str">
        <v/>
      </c>
      <c r="CK52" s="153">
        <v>0</v>
      </c>
      <c r="CL52" s="113" t="str">
        <f>IF(CL51="","",CK51)</f>
        <v xml:space="preserve"> </v>
      </c>
      <c r="CM52" s="49" t="str">
        <v xml:space="preserve"> </v>
      </c>
      <c r="CN52" s="49">
        <f ca="1">IFERROR(__xludf.DUMMYFUNCTION("""COMPUTED_VALUE"""),47)</f>
        <v>47</v>
      </c>
      <c r="CO52" s="264" t="str">
        <v/>
      </c>
      <c r="CP52" s="264">
        <v>0</v>
      </c>
      <c r="CQ52" s="113" t="str">
        <f>IF(CQ51="","",CP51)</f>
        <v xml:space="preserve"> </v>
      </c>
      <c r="CR52" s="49" t="str">
        <v xml:space="preserve"> </v>
      </c>
      <c r="CS52" s="152">
        <f ca="1">IFERROR(__xludf.DUMMYFUNCTION("""COMPUTED_VALUE"""),47)</f>
        <v>47</v>
      </c>
      <c r="CT52" s="264" t="str">
        <v/>
      </c>
      <c r="CU52" s="264">
        <v>0</v>
      </c>
      <c r="CV52" s="113" t="str">
        <f>IF(CV51="","",CU51)</f>
        <v xml:space="preserve"> </v>
      </c>
      <c r="CW52" s="49" t="str">
        <v xml:space="preserve"> </v>
      </c>
      <c r="CX52" s="49">
        <f ca="1">IFERROR(__xludf.DUMMYFUNCTION("""COMPUTED_VALUE"""),47)</f>
        <v>47</v>
      </c>
      <c r="CY52" s="264" t="str">
        <v/>
      </c>
      <c r="CZ52" s="264">
        <v>0</v>
      </c>
      <c r="DA52" s="113" t="str">
        <f>IF(DA51="","",CZ51)</f>
        <v xml:space="preserve"> </v>
      </c>
      <c r="DB52" s="49" t="str">
        <v xml:space="preserve"> </v>
      </c>
      <c r="DC52" s="49">
        <f ca="1">IFERROR(__xludf.DUMMYFUNCTION("""COMPUTED_VALUE"""),47)</f>
        <v>47</v>
      </c>
      <c r="DD52" s="49" t="str">
        <v/>
      </c>
      <c r="DE52" s="49"/>
      <c r="DF52" s="49"/>
      <c r="DG52" s="49"/>
      <c r="DH52" s="49"/>
    </row>
    <row r="53" spans="1:112" ht="13.5" customHeight="1">
      <c r="A53" s="78"/>
      <c r="B53" s="268">
        <v>24</v>
      </c>
      <c r="C53" s="270" t="str">
        <f>(VLOOKUP($B53,Пр.взв!$D$6:$J$63,2,0))</f>
        <v>АНТОНЮК Яна</v>
      </c>
      <c r="D53" s="271" t="str">
        <f>(VLOOKUP($B53,Пр.взв!$D$6:$J$63,5,0))</f>
        <v>МС</v>
      </c>
      <c r="E53" s="272" t="str">
        <f>(VLOOKUP($B53,Пр.взв!$D$6:$M$63,8,0))</f>
        <v>Иркутская</v>
      </c>
      <c r="F53" s="273">
        <v>25</v>
      </c>
      <c r="G53" s="86"/>
      <c r="H53" s="266">
        <v>22</v>
      </c>
      <c r="I53" s="86"/>
      <c r="J53" s="266" t="str">
        <f>IF(H53="Х","Х",IF($AC53&lt;6," ","Х"))</f>
        <v xml:space="preserve"> </v>
      </c>
      <c r="K53" s="87"/>
      <c r="L53" s="266" t="str">
        <f>IF(J53="Х","Х",IF(K53&lt;3," ",IF($AC53&lt;6," ","Х")))</f>
        <v xml:space="preserve"> </v>
      </c>
      <c r="M53" s="87"/>
      <c r="N53" s="266" t="str">
        <f>IF(L53="Х","Х",IF(M53&lt;3," ",IF($AC53&lt;6," ","Х")))</f>
        <v xml:space="preserve"> </v>
      </c>
      <c r="O53" s="87"/>
      <c r="P53" s="266" t="str">
        <f>IF(N53="Х","Х",IF(O53&lt;3," ",IF($AC53&lt;6," ","Х")))</f>
        <v xml:space="preserve"> </v>
      </c>
      <c r="Q53" s="87"/>
      <c r="R53" s="266" t="str">
        <f>IF(P53="Х","Х",IF(Q53&lt;3," ",IF($AC53&lt;6," ","Х")))</f>
        <v xml:space="preserve"> </v>
      </c>
      <c r="S53" s="87"/>
      <c r="T53" s="266" t="str">
        <f>IF(R53="Х","Х",IF(S53&lt;3," ",IF($AC53&lt;6," ","Х")))</f>
        <v xml:space="preserve"> </v>
      </c>
      <c r="U53" s="88"/>
      <c r="V53" s="266" t="str">
        <f>IF(T53="Х","Х",IF(U53&lt;3," ",IF($AC53&lt;6," ","Х")))</f>
        <v xml:space="preserve"> </v>
      </c>
      <c r="W53" s="88"/>
      <c r="X53" s="266" t="str">
        <f>IF(V53="А1",$AZ$7,IF(V53="Б2",$AZ$6,IF(V53="Б1",$BA$7,IF(V53="А2",$BA$6,IF(V53="Х","Х",IF(V53&lt;6," "," "))))))</f>
        <v xml:space="preserve"> </v>
      </c>
      <c r="Y53" s="89"/>
      <c r="Z53" s="266" t="str">
        <f>IF(V53="Х","Х",IF(ISBLANK(Y53),"",IF(Y53&gt;2.5," ",IF(B53=BB$6,BB$7,BB$6))))</f>
        <v/>
      </c>
      <c r="AA53" s="89"/>
      <c r="AB53" s="290" t="str">
        <f>IF(H53="Х",F$5,IF(J53="Х",H$5,IF(L53="Х",J$5,IF(N53="Х",L$5,IF(P53="Х",N$5,IF(R53="Х",P$5,IF(T53="Х",R$5,IF(X53="Х",T$5,""))))))))</f>
        <v/>
      </c>
      <c r="AC53" s="276">
        <f>SUM(G53+I53+K53+M53+O53+Q53+S53+U53+Y53+AA53)</f>
        <v>0</v>
      </c>
      <c r="AD53" s="291" t="str">
        <f>AF53</f>
        <v>1-22</v>
      </c>
      <c r="AE53" s="278" t="str">
        <f>AD53</f>
        <v>1-22</v>
      </c>
      <c r="AF53" s="280" t="str">
        <f>COUNTIF(AG$6:AG$148,"&gt;"&amp;AG$6:AG$148)+1&amp;REPT("-"&amp;COUNTIF(AG$6:AG$148,"&gt;="&amp;AG$6:AG$148),COUNTIF(AG$6:AG$148,AG53)&gt;1)</f>
        <v>1-22</v>
      </c>
      <c r="AG53" s="282">
        <f>(AR53*100)+(AP53*10)-AC53</f>
        <v>1280</v>
      </c>
      <c r="AH53" s="288" t="str">
        <f>IF(OR(F53="Х",F53="св")," ",IF(AND(G53&gt;=0,G53&lt;3),"1"," "))</f>
        <v>1</v>
      </c>
      <c r="AI53" s="289" t="str">
        <f>IF(OR(H53="Х",H53="св")," ",IF(AND(I53&gt;=0,I53&lt;3),"1"," "))</f>
        <v>1</v>
      </c>
      <c r="AJ53" s="289" t="str">
        <f>IF(OR(J53="Х",J53="св")," ",IF(AND(K53&gt;=0,K53&lt;3),"1"," "))</f>
        <v>1</v>
      </c>
      <c r="AK53" s="289" t="str">
        <f>IF(OR(L53="Х",L53="св")," ",IF(AND(M53&gt;=0,M53&lt;3),"1"," "))</f>
        <v>1</v>
      </c>
      <c r="AL53" s="289" t="str">
        <f>IF(OR(N53="Х",N53="св")," ",IF(AND(O53&gt;=0,O53&lt;3),"1"," "))</f>
        <v>1</v>
      </c>
      <c r="AM53" s="289" t="str">
        <f>IF(OR(P53="Х",P53="св")," ",IF(AND(Q53&gt;=0,Q53&lt;3),"1"," "))</f>
        <v>1</v>
      </c>
      <c r="AN53" s="289" t="str">
        <f>IF(OR(R53="Х",R53="св")," ",IF(AND(S53&gt;=0,S53&lt;3),"1"," "))</f>
        <v>1</v>
      </c>
      <c r="AO53" s="289" t="str">
        <f>IF(OR(T53="Х",T53="св")," ",IF(AND(U53&gt;=0,U53&lt;3),"1"," "))</f>
        <v>1</v>
      </c>
      <c r="AP53" s="289">
        <f>COUNTIF(AH53:AO54,1)</f>
        <v>8</v>
      </c>
      <c r="AQ53" s="289">
        <f>AG53-AC53</f>
        <v>1280</v>
      </c>
      <c r="AR53" s="292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289" t="str">
        <f>COUNTIF(AG$6:AG$134,"&gt;"&amp;AG$6:AG$134)+1&amp;REPT("-"&amp;COUNTIF(AG$6:AG$134,"&gt;="&amp;AG$6:AG$134),COUNTIF(AG$6:AG$134,AG53)&gt;1)</f>
        <v>1-22</v>
      </c>
      <c r="AT53" s="288" t="str">
        <f t="shared" ref="AT53:AW53" si="28">COUNTIF(AU$6:AU$134,"&gt;"&amp;AU$6:AU$134)+1&amp;REPT("-"&amp;COUNTIF(AU$6:AU$134,"&gt;="&amp;AU$6:AU$134),COUNTIF(AU$6:AU$134,AU53)&gt;1)</f>
        <v>1-64</v>
      </c>
      <c r="AU53" s="288" t="str">
        <f t="shared" si="28"/>
        <v>1-0</v>
      </c>
      <c r="AV53" s="288" t="str">
        <f t="shared" si="28"/>
        <v>1</v>
      </c>
      <c r="AW53" s="288" t="str">
        <f t="shared" si="28"/>
        <v>41</v>
      </c>
      <c r="AX53" s="293">
        <f>IF(X53="Х","Х",IF(Y53&lt;3,B53,"Х"))</f>
        <v>24</v>
      </c>
      <c r="AY53" s="92" t="str">
        <f ca="1"/>
        <v/>
      </c>
      <c r="AZ53" s="92"/>
      <c r="BA53" s="92" t="str">
        <f ca="1"/>
        <v/>
      </c>
      <c r="BB53" s="92"/>
      <c r="BC53" s="49" t="str">
        <f ca="1"/>
        <v/>
      </c>
      <c r="BD53" s="144">
        <f ca="1"/>
        <v>0</v>
      </c>
      <c r="BE53" s="49" t="str">
        <f ca="1"/>
        <v/>
      </c>
      <c r="BF53" s="143">
        <f ca="1"/>
        <v>0</v>
      </c>
      <c r="BG53" s="49" t="str">
        <f ca="1"/>
        <v/>
      </c>
      <c r="BH53" s="49" t="str">
        <f ca="1"/>
        <v/>
      </c>
      <c r="BI53" s="49"/>
      <c r="BJ53" s="49"/>
      <c r="BK53" s="49"/>
      <c r="BL53" s="49"/>
      <c r="BM53" s="294">
        <v>24</v>
      </c>
      <c r="BN53" s="287">
        <v>25</v>
      </c>
      <c r="BO53" s="98">
        <f>IF(BM53&lt;BN53,BM53,"")</f>
        <v>24</v>
      </c>
      <c r="BP53" s="124">
        <v>24</v>
      </c>
      <c r="BQ53" s="125"/>
      <c r="BR53" s="295">
        <v>24</v>
      </c>
      <c r="BS53" s="287">
        <v>22</v>
      </c>
      <c r="BT53" s="109" t="str">
        <f>IF(BR53&lt;BS53,BR53,"")</f>
        <v/>
      </c>
      <c r="BU53" s="124" t="str">
        <v/>
      </c>
      <c r="BV53" s="124"/>
      <c r="BW53" s="284">
        <v>24</v>
      </c>
      <c r="BX53" s="286" t="str">
        <v xml:space="preserve"> </v>
      </c>
      <c r="BY53" s="102">
        <f t="array" ref="BY53">IF(BW53&lt;BX53,BW53,"")</f>
        <v>24</v>
      </c>
      <c r="BZ53" s="102">
        <f t="shared" si="17"/>
        <v>24</v>
      </c>
      <c r="CA53" s="63">
        <f ca="1">IFERROR(__xludf.DUMMYFUNCTION("""COMPUTED_VALUE"""),48)</f>
        <v>48</v>
      </c>
      <c r="CB53" s="63">
        <f t="shared" ca="1" si="18"/>
        <v>48</v>
      </c>
      <c r="CC53" s="128"/>
      <c r="CD53" s="159"/>
      <c r="CE53" s="286">
        <v>24</v>
      </c>
      <c r="CF53" s="296" t="str">
        <v xml:space="preserve"> </v>
      </c>
      <c r="CG53" s="98">
        <f t="array" ref="CG53">IF(CE53&lt;CF53,CE53,"")</f>
        <v>24</v>
      </c>
      <c r="CH53" s="63">
        <v>24</v>
      </c>
      <c r="CI53" s="115">
        <f ca="1">IFERROR(__xludf.DUMMYFUNCTION("""COMPUTED_VALUE"""),48)</f>
        <v>48</v>
      </c>
      <c r="CJ53" s="65">
        <v>24</v>
      </c>
      <c r="CK53" s="151" t="str">
        <v xml:space="preserve"> </v>
      </c>
      <c r="CL53" s="98">
        <f t="array" ref="CL53">IF(CJ53&lt;CK53,CJ53,"")</f>
        <v>24</v>
      </c>
      <c r="CM53" s="49">
        <v>24</v>
      </c>
      <c r="CN53" s="49">
        <f ca="1">IFERROR(__xludf.DUMMYFUNCTION("""COMPUTED_VALUE"""),48)</f>
        <v>48</v>
      </c>
      <c r="CO53" s="286">
        <v>24</v>
      </c>
      <c r="CP53" s="286" t="str">
        <v xml:space="preserve"> </v>
      </c>
      <c r="CQ53" s="98">
        <f t="array" ref="CQ53">IF(CO53&lt;CP53,CO53,"")</f>
        <v>24</v>
      </c>
      <c r="CR53" s="65">
        <v>24</v>
      </c>
      <c r="CS53" s="152">
        <f ca="1">IFERROR(__xludf.DUMMYFUNCTION("""COMPUTED_VALUE"""),48)</f>
        <v>48</v>
      </c>
      <c r="CT53" s="286">
        <v>24</v>
      </c>
      <c r="CU53" s="286" t="str">
        <v xml:space="preserve"> </v>
      </c>
      <c r="CV53" s="98">
        <f t="array" ref="CV53">IF(CT53&lt;CU53,CT53,"")</f>
        <v>24</v>
      </c>
      <c r="CW53" s="49">
        <v>24</v>
      </c>
      <c r="CX53" s="49">
        <f ca="1">IFERROR(__xludf.DUMMYFUNCTION("""COMPUTED_VALUE"""),48)</f>
        <v>48</v>
      </c>
      <c r="CY53" s="286">
        <v>24</v>
      </c>
      <c r="CZ53" s="286" t="str">
        <v xml:space="preserve"> </v>
      </c>
      <c r="DA53" s="98">
        <f t="array" ref="DA53">IF(CY53&lt;CZ53,CY53,"")</f>
        <v>24</v>
      </c>
      <c r="DB53" s="49">
        <v>24</v>
      </c>
      <c r="DC53" s="49">
        <f ca="1">IFERROR(__xludf.DUMMYFUNCTION("""COMPUTED_VALUE"""),48)</f>
        <v>48</v>
      </c>
      <c r="DD53" s="49">
        <v>24</v>
      </c>
      <c r="DE53" s="49"/>
      <c r="DF53" s="49"/>
      <c r="DG53" s="49"/>
      <c r="DH53" s="49"/>
    </row>
    <row r="54" spans="1:112" ht="13.5" customHeight="1">
      <c r="A54" s="78"/>
      <c r="B54" s="269"/>
      <c r="C54" s="269"/>
      <c r="D54" s="269"/>
      <c r="E54" s="269"/>
      <c r="F54" s="274"/>
      <c r="G54" s="106"/>
      <c r="H54" s="267"/>
      <c r="I54" s="106"/>
      <c r="J54" s="267"/>
      <c r="K54" s="106"/>
      <c r="L54" s="267"/>
      <c r="M54" s="106"/>
      <c r="N54" s="267"/>
      <c r="O54" s="106"/>
      <c r="P54" s="267"/>
      <c r="Q54" s="106"/>
      <c r="R54" s="267"/>
      <c r="S54" s="106"/>
      <c r="T54" s="267"/>
      <c r="U54" s="107"/>
      <c r="V54" s="267"/>
      <c r="W54" s="107"/>
      <c r="X54" s="267"/>
      <c r="Y54" s="106"/>
      <c r="Z54" s="267"/>
      <c r="AA54" s="106"/>
      <c r="AB54" s="274"/>
      <c r="AC54" s="269"/>
      <c r="AD54" s="267"/>
      <c r="AE54" s="279"/>
      <c r="AF54" s="281"/>
      <c r="AG54" s="283"/>
      <c r="AH54" s="283"/>
      <c r="AI54" s="283"/>
      <c r="AJ54" s="283"/>
      <c r="AK54" s="283"/>
      <c r="AL54" s="283"/>
      <c r="AM54" s="283"/>
      <c r="AN54" s="283"/>
      <c r="AO54" s="283"/>
      <c r="AP54" s="283"/>
      <c r="AQ54" s="283"/>
      <c r="AR54" s="283"/>
      <c r="AS54" s="283"/>
      <c r="AT54" s="283"/>
      <c r="AU54" s="283"/>
      <c r="AV54" s="283"/>
      <c r="AW54" s="283"/>
      <c r="AX54" s="264"/>
      <c r="AY54" s="92" t="str">
        <f ca="1"/>
        <v/>
      </c>
      <c r="AZ54" s="92"/>
      <c r="BA54" s="92" t="str">
        <f ca="1"/>
        <v/>
      </c>
      <c r="BB54" s="92"/>
      <c r="BC54" s="49" t="str">
        <f ca="1"/>
        <v/>
      </c>
      <c r="BD54" s="144">
        <f ca="1"/>
        <v>0</v>
      </c>
      <c r="BE54" s="49" t="str">
        <f ca="1"/>
        <v/>
      </c>
      <c r="BF54" s="143">
        <f ca="1"/>
        <v>0</v>
      </c>
      <c r="BG54" s="49" t="str">
        <f ca="1"/>
        <v/>
      </c>
      <c r="BH54" s="49" t="str">
        <f ca="1"/>
        <v/>
      </c>
      <c r="BI54" s="49"/>
      <c r="BJ54" s="49"/>
      <c r="BK54" s="49"/>
      <c r="BL54" s="49"/>
      <c r="BM54" s="285" t="str">
        <v/>
      </c>
      <c r="BN54" s="264">
        <v>0</v>
      </c>
      <c r="BO54" s="109">
        <f>IF(BO53="","",BN53)</f>
        <v>25</v>
      </c>
      <c r="BP54" s="109">
        <v>25</v>
      </c>
      <c r="BQ54" s="125"/>
      <c r="BR54" s="264" t="str">
        <v/>
      </c>
      <c r="BS54" s="264">
        <v>0</v>
      </c>
      <c r="BT54" s="109" t="str">
        <f>IF(BT53="","",BS53)</f>
        <v/>
      </c>
      <c r="BU54" s="109" t="str">
        <v/>
      </c>
      <c r="BV54" s="124"/>
      <c r="BW54" s="285" t="str">
        <v/>
      </c>
      <c r="BX54" s="264">
        <v>0</v>
      </c>
      <c r="BY54" s="102" t="str">
        <f>IF(BY53="","",BX53)</f>
        <v xml:space="preserve"> </v>
      </c>
      <c r="BZ54" s="102" t="str">
        <f t="shared" si="17"/>
        <v xml:space="preserve"> </v>
      </c>
      <c r="CA54" s="128">
        <f ca="1">IFERROR(__xludf.DUMMYFUNCTION("""COMPUTED_VALUE"""),49)</f>
        <v>49</v>
      </c>
      <c r="CB54" s="63">
        <f t="shared" ca="1" si="18"/>
        <v>49</v>
      </c>
      <c r="CC54" s="128"/>
      <c r="CD54" s="159"/>
      <c r="CE54" s="264" t="str">
        <v/>
      </c>
      <c r="CF54" s="264">
        <v>0</v>
      </c>
      <c r="CG54" s="113" t="str">
        <f>IF(CG53="","",CF53)</f>
        <v xml:space="preserve"> </v>
      </c>
      <c r="CH54" s="128" t="str">
        <v xml:space="preserve"> </v>
      </c>
      <c r="CI54" s="115">
        <f ca="1">IFERROR(__xludf.DUMMYFUNCTION("""COMPUTED_VALUE"""),49)</f>
        <v>49</v>
      </c>
      <c r="CJ54" s="49" t="str">
        <v/>
      </c>
      <c r="CK54" s="153">
        <v>0</v>
      </c>
      <c r="CL54" s="113" t="str">
        <f>IF(CL53="","",CK53)</f>
        <v xml:space="preserve"> </v>
      </c>
      <c r="CM54" s="49" t="str">
        <v xml:space="preserve"> </v>
      </c>
      <c r="CN54" s="49">
        <f ca="1">IFERROR(__xludf.DUMMYFUNCTION("""COMPUTED_VALUE"""),49)</f>
        <v>49</v>
      </c>
      <c r="CO54" s="264" t="str">
        <v/>
      </c>
      <c r="CP54" s="264">
        <v>0</v>
      </c>
      <c r="CQ54" s="113" t="str">
        <f>IF(CQ53="","",CP53)</f>
        <v xml:space="preserve"> </v>
      </c>
      <c r="CR54" s="49" t="str">
        <v xml:space="preserve"> </v>
      </c>
      <c r="CS54" s="152">
        <f ca="1">IFERROR(__xludf.DUMMYFUNCTION("""COMPUTED_VALUE"""),49)</f>
        <v>49</v>
      </c>
      <c r="CT54" s="264" t="str">
        <v/>
      </c>
      <c r="CU54" s="264">
        <v>0</v>
      </c>
      <c r="CV54" s="113" t="str">
        <f>IF(CV53="","",CU53)</f>
        <v xml:space="preserve"> </v>
      </c>
      <c r="CW54" s="49" t="str">
        <v xml:space="preserve"> </v>
      </c>
      <c r="CX54" s="49">
        <f ca="1">IFERROR(__xludf.DUMMYFUNCTION("""COMPUTED_VALUE"""),49)</f>
        <v>49</v>
      </c>
      <c r="CY54" s="264" t="str">
        <v/>
      </c>
      <c r="CZ54" s="264">
        <v>0</v>
      </c>
      <c r="DA54" s="113" t="str">
        <f>IF(DA53="","",CZ53)</f>
        <v xml:space="preserve"> </v>
      </c>
      <c r="DB54" s="49" t="str">
        <v xml:space="preserve"> </v>
      </c>
      <c r="DC54" s="49">
        <f ca="1">IFERROR(__xludf.DUMMYFUNCTION("""COMPUTED_VALUE"""),49)</f>
        <v>49</v>
      </c>
      <c r="DD54" s="49" t="str">
        <v/>
      </c>
      <c r="DE54" s="49"/>
      <c r="DF54" s="49"/>
      <c r="DG54" s="49"/>
      <c r="DH54" s="49"/>
    </row>
    <row r="55" spans="1:112" ht="13.5" customHeight="1">
      <c r="A55" s="78"/>
      <c r="B55" s="268">
        <v>25</v>
      </c>
      <c r="C55" s="270" t="str">
        <f>(VLOOKUP($B55,Пр.взв!$D$6:$J$63,2,0))</f>
        <v>САВИНОВА Ольга</v>
      </c>
      <c r="D55" s="271" t="str">
        <f>(VLOOKUP($B55,Пр.взв!$D$6:$J$63,5,0))</f>
        <v>КМС</v>
      </c>
      <c r="E55" s="272" t="str">
        <f>(VLOOKUP($B55,Пр.взв!$D$6:$M$63,8,0))</f>
        <v>Краснодарский</v>
      </c>
      <c r="F55" s="273">
        <v>24</v>
      </c>
      <c r="G55" s="86"/>
      <c r="H55" s="266" t="s">
        <v>203</v>
      </c>
      <c r="I55" s="86"/>
      <c r="J55" s="266" t="str">
        <f>IF(H55="Х","Х",IF($AC55&lt;6," ","Х"))</f>
        <v xml:space="preserve"> </v>
      </c>
      <c r="K55" s="87"/>
      <c r="L55" s="266" t="str">
        <f>IF(J55="Х","Х",IF(K55&lt;3," ",IF($AC55&lt;6," ","Х")))</f>
        <v xml:space="preserve"> </v>
      </c>
      <c r="M55" s="87"/>
      <c r="N55" s="266" t="str">
        <f>IF(L55="Х","Х",IF(M55&lt;3," ",IF($AC55&lt;6," ","Х")))</f>
        <v xml:space="preserve"> </v>
      </c>
      <c r="O55" s="87"/>
      <c r="P55" s="266" t="str">
        <f>IF(N55="Х","Х",IF(O55&lt;3," ",IF($AC55&lt;6," ","Х")))</f>
        <v xml:space="preserve"> </v>
      </c>
      <c r="Q55" s="87"/>
      <c r="R55" s="266" t="str">
        <f>IF(P55="Х","Х",IF(Q55&lt;3," ",IF($AC55&lt;6," ","Х")))</f>
        <v xml:space="preserve"> </v>
      </c>
      <c r="S55" s="87"/>
      <c r="T55" s="266" t="str">
        <f>IF(R55="Х","Х",IF(S55&lt;3," ",IF($AC55&lt;6," ","Х")))</f>
        <v xml:space="preserve"> </v>
      </c>
      <c r="U55" s="88"/>
      <c r="V55" s="266" t="str">
        <f>IF(T55="Х","Х",IF(U55&lt;3," ",IF($AC55&lt;6," ","Х")))</f>
        <v xml:space="preserve"> </v>
      </c>
      <c r="W55" s="88"/>
      <c r="X55" s="266" t="str">
        <f>IF(V55="А1",$AZ$7,IF(V55="Б2",$AZ$6,IF(V55="Б1",$BA$7,IF(V55="А2",$BA$6,IF(V55="Х","Х",IF(V55&lt;6," "," "))))))</f>
        <v xml:space="preserve"> </v>
      </c>
      <c r="Y55" s="89"/>
      <c r="Z55" s="266" t="str">
        <f>IF(V55="Х","Х",IF(ISBLANK(Y55),"",IF(Y55&gt;2.5," ",IF(B55=BB$6,BB$7,BB$6))))</f>
        <v/>
      </c>
      <c r="AA55" s="89"/>
      <c r="AB55" s="290" t="str">
        <f>IF(H55="Х",F$5,IF(J55="Х",H$5,IF(L55="Х",J$5,IF(N55="Х",L$5,IF(P55="Х",N$5,IF(R55="Х",P$5,IF(T55="Х",R$5,IF(X55="Х",T$5,""))))))))</f>
        <v/>
      </c>
      <c r="AC55" s="276">
        <f>SUM(G55+I55+K55+M55+O55+Q55+S55+U55+Y55+AA55)</f>
        <v>0</v>
      </c>
      <c r="AD55" s="291" t="str">
        <f>AF55</f>
        <v>23-26</v>
      </c>
      <c r="AE55" s="278" t="str">
        <f>AD55</f>
        <v>23-26</v>
      </c>
      <c r="AF55" s="280" t="str">
        <f>COUNTIF(AG$6:AG$148,"&gt;"&amp;AG$6:AG$148)+1&amp;REPT("-"&amp;COUNTIF(AG$6:AG$148,"&gt;="&amp;AG$6:AG$148),COUNTIF(AG$6:AG$148,AG55)&gt;1)</f>
        <v>23-26</v>
      </c>
      <c r="AG55" s="282">
        <f>(AR55*100)+(AP55*10)-AC55</f>
        <v>1270</v>
      </c>
      <c r="AH55" s="288" t="str">
        <f>IF(OR(F55="Х",F55="св")," ",IF(AND(G55&gt;=0,G55&lt;3),"1"," "))</f>
        <v>1</v>
      </c>
      <c r="AI55" s="289" t="str">
        <f>IF(OR(H55="Х",H55="св")," ",IF(AND(I55&gt;=0,I55&lt;3),"1"," "))</f>
        <v xml:space="preserve"> </v>
      </c>
      <c r="AJ55" s="289" t="str">
        <f>IF(OR(J55="Х",J55="св")," ",IF(AND(K55&gt;=0,K55&lt;3),"1"," "))</f>
        <v>1</v>
      </c>
      <c r="AK55" s="289" t="str">
        <f>IF(OR(L55="Х",L55="св")," ",IF(AND(M55&gt;=0,M55&lt;3),"1"," "))</f>
        <v>1</v>
      </c>
      <c r="AL55" s="289" t="str">
        <f>IF(OR(N55="Х",N55="св")," ",IF(AND(O55&gt;=0,O55&lt;3),"1"," "))</f>
        <v>1</v>
      </c>
      <c r="AM55" s="289" t="str">
        <f>IF(OR(P55="Х",P55="св")," ",IF(AND(Q55&gt;=0,Q55&lt;3),"1"," "))</f>
        <v>1</v>
      </c>
      <c r="AN55" s="289" t="str">
        <f>IF(OR(R55="Х",R55="св")," ",IF(AND(S55&gt;=0,S55&lt;3),"1"," "))</f>
        <v>1</v>
      </c>
      <c r="AO55" s="289" t="str">
        <f>IF(OR(T55="Х",T55="св")," ",IF(AND(U55&gt;=0,U55&lt;3),"1"," "))</f>
        <v>1</v>
      </c>
      <c r="AP55" s="289">
        <f>COUNTIF(AH55:AO56,1)</f>
        <v>7</v>
      </c>
      <c r="AQ55" s="289">
        <f>AG55-AC55</f>
        <v>1270</v>
      </c>
      <c r="AR55" s="292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289" t="str">
        <f>COUNTIF(AG$6:AG$134,"&gt;"&amp;AG$6:AG$134)+1&amp;REPT("-"&amp;COUNTIF(AG$6:AG$134,"&gt;="&amp;AG$6:AG$134),COUNTIF(AG$6:AG$134,AG55)&gt;1)</f>
        <v>23-26</v>
      </c>
      <c r="AT55" s="288" t="str">
        <f t="shared" ref="AT55:AW55" si="29">COUNTIF(AU$6:AU$134,"&gt;"&amp;AU$6:AU$134)+1&amp;REPT("-"&amp;COUNTIF(AU$6:AU$134,"&gt;="&amp;AU$6:AU$134),COUNTIF(AU$6:AU$134,AU55)&gt;1)</f>
        <v>1-64</v>
      </c>
      <c r="AU55" s="288" t="str">
        <f t="shared" si="29"/>
        <v>1-0</v>
      </c>
      <c r="AV55" s="288" t="str">
        <f t="shared" si="29"/>
        <v>1</v>
      </c>
      <c r="AW55" s="288" t="str">
        <f t="shared" si="29"/>
        <v>40</v>
      </c>
      <c r="AX55" s="293">
        <f>IF(X55="Х","Х",IF(Y55&lt;3,B55,"Х"))</f>
        <v>25</v>
      </c>
      <c r="AY55" s="92" t="str">
        <f ca="1"/>
        <v/>
      </c>
      <c r="AZ55" s="92"/>
      <c r="BA55" s="92" t="str">
        <f ca="1"/>
        <v/>
      </c>
      <c r="BB55" s="92"/>
      <c r="BC55" s="49" t="str">
        <f ca="1"/>
        <v/>
      </c>
      <c r="BD55" s="144">
        <f ca="1"/>
        <v>0</v>
      </c>
      <c r="BE55" s="49" t="str">
        <f ca="1"/>
        <v/>
      </c>
      <c r="BF55" s="143">
        <f ca="1"/>
        <v>0</v>
      </c>
      <c r="BG55" s="49" t="str">
        <f ca="1"/>
        <v/>
      </c>
      <c r="BH55" s="49" t="str">
        <f ca="1"/>
        <v/>
      </c>
      <c r="BI55" s="49"/>
      <c r="BJ55" s="49"/>
      <c r="BK55" s="49"/>
      <c r="BL55" s="49"/>
      <c r="BM55" s="294">
        <v>25</v>
      </c>
      <c r="BN55" s="287">
        <v>24</v>
      </c>
      <c r="BO55" s="98" t="str">
        <f>IF(BM55&lt;BN55,BM55,"")</f>
        <v/>
      </c>
      <c r="BP55" s="124" t="str">
        <v/>
      </c>
      <c r="BQ55" s="125"/>
      <c r="BR55" s="295">
        <v>25</v>
      </c>
      <c r="BS55" s="287" t="str">
        <v>св</v>
      </c>
      <c r="BT55" s="109">
        <f>IF(BR55&lt;BS55,BR55,"")</f>
        <v>25</v>
      </c>
      <c r="BU55" s="124">
        <v>25</v>
      </c>
      <c r="BV55" s="124"/>
      <c r="BW55" s="284">
        <v>25</v>
      </c>
      <c r="BX55" s="286" t="str">
        <v xml:space="preserve"> </v>
      </c>
      <c r="BY55" s="102">
        <f t="array" ref="BY55">IF(BW55&lt;BX55,BW55,"")</f>
        <v>25</v>
      </c>
      <c r="BZ55" s="102">
        <f t="shared" si="17"/>
        <v>25</v>
      </c>
      <c r="CA55" s="63">
        <f ca="1">IFERROR(__xludf.DUMMYFUNCTION("""COMPUTED_VALUE"""),50)</f>
        <v>50</v>
      </c>
      <c r="CB55" s="63">
        <f t="shared" ca="1" si="18"/>
        <v>50</v>
      </c>
      <c r="CC55" s="128"/>
      <c r="CD55" s="159"/>
      <c r="CE55" s="286">
        <v>25</v>
      </c>
      <c r="CF55" s="296" t="str">
        <v xml:space="preserve"> </v>
      </c>
      <c r="CG55" s="98">
        <f t="array" ref="CG55">IF(CE55&lt;CF55,CE55,"")</f>
        <v>25</v>
      </c>
      <c r="CH55" s="63">
        <v>25</v>
      </c>
      <c r="CI55" s="115">
        <f ca="1">IFERROR(__xludf.DUMMYFUNCTION("""COMPUTED_VALUE"""),50)</f>
        <v>50</v>
      </c>
      <c r="CJ55" s="65">
        <v>25</v>
      </c>
      <c r="CK55" s="151" t="str">
        <v xml:space="preserve"> </v>
      </c>
      <c r="CL55" s="98">
        <f t="array" ref="CL55">IF(CJ55&lt;CK55,CJ55,"")</f>
        <v>25</v>
      </c>
      <c r="CM55" s="49">
        <v>25</v>
      </c>
      <c r="CN55" s="49">
        <f ca="1">IFERROR(__xludf.DUMMYFUNCTION("""COMPUTED_VALUE"""),50)</f>
        <v>50</v>
      </c>
      <c r="CO55" s="286">
        <v>25</v>
      </c>
      <c r="CP55" s="286" t="str">
        <v xml:space="preserve"> </v>
      </c>
      <c r="CQ55" s="98">
        <f t="array" ref="CQ55">IF(CO55&lt;CP55,CO55,"")</f>
        <v>25</v>
      </c>
      <c r="CR55" s="65">
        <v>25</v>
      </c>
      <c r="CS55" s="152">
        <f ca="1">IFERROR(__xludf.DUMMYFUNCTION("""COMPUTED_VALUE"""),50)</f>
        <v>50</v>
      </c>
      <c r="CT55" s="286">
        <v>25</v>
      </c>
      <c r="CU55" s="286" t="str">
        <v xml:space="preserve"> </v>
      </c>
      <c r="CV55" s="98">
        <f t="array" ref="CV55">IF(CT55&lt;CU55,CT55,"")</f>
        <v>25</v>
      </c>
      <c r="CW55" s="49">
        <v>25</v>
      </c>
      <c r="CX55" s="49">
        <f ca="1">IFERROR(__xludf.DUMMYFUNCTION("""COMPUTED_VALUE"""),50)</f>
        <v>50</v>
      </c>
      <c r="CY55" s="286">
        <v>25</v>
      </c>
      <c r="CZ55" s="286" t="str">
        <v xml:space="preserve"> </v>
      </c>
      <c r="DA55" s="98">
        <f t="array" ref="DA55">IF(CY55&lt;CZ55,CY55,"")</f>
        <v>25</v>
      </c>
      <c r="DB55" s="49">
        <v>25</v>
      </c>
      <c r="DC55" s="49">
        <f ca="1">IFERROR(__xludf.DUMMYFUNCTION("""COMPUTED_VALUE"""),50)</f>
        <v>50</v>
      </c>
      <c r="DD55" s="49">
        <v>25</v>
      </c>
      <c r="DE55" s="49"/>
      <c r="DF55" s="49"/>
      <c r="DG55" s="49"/>
      <c r="DH55" s="49"/>
    </row>
    <row r="56" spans="1:112" ht="13.5" customHeight="1">
      <c r="A56" s="78"/>
      <c r="B56" s="269"/>
      <c r="C56" s="269"/>
      <c r="D56" s="269"/>
      <c r="E56" s="269"/>
      <c r="F56" s="274"/>
      <c r="G56" s="106"/>
      <c r="H56" s="267"/>
      <c r="I56" s="106"/>
      <c r="J56" s="267"/>
      <c r="K56" s="106"/>
      <c r="L56" s="267"/>
      <c r="M56" s="106"/>
      <c r="N56" s="267"/>
      <c r="O56" s="106"/>
      <c r="P56" s="267"/>
      <c r="Q56" s="106"/>
      <c r="R56" s="267"/>
      <c r="S56" s="106"/>
      <c r="T56" s="267"/>
      <c r="U56" s="107"/>
      <c r="V56" s="267"/>
      <c r="W56" s="107"/>
      <c r="X56" s="267"/>
      <c r="Y56" s="106"/>
      <c r="Z56" s="267"/>
      <c r="AA56" s="106"/>
      <c r="AB56" s="274"/>
      <c r="AC56" s="269"/>
      <c r="AD56" s="267"/>
      <c r="AE56" s="279"/>
      <c r="AF56" s="281"/>
      <c r="AG56" s="283"/>
      <c r="AH56" s="283"/>
      <c r="AI56" s="283"/>
      <c r="AJ56" s="283"/>
      <c r="AK56" s="283"/>
      <c r="AL56" s="283"/>
      <c r="AM56" s="283"/>
      <c r="AN56" s="283"/>
      <c r="AO56" s="283"/>
      <c r="AP56" s="283"/>
      <c r="AQ56" s="283"/>
      <c r="AR56" s="283"/>
      <c r="AS56" s="283"/>
      <c r="AT56" s="283"/>
      <c r="AU56" s="283"/>
      <c r="AV56" s="283"/>
      <c r="AW56" s="283"/>
      <c r="AX56" s="264"/>
      <c r="AY56" s="92" t="str">
        <f ca="1"/>
        <v/>
      </c>
      <c r="AZ56" s="92"/>
      <c r="BA56" s="92" t="str">
        <f ca="1"/>
        <v/>
      </c>
      <c r="BB56" s="92"/>
      <c r="BC56" s="49" t="str">
        <f ca="1"/>
        <v/>
      </c>
      <c r="BD56" s="144">
        <f ca="1"/>
        <v>0</v>
      </c>
      <c r="BE56" s="49" t="str">
        <f ca="1"/>
        <v/>
      </c>
      <c r="BF56" s="143">
        <f ca="1"/>
        <v>0</v>
      </c>
      <c r="BG56" s="49" t="str">
        <f ca="1"/>
        <v/>
      </c>
      <c r="BH56" s="49" t="str">
        <f ca="1"/>
        <v/>
      </c>
      <c r="BI56" s="49"/>
      <c r="BJ56" s="49"/>
      <c r="BK56" s="49"/>
      <c r="BL56" s="49"/>
      <c r="BM56" s="285" t="str">
        <v/>
      </c>
      <c r="BN56" s="264">
        <v>0</v>
      </c>
      <c r="BO56" s="109" t="str">
        <f>IF(BO55="","",BN55)</f>
        <v/>
      </c>
      <c r="BP56" s="109" t="str">
        <v/>
      </c>
      <c r="BQ56" s="125"/>
      <c r="BR56" s="264" t="str">
        <v/>
      </c>
      <c r="BS56" s="264">
        <v>0</v>
      </c>
      <c r="BT56" s="109" t="str">
        <f>IF(BT55="","",BS55)</f>
        <v>св</v>
      </c>
      <c r="BU56" s="109">
        <v>0</v>
      </c>
      <c r="BV56" s="124"/>
      <c r="BW56" s="285" t="str">
        <v/>
      </c>
      <c r="BX56" s="264">
        <v>0</v>
      </c>
      <c r="BY56" s="102" t="str">
        <f>IF(BY55="","",BX55)</f>
        <v xml:space="preserve"> </v>
      </c>
      <c r="BZ56" s="102" t="str">
        <f t="shared" si="17"/>
        <v xml:space="preserve"> </v>
      </c>
      <c r="CA56" s="128">
        <f ca="1">IFERROR(__xludf.DUMMYFUNCTION("""COMPUTED_VALUE"""),51)</f>
        <v>51</v>
      </c>
      <c r="CB56" s="63">
        <f t="shared" ca="1" si="18"/>
        <v>51</v>
      </c>
      <c r="CC56" s="128"/>
      <c r="CD56" s="159"/>
      <c r="CE56" s="264" t="str">
        <v/>
      </c>
      <c r="CF56" s="264">
        <v>0</v>
      </c>
      <c r="CG56" s="113" t="str">
        <f>IF(CG55="","",CF55)</f>
        <v xml:space="preserve"> </v>
      </c>
      <c r="CH56" s="128" t="str">
        <v xml:space="preserve"> </v>
      </c>
      <c r="CI56" s="115">
        <f ca="1">IFERROR(__xludf.DUMMYFUNCTION("""COMPUTED_VALUE"""),51)</f>
        <v>51</v>
      </c>
      <c r="CJ56" s="49" t="str">
        <v/>
      </c>
      <c r="CK56" s="153">
        <v>0</v>
      </c>
      <c r="CL56" s="113" t="str">
        <f>IF(CL55="","",CK55)</f>
        <v xml:space="preserve"> </v>
      </c>
      <c r="CM56" s="49" t="str">
        <v xml:space="preserve"> </v>
      </c>
      <c r="CN56" s="49">
        <f ca="1">IFERROR(__xludf.DUMMYFUNCTION("""COMPUTED_VALUE"""),51)</f>
        <v>51</v>
      </c>
      <c r="CO56" s="264" t="str">
        <v/>
      </c>
      <c r="CP56" s="264">
        <v>0</v>
      </c>
      <c r="CQ56" s="113" t="str">
        <f>IF(CQ55="","",CP55)</f>
        <v xml:space="preserve"> </v>
      </c>
      <c r="CR56" s="49" t="str">
        <v xml:space="preserve"> </v>
      </c>
      <c r="CS56" s="152">
        <f ca="1">IFERROR(__xludf.DUMMYFUNCTION("""COMPUTED_VALUE"""),51)</f>
        <v>51</v>
      </c>
      <c r="CT56" s="264" t="str">
        <v/>
      </c>
      <c r="CU56" s="264">
        <v>0</v>
      </c>
      <c r="CV56" s="113" t="str">
        <f>IF(CV55="","",CU55)</f>
        <v xml:space="preserve"> </v>
      </c>
      <c r="CW56" s="49" t="str">
        <v xml:space="preserve"> </v>
      </c>
      <c r="CX56" s="49">
        <f ca="1">IFERROR(__xludf.DUMMYFUNCTION("""COMPUTED_VALUE"""),51)</f>
        <v>51</v>
      </c>
      <c r="CY56" s="264" t="str">
        <v/>
      </c>
      <c r="CZ56" s="264">
        <v>0</v>
      </c>
      <c r="DA56" s="113" t="str">
        <f>IF(DA55="","",CZ55)</f>
        <v xml:space="preserve"> </v>
      </c>
      <c r="DB56" s="49" t="str">
        <v xml:space="preserve"> </v>
      </c>
      <c r="DC56" s="49">
        <f ca="1">IFERROR(__xludf.DUMMYFUNCTION("""COMPUTED_VALUE"""),51)</f>
        <v>51</v>
      </c>
      <c r="DD56" s="49" t="str">
        <v/>
      </c>
      <c r="DE56" s="49"/>
      <c r="DF56" s="49"/>
      <c r="DG56" s="49"/>
      <c r="DH56" s="49"/>
    </row>
    <row r="57" spans="1:112" ht="13.5" customHeight="1">
      <c r="A57" s="78"/>
      <c r="B57" s="268">
        <v>26</v>
      </c>
      <c r="C57" s="270" t="str">
        <f>(VLOOKUP($B57,Пр.взв!$D$6:$J$63,2,0))</f>
        <v>КОМАРДИНА Олеся</v>
      </c>
      <c r="D57" s="271" t="str">
        <f>(VLOOKUP($B57,Пр.взв!$D$6:$J$63,5,0))</f>
        <v>КМС</v>
      </c>
      <c r="E57" s="272" t="str">
        <f>(VLOOKUP($B57,Пр.взв!$D$6:$M$63,8,0))</f>
        <v>Свердловская</v>
      </c>
      <c r="F57" s="273" t="s">
        <v>203</v>
      </c>
      <c r="G57" s="86"/>
      <c r="H57" s="266">
        <v>23</v>
      </c>
      <c r="I57" s="86"/>
      <c r="J57" s="266" t="str">
        <f>IF(H57="Х","Х",IF($AC57&lt;6," ","Х"))</f>
        <v xml:space="preserve"> </v>
      </c>
      <c r="K57" s="87"/>
      <c r="L57" s="266" t="str">
        <f>IF(J57="Х","Х",IF(K57&lt;3," ",IF($AC57&lt;6," ","Х")))</f>
        <v xml:space="preserve"> </v>
      </c>
      <c r="M57" s="87"/>
      <c r="N57" s="266" t="str">
        <f>IF(L57="Х","Х",IF(M57&lt;3," ",IF($AC57&lt;6," ","Х")))</f>
        <v xml:space="preserve"> </v>
      </c>
      <c r="O57" s="87"/>
      <c r="P57" s="266" t="str">
        <f>IF(N57="Х","Х",IF(O57&lt;3," ",IF($AC57&lt;6," ","Х")))</f>
        <v xml:space="preserve"> </v>
      </c>
      <c r="Q57" s="87"/>
      <c r="R57" s="266" t="str">
        <f>IF(P57="Х","Х",IF(Q57&lt;3," ",IF($AC57&lt;6," ","Х")))</f>
        <v xml:space="preserve"> </v>
      </c>
      <c r="S57" s="87"/>
      <c r="T57" s="266" t="str">
        <f>IF(R57="Х","Х",IF(S57&lt;3," ",IF($AC57&lt;6," ","Х")))</f>
        <v xml:space="preserve"> </v>
      </c>
      <c r="U57" s="88"/>
      <c r="V57" s="266" t="str">
        <f>IF(T57="Х","Х",IF(U57&lt;3," ",IF($AC57&lt;6," ","Х")))</f>
        <v xml:space="preserve"> </v>
      </c>
      <c r="W57" s="88"/>
      <c r="X57" s="266" t="str">
        <f>IF(V57="А1",$AZ$7,IF(V57="Б2",$AZ$6,IF(V57="Б1",$BA$7,IF(V57="А2",$BA$6,IF(V57="Х","Х",IF(V57&lt;6," "," "))))))</f>
        <v xml:space="preserve"> </v>
      </c>
      <c r="Y57" s="89"/>
      <c r="Z57" s="266" t="str">
        <f>IF(V57="Х","Х",IF(ISBLANK(Y57),"",IF(Y57&gt;2.5," ",IF(B57=BB$6,BB$7,BB$6))))</f>
        <v/>
      </c>
      <c r="AA57" s="89"/>
      <c r="AB57" s="290" t="str">
        <f>IF(H57="Х",F$5,IF(J57="Х",H$5,IF(L57="Х",J$5,IF(N57="Х",L$5,IF(P57="Х",N$5,IF(R57="Х",P$5,IF(T57="Х",R$5,IF(X57="Х",T$5,""))))))))</f>
        <v/>
      </c>
      <c r="AC57" s="276">
        <f>SUM(G57+I57+K57+M57+O57+Q57+S57+U57+Y57+AA57)</f>
        <v>0</v>
      </c>
      <c r="AD57" s="291" t="str">
        <f>AF57</f>
        <v>23-26</v>
      </c>
      <c r="AE57" s="278" t="str">
        <f>AD57</f>
        <v>23-26</v>
      </c>
      <c r="AF57" s="280" t="str">
        <f>COUNTIF(AG$6:AG$148,"&gt;"&amp;AG$6:AG$148)+1&amp;REPT("-"&amp;COUNTIF(AG$6:AG$148,"&gt;="&amp;AG$6:AG$148),COUNTIF(AG$6:AG$148,AG57)&gt;1)</f>
        <v>23-26</v>
      </c>
      <c r="AG57" s="282">
        <f>(AR57*100)+(AP57*10)-AC57</f>
        <v>1270</v>
      </c>
      <c r="AH57" s="288" t="str">
        <f>IF(OR(F57="Х",F57="св")," ",IF(AND(G57&gt;=0,G57&lt;3),"1"," "))</f>
        <v xml:space="preserve"> </v>
      </c>
      <c r="AI57" s="289" t="str">
        <f>IF(OR(H57="Х",H57="св")," ",IF(AND(I57&gt;=0,I57&lt;3),"1"," "))</f>
        <v>1</v>
      </c>
      <c r="AJ57" s="289" t="str">
        <f>IF(OR(J57="Х",J57="св")," ",IF(AND(K57&gt;=0,K57&lt;3),"1"," "))</f>
        <v>1</v>
      </c>
      <c r="AK57" s="289" t="str">
        <f>IF(OR(L57="Х",L57="св")," ",IF(AND(M57&gt;=0,M57&lt;3),"1"," "))</f>
        <v>1</v>
      </c>
      <c r="AL57" s="289" t="str">
        <f>IF(OR(N57="Х",N57="св")," ",IF(AND(O57&gt;=0,O57&lt;3),"1"," "))</f>
        <v>1</v>
      </c>
      <c r="AM57" s="289" t="str">
        <f>IF(OR(P57="Х",P57="св")," ",IF(AND(Q57&gt;=0,Q57&lt;3),"1"," "))</f>
        <v>1</v>
      </c>
      <c r="AN57" s="289" t="str">
        <f>IF(OR(R57="Х",R57="св")," ",IF(AND(S57&gt;=0,S57&lt;3),"1"," "))</f>
        <v>1</v>
      </c>
      <c r="AO57" s="289" t="str">
        <f>IF(OR(T57="Х",T57="св")," ",IF(AND(U57&gt;=0,U57&lt;3),"1"," "))</f>
        <v>1</v>
      </c>
      <c r="AP57" s="289">
        <f>COUNTIF(AH57:AO58,1)</f>
        <v>7</v>
      </c>
      <c r="AQ57" s="289">
        <f>AG57-AC57</f>
        <v>1270</v>
      </c>
      <c r="AR57" s="292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289" t="str">
        <f>COUNTIF(AG$6:AG$134,"&gt;"&amp;AG$6:AG$134)+1&amp;REPT("-"&amp;COUNTIF(AG$6:AG$134,"&gt;="&amp;AG$6:AG$134),COUNTIF(AG$6:AG$134,AG57)&gt;1)</f>
        <v>23-26</v>
      </c>
      <c r="AT57" s="288" t="str">
        <f t="shared" ref="AT57:AW57" si="30">COUNTIF(AU$6:AU$134,"&gt;"&amp;AU$6:AU$134)+1&amp;REPT("-"&amp;COUNTIF(AU$6:AU$134,"&gt;="&amp;AU$6:AU$134),COUNTIF(AU$6:AU$134,AU57)&gt;1)</f>
        <v>1-64</v>
      </c>
      <c r="AU57" s="288" t="str">
        <f t="shared" si="30"/>
        <v>1-0</v>
      </c>
      <c r="AV57" s="288" t="str">
        <f t="shared" si="30"/>
        <v>1</v>
      </c>
      <c r="AW57" s="288" t="str">
        <f t="shared" si="30"/>
        <v>39</v>
      </c>
      <c r="AX57" s="293">
        <f>IF(X57="Х","Х",IF(Y57&lt;3,B57,"Х"))</f>
        <v>26</v>
      </c>
      <c r="AY57" s="92" t="str">
        <f ca="1"/>
        <v/>
      </c>
      <c r="AZ57" s="92"/>
      <c r="BA57" s="92" t="str">
        <f ca="1"/>
        <v/>
      </c>
      <c r="BB57" s="92"/>
      <c r="BC57" s="49" t="str">
        <f ca="1"/>
        <v/>
      </c>
      <c r="BD57" s="144">
        <f ca="1"/>
        <v>0</v>
      </c>
      <c r="BE57" s="49" t="str">
        <f ca="1"/>
        <v/>
      </c>
      <c r="BF57" s="143">
        <f ca="1"/>
        <v>0</v>
      </c>
      <c r="BG57" s="49" t="str">
        <f ca="1"/>
        <v/>
      </c>
      <c r="BH57" s="49" t="str">
        <f ca="1"/>
        <v/>
      </c>
      <c r="BI57" s="49"/>
      <c r="BJ57" s="49"/>
      <c r="BK57" s="49"/>
      <c r="BL57" s="49"/>
      <c r="BM57" s="294">
        <v>26</v>
      </c>
      <c r="BN57" s="287" t="str">
        <v>св</v>
      </c>
      <c r="BO57" s="98">
        <f>IF(BM57&lt;BN57,BM57,"")</f>
        <v>26</v>
      </c>
      <c r="BP57" s="124">
        <v>26</v>
      </c>
      <c r="BQ57" s="125"/>
      <c r="BR57" s="295">
        <v>26</v>
      </c>
      <c r="BS57" s="287">
        <v>23</v>
      </c>
      <c r="BT57" s="109" t="str">
        <f>IF(BR57&lt;BS57,BR57,"")</f>
        <v/>
      </c>
      <c r="BU57" s="124" t="str">
        <v/>
      </c>
      <c r="BV57" s="124"/>
      <c r="BW57" s="284">
        <v>26</v>
      </c>
      <c r="BX57" s="286" t="str">
        <v xml:space="preserve"> </v>
      </c>
      <c r="BY57" s="102">
        <f t="array" ref="BY57">IF(BW57&lt;BX57,BW57,"")</f>
        <v>26</v>
      </c>
      <c r="BZ57" s="102">
        <f t="shared" si="17"/>
        <v>26</v>
      </c>
      <c r="CA57" s="63">
        <f ca="1">IFERROR(__xludf.DUMMYFUNCTION("""COMPUTED_VALUE"""),52)</f>
        <v>52</v>
      </c>
      <c r="CB57" s="63">
        <f t="shared" ca="1" si="18"/>
        <v>52</v>
      </c>
      <c r="CC57" s="128"/>
      <c r="CD57" s="159"/>
      <c r="CE57" s="286">
        <v>26</v>
      </c>
      <c r="CF57" s="296" t="str">
        <v xml:space="preserve"> </v>
      </c>
      <c r="CG57" s="98">
        <f t="array" ref="CG57">IF(CE57&lt;CF57,CE57,"")</f>
        <v>26</v>
      </c>
      <c r="CH57" s="63">
        <v>26</v>
      </c>
      <c r="CI57" s="115">
        <f ca="1">IFERROR(__xludf.DUMMYFUNCTION("""COMPUTED_VALUE"""),52)</f>
        <v>52</v>
      </c>
      <c r="CJ57" s="65">
        <v>26</v>
      </c>
      <c r="CK57" s="151" t="str">
        <v xml:space="preserve"> </v>
      </c>
      <c r="CL57" s="98">
        <f t="array" ref="CL57">IF(CJ57&lt;CK57,CJ57,"")</f>
        <v>26</v>
      </c>
      <c r="CM57" s="49">
        <v>26</v>
      </c>
      <c r="CN57" s="49">
        <f ca="1">IFERROR(__xludf.DUMMYFUNCTION("""COMPUTED_VALUE"""),52)</f>
        <v>52</v>
      </c>
      <c r="CO57" s="286">
        <v>26</v>
      </c>
      <c r="CP57" s="286" t="str">
        <v xml:space="preserve"> </v>
      </c>
      <c r="CQ57" s="98">
        <f t="array" ref="CQ57">IF(CO57&lt;CP57,CO57,"")</f>
        <v>26</v>
      </c>
      <c r="CR57" s="65">
        <v>26</v>
      </c>
      <c r="CS57" s="152">
        <f ca="1">IFERROR(__xludf.DUMMYFUNCTION("""COMPUTED_VALUE"""),52)</f>
        <v>52</v>
      </c>
      <c r="CT57" s="286">
        <v>26</v>
      </c>
      <c r="CU57" s="286" t="str">
        <v xml:space="preserve"> </v>
      </c>
      <c r="CV57" s="98">
        <f t="array" ref="CV57">IF(CT57&lt;CU57,CT57,"")</f>
        <v>26</v>
      </c>
      <c r="CW57" s="49">
        <v>26</v>
      </c>
      <c r="CX57" s="49">
        <f ca="1">IFERROR(__xludf.DUMMYFUNCTION("""COMPUTED_VALUE"""),52)</f>
        <v>52</v>
      </c>
      <c r="CY57" s="286">
        <v>26</v>
      </c>
      <c r="CZ57" s="286" t="str">
        <v xml:space="preserve"> </v>
      </c>
      <c r="DA57" s="98">
        <f t="array" ref="DA57">IF(CY57&lt;CZ57,CY57,"")</f>
        <v>26</v>
      </c>
      <c r="DB57" s="49">
        <v>26</v>
      </c>
      <c r="DC57" s="49">
        <f ca="1">IFERROR(__xludf.DUMMYFUNCTION("""COMPUTED_VALUE"""),52)</f>
        <v>52</v>
      </c>
      <c r="DD57" s="49">
        <v>26</v>
      </c>
      <c r="DE57" s="49"/>
      <c r="DF57" s="49"/>
      <c r="DG57" s="49"/>
      <c r="DH57" s="49"/>
    </row>
    <row r="58" spans="1:112" ht="13.5" customHeight="1">
      <c r="A58" s="78"/>
      <c r="B58" s="269"/>
      <c r="C58" s="269"/>
      <c r="D58" s="269"/>
      <c r="E58" s="269"/>
      <c r="F58" s="274"/>
      <c r="G58" s="106"/>
      <c r="H58" s="267"/>
      <c r="I58" s="106"/>
      <c r="J58" s="267"/>
      <c r="K58" s="106"/>
      <c r="L58" s="267"/>
      <c r="M58" s="106"/>
      <c r="N58" s="267"/>
      <c r="O58" s="106"/>
      <c r="P58" s="267"/>
      <c r="Q58" s="106"/>
      <c r="R58" s="267"/>
      <c r="S58" s="106"/>
      <c r="T58" s="267"/>
      <c r="U58" s="107"/>
      <c r="V58" s="267"/>
      <c r="W58" s="107"/>
      <c r="X58" s="267"/>
      <c r="Y58" s="106"/>
      <c r="Z58" s="267"/>
      <c r="AA58" s="106"/>
      <c r="AB58" s="274"/>
      <c r="AC58" s="269"/>
      <c r="AD58" s="267"/>
      <c r="AE58" s="279"/>
      <c r="AF58" s="281"/>
      <c r="AG58" s="283"/>
      <c r="AH58" s="283"/>
      <c r="AI58" s="283"/>
      <c r="AJ58" s="283"/>
      <c r="AK58" s="283"/>
      <c r="AL58" s="283"/>
      <c r="AM58" s="283"/>
      <c r="AN58" s="283"/>
      <c r="AO58" s="283"/>
      <c r="AP58" s="283"/>
      <c r="AQ58" s="283"/>
      <c r="AR58" s="283"/>
      <c r="AS58" s="283"/>
      <c r="AT58" s="283"/>
      <c r="AU58" s="283"/>
      <c r="AV58" s="283"/>
      <c r="AW58" s="283"/>
      <c r="AX58" s="264"/>
      <c r="AY58" s="92" t="str">
        <f ca="1"/>
        <v/>
      </c>
      <c r="AZ58" s="92"/>
      <c r="BA58" s="92" t="str">
        <f ca="1"/>
        <v/>
      </c>
      <c r="BB58" s="92"/>
      <c r="BC58" s="49" t="str">
        <f ca="1"/>
        <v/>
      </c>
      <c r="BD58" s="144">
        <f ca="1"/>
        <v>0</v>
      </c>
      <c r="BE58" s="49" t="str">
        <f ca="1"/>
        <v/>
      </c>
      <c r="BF58" s="143">
        <f ca="1"/>
        <v>0</v>
      </c>
      <c r="BG58" s="49" t="str">
        <f ca="1"/>
        <v/>
      </c>
      <c r="BH58" s="49" t="str">
        <f ca="1"/>
        <v/>
      </c>
      <c r="BI58" s="49"/>
      <c r="BJ58" s="49"/>
      <c r="BK58" s="49"/>
      <c r="BL58" s="49"/>
      <c r="BM58" s="285" t="str">
        <v/>
      </c>
      <c r="BN58" s="264">
        <v>0</v>
      </c>
      <c r="BO58" s="109" t="str">
        <f>IF(BO57="","",BN57)</f>
        <v>св</v>
      </c>
      <c r="BP58" s="109">
        <v>0</v>
      </c>
      <c r="BQ58" s="125"/>
      <c r="BR58" s="264" t="str">
        <v/>
      </c>
      <c r="BS58" s="264">
        <v>0</v>
      </c>
      <c r="BT58" s="109" t="str">
        <f>IF(BT57="","",BS57)</f>
        <v/>
      </c>
      <c r="BU58" s="109" t="str">
        <v/>
      </c>
      <c r="BV58" s="124"/>
      <c r="BW58" s="285" t="str">
        <v/>
      </c>
      <c r="BX58" s="264">
        <v>0</v>
      </c>
      <c r="BY58" s="102" t="str">
        <f>IF(BY57="","",BX57)</f>
        <v xml:space="preserve"> </v>
      </c>
      <c r="BZ58" s="102" t="str">
        <f t="shared" si="17"/>
        <v xml:space="preserve"> </v>
      </c>
      <c r="CA58" s="128">
        <f ca="1">IFERROR(__xludf.DUMMYFUNCTION("""COMPUTED_VALUE"""),53)</f>
        <v>53</v>
      </c>
      <c r="CB58" s="63">
        <f t="shared" ca="1" si="18"/>
        <v>53</v>
      </c>
      <c r="CC58" s="128"/>
      <c r="CD58" s="159"/>
      <c r="CE58" s="264" t="str">
        <v/>
      </c>
      <c r="CF58" s="264">
        <v>0</v>
      </c>
      <c r="CG58" s="113" t="str">
        <f>IF(CG57="","",CF57)</f>
        <v xml:space="preserve"> </v>
      </c>
      <c r="CH58" s="128" t="str">
        <v xml:space="preserve"> </v>
      </c>
      <c r="CI58" s="115">
        <f ca="1">IFERROR(__xludf.DUMMYFUNCTION("""COMPUTED_VALUE"""),53)</f>
        <v>53</v>
      </c>
      <c r="CJ58" s="49" t="str">
        <v/>
      </c>
      <c r="CK58" s="153">
        <v>0</v>
      </c>
      <c r="CL58" s="113" t="str">
        <f>IF(CL57="","",CK57)</f>
        <v xml:space="preserve"> </v>
      </c>
      <c r="CM58" s="49" t="str">
        <v xml:space="preserve"> </v>
      </c>
      <c r="CN58" s="49">
        <f ca="1">IFERROR(__xludf.DUMMYFUNCTION("""COMPUTED_VALUE"""),53)</f>
        <v>53</v>
      </c>
      <c r="CO58" s="264" t="str">
        <v/>
      </c>
      <c r="CP58" s="264">
        <v>0</v>
      </c>
      <c r="CQ58" s="113" t="str">
        <f>IF(CQ57="","",CP57)</f>
        <v xml:space="preserve"> </v>
      </c>
      <c r="CR58" s="49" t="str">
        <v xml:space="preserve"> </v>
      </c>
      <c r="CS58" s="152">
        <f ca="1">IFERROR(__xludf.DUMMYFUNCTION("""COMPUTED_VALUE"""),53)</f>
        <v>53</v>
      </c>
      <c r="CT58" s="264" t="str">
        <v/>
      </c>
      <c r="CU58" s="264">
        <v>0</v>
      </c>
      <c r="CV58" s="113" t="str">
        <f>IF(CV57="","",CU57)</f>
        <v xml:space="preserve"> </v>
      </c>
      <c r="CW58" s="49" t="str">
        <v xml:space="preserve"> </v>
      </c>
      <c r="CX58" s="49">
        <f ca="1">IFERROR(__xludf.DUMMYFUNCTION("""COMPUTED_VALUE"""),53)</f>
        <v>53</v>
      </c>
      <c r="CY58" s="264" t="str">
        <v/>
      </c>
      <c r="CZ58" s="264">
        <v>0</v>
      </c>
      <c r="DA58" s="113" t="str">
        <f>IF(DA57="","",CZ57)</f>
        <v xml:space="preserve"> </v>
      </c>
      <c r="DB58" s="49" t="str">
        <v xml:space="preserve"> </v>
      </c>
      <c r="DC58" s="49">
        <f ca="1">IFERROR(__xludf.DUMMYFUNCTION("""COMPUTED_VALUE"""),53)</f>
        <v>53</v>
      </c>
      <c r="DD58" s="49" t="str">
        <v/>
      </c>
      <c r="DE58" s="49"/>
      <c r="DF58" s="49"/>
      <c r="DG58" s="49"/>
      <c r="DH58" s="49"/>
    </row>
    <row r="59" spans="1:112" ht="13.5" hidden="1" customHeight="1">
      <c r="A59" s="78"/>
      <c r="B59" s="268">
        <v>27</v>
      </c>
      <c r="C59" s="270" t="e">
        <f>(VLOOKUP($B59,Пр.взв!$D$6:$J$63,2,0))</f>
        <v>#N/A</v>
      </c>
      <c r="D59" s="271" t="e">
        <f>(VLOOKUP($B59,Пр.взв!$D$6:$J$63,5,0))</f>
        <v>#N/A</v>
      </c>
      <c r="E59" s="272" t="e">
        <f>(VLOOKUP($B59,Пр.взв!$D$6:$M$63,8,0))</f>
        <v>#N/A</v>
      </c>
      <c r="F59" s="273"/>
      <c r="G59" s="86"/>
      <c r="H59" s="266"/>
      <c r="I59" s="86"/>
      <c r="J59" s="266" t="str">
        <f>IF(H59="Х","Х",IF($AC59&lt;6," ","Х"))</f>
        <v xml:space="preserve"> </v>
      </c>
      <c r="K59" s="87"/>
      <c r="L59" s="266" t="str">
        <f>IF(J59="Х","Х",IF(K59&lt;3," ",IF($AC59&lt;6," ","Х")))</f>
        <v xml:space="preserve"> </v>
      </c>
      <c r="M59" s="87"/>
      <c r="N59" s="266" t="str">
        <f>IF(L59="Х","Х",IF(M59&lt;3," ",IF($AC59&lt;6," ","Х")))</f>
        <v xml:space="preserve"> </v>
      </c>
      <c r="O59" s="87"/>
      <c r="P59" s="266" t="str">
        <f>IF(N59="Х","Х",IF(O59&lt;3," ",IF($AC59&lt;6," ","Х")))</f>
        <v xml:space="preserve"> </v>
      </c>
      <c r="Q59" s="87"/>
      <c r="R59" s="266" t="str">
        <f>IF(P59="Х","Х",IF(Q59&lt;3," ",IF($AC59&lt;6," ","Х")))</f>
        <v xml:space="preserve"> </v>
      </c>
      <c r="S59" s="87"/>
      <c r="T59" s="266" t="str">
        <f>IF(R59="Х","Х",IF(S59&lt;3," ",IF($AC59&lt;6," ","Х")))</f>
        <v xml:space="preserve"> </v>
      </c>
      <c r="U59" s="88"/>
      <c r="V59" s="266" t="str">
        <f>IF(T59="Х","Х",IF(U59&lt;3," ",IF($AC59&lt;6," ","Х")))</f>
        <v xml:space="preserve"> </v>
      </c>
      <c r="W59" s="88"/>
      <c r="X59" s="266" t="str">
        <f>IF(V59="А1",$AZ$7,IF(V59="Б2",$AZ$6,IF(V59="Б1",$BA$7,IF(V59="А2",$BA$6,IF(V59="Х","Х",IF(V59&lt;6," "," "))))))</f>
        <v xml:space="preserve"> </v>
      </c>
      <c r="Y59" s="89"/>
      <c r="Z59" s="266" t="str">
        <f>IF(V59="Х","Х",IF(ISBLANK(Y59),"",IF(Y59&gt;2.5," ",IF(B59=BB$6,BB$7,BB$6))))</f>
        <v/>
      </c>
      <c r="AA59" s="89"/>
      <c r="AB59" s="290" t="str">
        <f>IF(H59="Х",F$5,IF(J59="Х",H$5,IF(L59="Х",J$5,IF(N59="Х",L$5,IF(P59="Х",N$5,IF(R59="Х",P$5,IF(T59="Х",R$5,IF(X59="Х",T$5,""))))))))</f>
        <v/>
      </c>
      <c r="AC59" s="276">
        <f>SUM(G59+I59+K59+M59+O59+Q59+S59+U59+Y59+AA59)</f>
        <v>0</v>
      </c>
      <c r="AD59" s="291" t="str">
        <f>AF59</f>
        <v>27-71</v>
      </c>
      <c r="AE59" s="278" t="str">
        <f>AD59</f>
        <v>27-71</v>
      </c>
      <c r="AF59" s="280" t="str">
        <f>COUNTIF(AG$6:AG$148,"&gt;"&amp;AG$6:AG$148)+1&amp;REPT("-"&amp;COUNTIF(AG$6:AG$148,"&gt;="&amp;AG$6:AG$148),COUNTIF(AG$6:AG$148,AG59)&gt;1)</f>
        <v>27-71</v>
      </c>
      <c r="AG59" s="282">
        <f>(AR59*100)+(AP59*10)-AC59</f>
        <v>80</v>
      </c>
      <c r="AH59" s="288" t="str">
        <f>IF(OR(F59="Х",F59="св")," ",IF(AND(G59&gt;=0,G59&lt;3),"1"," "))</f>
        <v>1</v>
      </c>
      <c r="AI59" s="289" t="str">
        <f>IF(OR(H59="Х",H59="св")," ",IF(AND(I59&gt;=0,I59&lt;3),"1"," "))</f>
        <v>1</v>
      </c>
      <c r="AJ59" s="289" t="str">
        <f>IF(OR(J59="Х",J59="св")," ",IF(AND(K59&gt;=0,K59&lt;3),"1"," "))</f>
        <v>1</v>
      </c>
      <c r="AK59" s="289" t="str">
        <f>IF(OR(L59="Х",L59="св")," ",IF(AND(M59&gt;=0,M59&lt;3),"1"," "))</f>
        <v>1</v>
      </c>
      <c r="AL59" s="289" t="str">
        <f>IF(OR(N59="Х",N59="св")," ",IF(AND(O59&gt;=0,O59&lt;3),"1"," "))</f>
        <v>1</v>
      </c>
      <c r="AM59" s="289" t="str">
        <f>IF(OR(P59="Х",P59="св")," ",IF(AND(Q59&gt;=0,Q59&lt;3),"1"," "))</f>
        <v>1</v>
      </c>
      <c r="AN59" s="289" t="str">
        <f>IF(OR(R59="Х",R59="св")," ",IF(AND(S59&gt;=0,S59&lt;3),"1"," "))</f>
        <v>1</v>
      </c>
      <c r="AO59" s="289" t="str">
        <f>IF(OR(T59="Х",T59="св")," ",IF(AND(U59&gt;=0,U59&lt;3),"1"," "))</f>
        <v>1</v>
      </c>
      <c r="AP59" s="289">
        <f>COUNTIF(AH59:AO60,1)</f>
        <v>8</v>
      </c>
      <c r="AQ59" s="289">
        <f>AG59-AC59</f>
        <v>80</v>
      </c>
      <c r="AR59" s="292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289" t="str">
        <f>COUNTIF(AG$6:AG$134,"&gt;"&amp;AG$6:AG$134)+1&amp;REPT("-"&amp;COUNTIF(AG$6:AG$134,"&gt;="&amp;AG$6:AG$134),COUNTIF(AG$6:AG$134,AG59)&gt;1)</f>
        <v>27-64</v>
      </c>
      <c r="AT59" s="288" t="str">
        <f t="shared" ref="AT59:AW59" si="31">COUNTIF(AU$6:AU$134,"&gt;"&amp;AU$6:AU$134)+1&amp;REPT("-"&amp;COUNTIF(AU$6:AU$134,"&gt;="&amp;AU$6:AU$134),COUNTIF(AU$6:AU$134,AU59)&gt;1)</f>
        <v>1-64</v>
      </c>
      <c r="AU59" s="288" t="str">
        <f t="shared" si="31"/>
        <v>1-0</v>
      </c>
      <c r="AV59" s="288" t="str">
        <f t="shared" si="31"/>
        <v>1</v>
      </c>
      <c r="AW59" s="288" t="str">
        <f t="shared" si="31"/>
        <v>38</v>
      </c>
      <c r="AX59" s="293">
        <f>IF(X59="Х","Х",IF(Y59&lt;3,B59,"Х"))</f>
        <v>27</v>
      </c>
      <c r="AY59" s="92" t="str">
        <f ca="1"/>
        <v/>
      </c>
      <c r="AZ59" s="92"/>
      <c r="BA59" s="92" t="str">
        <f ca="1"/>
        <v/>
      </c>
      <c r="BB59" s="92"/>
      <c r="BC59" s="49" t="str">
        <f ca="1"/>
        <v/>
      </c>
      <c r="BD59" s="144">
        <f ca="1"/>
        <v>0</v>
      </c>
      <c r="BE59" s="49" t="str">
        <f ca="1"/>
        <v/>
      </c>
      <c r="BF59" s="143">
        <f ca="1"/>
        <v>0</v>
      </c>
      <c r="BG59" s="49" t="str">
        <f ca="1"/>
        <v/>
      </c>
      <c r="BH59" s="49" t="str">
        <f ca="1"/>
        <v/>
      </c>
      <c r="BI59" s="49"/>
      <c r="BJ59" s="49"/>
      <c r="BK59" s="49"/>
      <c r="BL59" s="49"/>
      <c r="BM59" s="294">
        <v>27</v>
      </c>
      <c r="BN59" s="287">
        <v>0</v>
      </c>
      <c r="BO59" s="98" t="str">
        <f>IF(BM59&lt;BN59,BM59,"")</f>
        <v/>
      </c>
      <c r="BP59" s="124" t="str">
        <v/>
      </c>
      <c r="BQ59" s="125"/>
      <c r="BR59" s="295" t="str">
        <v/>
      </c>
      <c r="BS59" s="287">
        <v>0</v>
      </c>
      <c r="BT59" s="109" t="str">
        <f>IF(BR59&lt;BS59,BR59,"")</f>
        <v/>
      </c>
      <c r="BU59" s="124" t="str">
        <v/>
      </c>
      <c r="BV59" s="124"/>
      <c r="BW59" s="284">
        <v>27</v>
      </c>
      <c r="BX59" s="286" t="str">
        <v xml:space="preserve"> </v>
      </c>
      <c r="BY59" s="102">
        <f t="array" ref="BY59">IF(BW59&lt;BX59,BW59,"")</f>
        <v>27</v>
      </c>
      <c r="BZ59" s="102">
        <f t="shared" si="17"/>
        <v>27</v>
      </c>
      <c r="CA59" s="63">
        <f ca="1">IFERROR(__xludf.DUMMYFUNCTION("""COMPUTED_VALUE"""),54)</f>
        <v>54</v>
      </c>
      <c r="CB59" s="63">
        <f t="shared" ca="1" si="18"/>
        <v>54</v>
      </c>
      <c r="CC59" s="128"/>
      <c r="CD59" s="159"/>
      <c r="CE59" s="286">
        <v>27</v>
      </c>
      <c r="CF59" s="296" t="str">
        <v xml:space="preserve"> </v>
      </c>
      <c r="CG59" s="98">
        <f t="array" ref="CG59">IF(CE59&lt;CF59,CE59,"")</f>
        <v>27</v>
      </c>
      <c r="CH59" s="63">
        <v>27</v>
      </c>
      <c r="CI59" s="115">
        <f ca="1">IFERROR(__xludf.DUMMYFUNCTION("""COMPUTED_VALUE"""),54)</f>
        <v>54</v>
      </c>
      <c r="CJ59" s="65">
        <v>27</v>
      </c>
      <c r="CK59" s="151" t="str">
        <v xml:space="preserve"> </v>
      </c>
      <c r="CL59" s="98">
        <f t="array" ref="CL59">IF(CJ59&lt;CK59,CJ59,"")</f>
        <v>27</v>
      </c>
      <c r="CM59" s="49">
        <v>27</v>
      </c>
      <c r="CN59" s="49">
        <f ca="1">IFERROR(__xludf.DUMMYFUNCTION("""COMPUTED_VALUE"""),54)</f>
        <v>54</v>
      </c>
      <c r="CO59" s="286">
        <v>27</v>
      </c>
      <c r="CP59" s="286" t="str">
        <v xml:space="preserve"> </v>
      </c>
      <c r="CQ59" s="98">
        <f t="array" ref="CQ59">IF(CO59&lt;CP59,CO59,"")</f>
        <v>27</v>
      </c>
      <c r="CR59" s="65">
        <v>27</v>
      </c>
      <c r="CS59" s="152">
        <f ca="1">IFERROR(__xludf.DUMMYFUNCTION("""COMPUTED_VALUE"""),54)</f>
        <v>54</v>
      </c>
      <c r="CT59" s="286">
        <v>27</v>
      </c>
      <c r="CU59" s="286" t="str">
        <v xml:space="preserve"> </v>
      </c>
      <c r="CV59" s="98">
        <f t="array" ref="CV59">IF(CT59&lt;CU59,CT59,"")</f>
        <v>27</v>
      </c>
      <c r="CW59" s="49">
        <v>27</v>
      </c>
      <c r="CX59" s="49">
        <f ca="1">IFERROR(__xludf.DUMMYFUNCTION("""COMPUTED_VALUE"""),54)</f>
        <v>54</v>
      </c>
      <c r="CY59" s="286">
        <v>27</v>
      </c>
      <c r="CZ59" s="286" t="str">
        <v xml:space="preserve"> </v>
      </c>
      <c r="DA59" s="98">
        <f t="array" ref="DA59">IF(CY59&lt;CZ59,CY59,"")</f>
        <v>27</v>
      </c>
      <c r="DB59" s="49">
        <v>27</v>
      </c>
      <c r="DC59" s="49">
        <f ca="1">IFERROR(__xludf.DUMMYFUNCTION("""COMPUTED_VALUE"""),54)</f>
        <v>54</v>
      </c>
      <c r="DD59" s="49">
        <v>27</v>
      </c>
      <c r="DE59" s="49"/>
      <c r="DF59" s="49"/>
      <c r="DG59" s="49"/>
      <c r="DH59" s="49"/>
    </row>
    <row r="60" spans="1:112" ht="13.5" hidden="1" customHeight="1">
      <c r="A60" s="78"/>
      <c r="B60" s="269"/>
      <c r="C60" s="269"/>
      <c r="D60" s="269"/>
      <c r="E60" s="269"/>
      <c r="F60" s="274"/>
      <c r="G60" s="106"/>
      <c r="H60" s="267"/>
      <c r="I60" s="106"/>
      <c r="J60" s="267"/>
      <c r="K60" s="106"/>
      <c r="L60" s="267"/>
      <c r="M60" s="106"/>
      <c r="N60" s="267"/>
      <c r="O60" s="106"/>
      <c r="P60" s="267"/>
      <c r="Q60" s="106"/>
      <c r="R60" s="267"/>
      <c r="S60" s="106"/>
      <c r="T60" s="267"/>
      <c r="U60" s="107"/>
      <c r="V60" s="267"/>
      <c r="W60" s="107"/>
      <c r="X60" s="267"/>
      <c r="Y60" s="106"/>
      <c r="Z60" s="267"/>
      <c r="AA60" s="106"/>
      <c r="AB60" s="274"/>
      <c r="AC60" s="269"/>
      <c r="AD60" s="267"/>
      <c r="AE60" s="279"/>
      <c r="AF60" s="281"/>
      <c r="AG60" s="283"/>
      <c r="AH60" s="283"/>
      <c r="AI60" s="283"/>
      <c r="AJ60" s="283"/>
      <c r="AK60" s="283"/>
      <c r="AL60" s="283"/>
      <c r="AM60" s="283"/>
      <c r="AN60" s="283"/>
      <c r="AO60" s="283"/>
      <c r="AP60" s="283"/>
      <c r="AQ60" s="283"/>
      <c r="AR60" s="283"/>
      <c r="AS60" s="283"/>
      <c r="AT60" s="283"/>
      <c r="AU60" s="283"/>
      <c r="AV60" s="283"/>
      <c r="AW60" s="283"/>
      <c r="AX60" s="264"/>
      <c r="AY60" s="92" t="str">
        <f ca="1"/>
        <v/>
      </c>
      <c r="AZ60" s="92"/>
      <c r="BA60" s="92" t="str">
        <f ca="1"/>
        <v/>
      </c>
      <c r="BB60" s="92"/>
      <c r="BC60" s="49" t="str">
        <f ca="1"/>
        <v/>
      </c>
      <c r="BD60" s="144">
        <f ca="1"/>
        <v>0</v>
      </c>
      <c r="BE60" s="49" t="str">
        <f ca="1"/>
        <v/>
      </c>
      <c r="BF60" s="143">
        <f ca="1"/>
        <v>0</v>
      </c>
      <c r="BG60" s="49" t="str">
        <f ca="1"/>
        <v/>
      </c>
      <c r="BH60" s="49" t="str">
        <f ca="1"/>
        <v/>
      </c>
      <c r="BI60" s="49"/>
      <c r="BJ60" s="49"/>
      <c r="BK60" s="49"/>
      <c r="BL60" s="49"/>
      <c r="BM60" s="285" t="str">
        <v/>
      </c>
      <c r="BN60" s="264">
        <v>0</v>
      </c>
      <c r="BO60" s="109" t="str">
        <f>IF(BO59="","",BN59)</f>
        <v/>
      </c>
      <c r="BP60" s="109" t="str">
        <v/>
      </c>
      <c r="BQ60" s="125"/>
      <c r="BR60" s="264" t="str">
        <v/>
      </c>
      <c r="BS60" s="264">
        <v>0</v>
      </c>
      <c r="BT60" s="109" t="str">
        <f>IF(BT59="","",BS59)</f>
        <v/>
      </c>
      <c r="BU60" s="109" t="str">
        <v/>
      </c>
      <c r="BV60" s="124"/>
      <c r="BW60" s="285" t="str">
        <v/>
      </c>
      <c r="BX60" s="264">
        <v>0</v>
      </c>
      <c r="BY60" s="102" t="str">
        <f>IF(BY59="","",BX59)</f>
        <v xml:space="preserve"> </v>
      </c>
      <c r="BZ60" s="102" t="str">
        <f t="shared" si="17"/>
        <v xml:space="preserve"> </v>
      </c>
      <c r="CA60" s="128">
        <f ca="1">IFERROR(__xludf.DUMMYFUNCTION("""COMPUTED_VALUE"""),55)</f>
        <v>55</v>
      </c>
      <c r="CB60" s="63">
        <f t="shared" ca="1" si="18"/>
        <v>55</v>
      </c>
      <c r="CC60" s="128"/>
      <c r="CD60" s="159"/>
      <c r="CE60" s="264" t="str">
        <v/>
      </c>
      <c r="CF60" s="264">
        <v>0</v>
      </c>
      <c r="CG60" s="113" t="str">
        <f>IF(CG59="","",CF59)</f>
        <v xml:space="preserve"> </v>
      </c>
      <c r="CH60" s="128" t="str">
        <v xml:space="preserve"> </v>
      </c>
      <c r="CI60" s="115">
        <f ca="1">IFERROR(__xludf.DUMMYFUNCTION("""COMPUTED_VALUE"""),55)</f>
        <v>55</v>
      </c>
      <c r="CJ60" s="49" t="str">
        <v/>
      </c>
      <c r="CK60" s="153">
        <v>0</v>
      </c>
      <c r="CL60" s="113" t="str">
        <f>IF(CL59="","",CK59)</f>
        <v xml:space="preserve"> </v>
      </c>
      <c r="CM60" s="49" t="str">
        <v xml:space="preserve"> </v>
      </c>
      <c r="CN60" s="49">
        <f ca="1">IFERROR(__xludf.DUMMYFUNCTION("""COMPUTED_VALUE"""),55)</f>
        <v>55</v>
      </c>
      <c r="CO60" s="264" t="str">
        <v/>
      </c>
      <c r="CP60" s="264">
        <v>0</v>
      </c>
      <c r="CQ60" s="113" t="str">
        <f>IF(CQ59="","",CP59)</f>
        <v xml:space="preserve"> </v>
      </c>
      <c r="CR60" s="49" t="str">
        <v xml:space="preserve"> </v>
      </c>
      <c r="CS60" s="152">
        <f ca="1">IFERROR(__xludf.DUMMYFUNCTION("""COMPUTED_VALUE"""),55)</f>
        <v>55</v>
      </c>
      <c r="CT60" s="264" t="str">
        <v/>
      </c>
      <c r="CU60" s="264">
        <v>0</v>
      </c>
      <c r="CV60" s="113" t="str">
        <f>IF(CV59="","",CU59)</f>
        <v xml:space="preserve"> </v>
      </c>
      <c r="CW60" s="49" t="str">
        <v xml:space="preserve"> </v>
      </c>
      <c r="CX60" s="49">
        <f ca="1">IFERROR(__xludf.DUMMYFUNCTION("""COMPUTED_VALUE"""),55)</f>
        <v>55</v>
      </c>
      <c r="CY60" s="264" t="str">
        <v/>
      </c>
      <c r="CZ60" s="264">
        <v>0</v>
      </c>
      <c r="DA60" s="113" t="str">
        <f>IF(DA59="","",CZ59)</f>
        <v xml:space="preserve"> </v>
      </c>
      <c r="DB60" s="49" t="str">
        <v xml:space="preserve"> </v>
      </c>
      <c r="DC60" s="49">
        <f ca="1">IFERROR(__xludf.DUMMYFUNCTION("""COMPUTED_VALUE"""),55)</f>
        <v>55</v>
      </c>
      <c r="DD60" s="49" t="str">
        <v/>
      </c>
      <c r="DE60" s="49"/>
      <c r="DF60" s="49"/>
      <c r="DG60" s="49"/>
      <c r="DH60" s="49"/>
    </row>
    <row r="61" spans="1:112" ht="13.5" hidden="1" customHeight="1">
      <c r="A61" s="78"/>
      <c r="B61" s="268">
        <v>28</v>
      </c>
      <c r="C61" s="270" t="e">
        <f>(VLOOKUP($B61,Пр.взв!$D$6:$J$63,2,0))</f>
        <v>#N/A</v>
      </c>
      <c r="D61" s="271" t="e">
        <f>(VLOOKUP($B61,Пр.взв!$D$6:$J$63,5,0))</f>
        <v>#N/A</v>
      </c>
      <c r="E61" s="272" t="e">
        <f>(VLOOKUP($B61,Пр.взв!$D$6:$M$63,8,0))</f>
        <v>#N/A</v>
      </c>
      <c r="F61" s="273"/>
      <c r="G61" s="86"/>
      <c r="H61" s="266"/>
      <c r="I61" s="86"/>
      <c r="J61" s="266" t="str">
        <f>IF(H61="Х","Х",IF($AC61&lt;6," ","Х"))</f>
        <v xml:space="preserve"> </v>
      </c>
      <c r="K61" s="87"/>
      <c r="L61" s="266" t="str">
        <f>IF(J61="Х","Х",IF(K61&lt;3," ",IF($AC61&lt;6," ","Х")))</f>
        <v xml:space="preserve"> </v>
      </c>
      <c r="M61" s="87"/>
      <c r="N61" s="266" t="str">
        <f>IF(L61="Х","Х",IF(M61&lt;3," ",IF($AC61&lt;6," ","Х")))</f>
        <v xml:space="preserve"> </v>
      </c>
      <c r="O61" s="87"/>
      <c r="P61" s="266" t="str">
        <f>IF(N61="Х","Х",IF(O61&lt;3," ",IF($AC61&lt;6," ","Х")))</f>
        <v xml:space="preserve"> </v>
      </c>
      <c r="Q61" s="87"/>
      <c r="R61" s="266" t="str">
        <f>IF(P61="Х","Х",IF(Q61&lt;3," ",IF($AC61&lt;6," ","Х")))</f>
        <v xml:space="preserve"> </v>
      </c>
      <c r="S61" s="87"/>
      <c r="T61" s="266" t="str">
        <f>IF(R61="Х","Х",IF(S61&lt;3," ",IF($AC61&lt;6," ","Х")))</f>
        <v xml:space="preserve"> </v>
      </c>
      <c r="U61" s="88"/>
      <c r="V61" s="266" t="str">
        <f>IF(T61="Х","Х",IF(U61&lt;3," ",IF($AC61&lt;6," ","Х")))</f>
        <v xml:space="preserve"> </v>
      </c>
      <c r="W61" s="88"/>
      <c r="X61" s="266" t="str">
        <f>IF(V61="А1",$AZ$7,IF(V61="Б2",$AZ$6,IF(V61="Б1",$BA$7,IF(V61="А2",$BA$6,IF(V61="Х","Х",IF(V61&lt;6," "," "))))))</f>
        <v xml:space="preserve"> </v>
      </c>
      <c r="Y61" s="89"/>
      <c r="Z61" s="266" t="str">
        <f>IF(V61="Х","Х",IF(ISBLANK(Y61),"",IF(Y61&gt;2.5," ",IF(B61=BB$6,BB$7,BB$6))))</f>
        <v/>
      </c>
      <c r="AA61" s="89"/>
      <c r="AB61" s="290" t="str">
        <f>IF(H61="Х",F$5,IF(J61="Х",H$5,IF(L61="Х",J$5,IF(N61="Х",L$5,IF(P61="Х",N$5,IF(R61="Х",P$5,IF(T61="Х",R$5,IF(X61="Х",T$5,""))))))))</f>
        <v/>
      </c>
      <c r="AC61" s="276">
        <f>SUM(G61+I61+K61+M61+O61+Q61+S61+U61+Y61+AA61)</f>
        <v>0</v>
      </c>
      <c r="AD61" s="291" t="str">
        <f>AF61</f>
        <v>27-71</v>
      </c>
      <c r="AE61" s="278" t="str">
        <f>AD61</f>
        <v>27-71</v>
      </c>
      <c r="AF61" s="280" t="str">
        <f>COUNTIF(AG$6:AG$148,"&gt;"&amp;AG$6:AG$148)+1&amp;REPT("-"&amp;COUNTIF(AG$6:AG$148,"&gt;="&amp;AG$6:AG$148),COUNTIF(AG$6:AG$148,AG61)&gt;1)</f>
        <v>27-71</v>
      </c>
      <c r="AG61" s="282">
        <f>(AR61*100)+(AP61*10)-AC61</f>
        <v>80</v>
      </c>
      <c r="AH61" s="288" t="str">
        <f>IF(OR(F61="Х",F61="св")," ",IF(AND(G61&gt;=0,G61&lt;3),"1"," "))</f>
        <v>1</v>
      </c>
      <c r="AI61" s="289" t="str">
        <f>IF(OR(H61="Х",H61="св")," ",IF(AND(I61&gt;=0,I61&lt;3),"1"," "))</f>
        <v>1</v>
      </c>
      <c r="AJ61" s="289" t="str">
        <f>IF(OR(J61="Х",J61="св")," ",IF(AND(K61&gt;=0,K61&lt;3),"1"," "))</f>
        <v>1</v>
      </c>
      <c r="AK61" s="289" t="str">
        <f>IF(OR(L61="Х",L61="св")," ",IF(AND(M61&gt;=0,M61&lt;3),"1"," "))</f>
        <v>1</v>
      </c>
      <c r="AL61" s="289" t="str">
        <f>IF(OR(N61="Х",N61="св")," ",IF(AND(O61&gt;=0,O61&lt;3),"1"," "))</f>
        <v>1</v>
      </c>
      <c r="AM61" s="289" t="str">
        <f>IF(OR(P61="Х",P61="св")," ",IF(AND(Q61&gt;=0,Q61&lt;3),"1"," "))</f>
        <v>1</v>
      </c>
      <c r="AN61" s="289" t="str">
        <f>IF(OR(R61="Х",R61="св")," ",IF(AND(S61&gt;=0,S61&lt;3),"1"," "))</f>
        <v>1</v>
      </c>
      <c r="AO61" s="289" t="str">
        <f>IF(OR(T61="Х",T61="св")," ",IF(AND(U61&gt;=0,U61&lt;3),"1"," "))</f>
        <v>1</v>
      </c>
      <c r="AP61" s="289">
        <f>COUNTIF(AH61:AO62,1)</f>
        <v>8</v>
      </c>
      <c r="AQ61" s="289">
        <f>AG61-AC61</f>
        <v>80</v>
      </c>
      <c r="AR61" s="292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289" t="str">
        <f>COUNTIF(AG$6:AG$134,"&gt;"&amp;AG$6:AG$134)+1&amp;REPT("-"&amp;COUNTIF(AG$6:AG$134,"&gt;="&amp;AG$6:AG$134),COUNTIF(AG$6:AG$134,AG61)&gt;1)</f>
        <v>27-64</v>
      </c>
      <c r="AT61" s="288" t="str">
        <f t="shared" ref="AT61:AW61" si="32">COUNTIF(AU$6:AU$134,"&gt;"&amp;AU$6:AU$134)+1&amp;REPT("-"&amp;COUNTIF(AU$6:AU$134,"&gt;="&amp;AU$6:AU$134),COUNTIF(AU$6:AU$134,AU61)&gt;1)</f>
        <v>1-64</v>
      </c>
      <c r="AU61" s="288" t="str">
        <f t="shared" si="32"/>
        <v>1-0</v>
      </c>
      <c r="AV61" s="288" t="str">
        <f t="shared" si="32"/>
        <v>1</v>
      </c>
      <c r="AW61" s="288" t="str">
        <f t="shared" si="32"/>
        <v>37</v>
      </c>
      <c r="AX61" s="293">
        <f>IF(X61="Х","Х",IF(Y61&lt;3,B61,"Х"))</f>
        <v>28</v>
      </c>
      <c r="AY61" s="92" t="str">
        <f ca="1"/>
        <v/>
      </c>
      <c r="AZ61" s="92"/>
      <c r="BA61" s="92" t="str">
        <f ca="1"/>
        <v/>
      </c>
      <c r="BB61" s="92"/>
      <c r="BC61" s="49" t="str">
        <f ca="1"/>
        <v/>
      </c>
      <c r="BD61" s="144">
        <f ca="1"/>
        <v>0</v>
      </c>
      <c r="BE61" s="49" t="str">
        <f ca="1"/>
        <v/>
      </c>
      <c r="BF61" s="143">
        <f ca="1"/>
        <v>0</v>
      </c>
      <c r="BG61" s="49" t="str">
        <f ca="1"/>
        <v/>
      </c>
      <c r="BH61" s="49" t="str">
        <f ca="1"/>
        <v/>
      </c>
      <c r="BI61" s="49"/>
      <c r="BJ61" s="49"/>
      <c r="BK61" s="49"/>
      <c r="BL61" s="49"/>
      <c r="BM61" s="294">
        <v>28</v>
      </c>
      <c r="BN61" s="287">
        <v>0</v>
      </c>
      <c r="BO61" s="98" t="str">
        <f>IF(BM61&lt;BN61,BM61,"")</f>
        <v/>
      </c>
      <c r="BP61" s="124" t="str">
        <v/>
      </c>
      <c r="BQ61" s="125"/>
      <c r="BR61" s="295" t="str">
        <v/>
      </c>
      <c r="BS61" s="287">
        <v>0</v>
      </c>
      <c r="BT61" s="109" t="str">
        <f>IF(BR61&lt;BS61,BR61,"")</f>
        <v/>
      </c>
      <c r="BU61" s="124" t="str">
        <v/>
      </c>
      <c r="BV61" s="124"/>
      <c r="BW61" s="284">
        <v>28</v>
      </c>
      <c r="BX61" s="286" t="str">
        <v xml:space="preserve"> </v>
      </c>
      <c r="BY61" s="102">
        <f t="array" ref="BY61">IF(BW61&lt;BX61,BW61,"")</f>
        <v>28</v>
      </c>
      <c r="BZ61" s="102">
        <f t="shared" si="17"/>
        <v>28</v>
      </c>
      <c r="CA61" s="63">
        <f ca="1">IFERROR(__xludf.DUMMYFUNCTION("""COMPUTED_VALUE"""),56)</f>
        <v>56</v>
      </c>
      <c r="CB61" s="63">
        <f t="shared" ca="1" si="18"/>
        <v>56</v>
      </c>
      <c r="CC61" s="128"/>
      <c r="CD61" s="159"/>
      <c r="CE61" s="286">
        <v>28</v>
      </c>
      <c r="CF61" s="296" t="str">
        <v xml:space="preserve"> </v>
      </c>
      <c r="CG61" s="98">
        <f t="array" ref="CG61">IF(CE61&lt;CF61,CE61,"")</f>
        <v>28</v>
      </c>
      <c r="CH61" s="63">
        <v>28</v>
      </c>
      <c r="CI61" s="115">
        <f ca="1">IFERROR(__xludf.DUMMYFUNCTION("""COMPUTED_VALUE"""),56)</f>
        <v>56</v>
      </c>
      <c r="CJ61" s="65">
        <v>28</v>
      </c>
      <c r="CK61" s="151" t="str">
        <v xml:space="preserve"> </v>
      </c>
      <c r="CL61" s="98">
        <f t="array" ref="CL61">IF(CJ61&lt;CK61,CJ61,"")</f>
        <v>28</v>
      </c>
      <c r="CM61" s="49">
        <v>28</v>
      </c>
      <c r="CN61" s="49">
        <f ca="1">IFERROR(__xludf.DUMMYFUNCTION("""COMPUTED_VALUE"""),56)</f>
        <v>56</v>
      </c>
      <c r="CO61" s="286">
        <v>28</v>
      </c>
      <c r="CP61" s="286" t="str">
        <v xml:space="preserve"> </v>
      </c>
      <c r="CQ61" s="98">
        <f t="array" ref="CQ61">IF(CO61&lt;CP61,CO61,"")</f>
        <v>28</v>
      </c>
      <c r="CR61" s="65">
        <v>28</v>
      </c>
      <c r="CS61" s="152">
        <f ca="1">IFERROR(__xludf.DUMMYFUNCTION("""COMPUTED_VALUE"""),56)</f>
        <v>56</v>
      </c>
      <c r="CT61" s="286">
        <v>28</v>
      </c>
      <c r="CU61" s="286" t="str">
        <v xml:space="preserve"> </v>
      </c>
      <c r="CV61" s="98">
        <f t="array" ref="CV61">IF(CT61&lt;CU61,CT61,"")</f>
        <v>28</v>
      </c>
      <c r="CW61" s="49">
        <v>28</v>
      </c>
      <c r="CX61" s="49">
        <f ca="1">IFERROR(__xludf.DUMMYFUNCTION("""COMPUTED_VALUE"""),56)</f>
        <v>56</v>
      </c>
      <c r="CY61" s="286">
        <v>28</v>
      </c>
      <c r="CZ61" s="286" t="str">
        <v xml:space="preserve"> </v>
      </c>
      <c r="DA61" s="98">
        <f t="array" ref="DA61">IF(CY61&lt;CZ61,CY61,"")</f>
        <v>28</v>
      </c>
      <c r="DB61" s="49">
        <v>28</v>
      </c>
      <c r="DC61" s="49">
        <f ca="1">IFERROR(__xludf.DUMMYFUNCTION("""COMPUTED_VALUE"""),56)</f>
        <v>56</v>
      </c>
      <c r="DD61" s="49">
        <v>28</v>
      </c>
      <c r="DE61" s="49"/>
      <c r="DF61" s="49"/>
      <c r="DG61" s="49"/>
      <c r="DH61" s="49"/>
    </row>
    <row r="62" spans="1:112" ht="13.5" hidden="1" customHeight="1">
      <c r="A62" s="78"/>
      <c r="B62" s="269"/>
      <c r="C62" s="269"/>
      <c r="D62" s="269"/>
      <c r="E62" s="269"/>
      <c r="F62" s="274"/>
      <c r="G62" s="106"/>
      <c r="H62" s="267"/>
      <c r="I62" s="106"/>
      <c r="J62" s="267"/>
      <c r="K62" s="106"/>
      <c r="L62" s="267"/>
      <c r="M62" s="106"/>
      <c r="N62" s="267"/>
      <c r="O62" s="106"/>
      <c r="P62" s="267"/>
      <c r="Q62" s="106"/>
      <c r="R62" s="267"/>
      <c r="S62" s="106"/>
      <c r="T62" s="267"/>
      <c r="U62" s="107"/>
      <c r="V62" s="267"/>
      <c r="W62" s="107"/>
      <c r="X62" s="267"/>
      <c r="Y62" s="106"/>
      <c r="Z62" s="267"/>
      <c r="AA62" s="106"/>
      <c r="AB62" s="274"/>
      <c r="AC62" s="269"/>
      <c r="AD62" s="267"/>
      <c r="AE62" s="279"/>
      <c r="AF62" s="281"/>
      <c r="AG62" s="283"/>
      <c r="AH62" s="283"/>
      <c r="AI62" s="283"/>
      <c r="AJ62" s="283"/>
      <c r="AK62" s="283"/>
      <c r="AL62" s="283"/>
      <c r="AM62" s="283"/>
      <c r="AN62" s="283"/>
      <c r="AO62" s="283"/>
      <c r="AP62" s="283"/>
      <c r="AQ62" s="283"/>
      <c r="AR62" s="283"/>
      <c r="AS62" s="283"/>
      <c r="AT62" s="283"/>
      <c r="AU62" s="283"/>
      <c r="AV62" s="283"/>
      <c r="AW62" s="283"/>
      <c r="AX62" s="264"/>
      <c r="AY62" s="92" t="str">
        <f ca="1"/>
        <v/>
      </c>
      <c r="AZ62" s="92"/>
      <c r="BA62" s="92" t="str">
        <f ca="1"/>
        <v/>
      </c>
      <c r="BB62" s="92"/>
      <c r="BC62" s="167" t="str">
        <f ca="1"/>
        <v/>
      </c>
      <c r="BD62" s="144">
        <f ca="1"/>
        <v>0</v>
      </c>
      <c r="BE62" s="168" t="str">
        <f ca="1"/>
        <v/>
      </c>
      <c r="BF62" s="143">
        <f ca="1"/>
        <v>0</v>
      </c>
      <c r="BG62" s="49" t="str">
        <f ca="1"/>
        <v/>
      </c>
      <c r="BH62" s="49" t="str">
        <f ca="1"/>
        <v/>
      </c>
      <c r="BI62" s="49"/>
      <c r="BJ62" s="49"/>
      <c r="BK62" s="49"/>
      <c r="BL62" s="49"/>
      <c r="BM62" s="285" t="str">
        <v/>
      </c>
      <c r="BN62" s="264">
        <v>0</v>
      </c>
      <c r="BO62" s="109" t="str">
        <f>IF(BO61="","",BN61)</f>
        <v/>
      </c>
      <c r="BP62" s="109" t="str">
        <v/>
      </c>
      <c r="BQ62" s="125"/>
      <c r="BR62" s="264" t="str">
        <v/>
      </c>
      <c r="BS62" s="264">
        <v>0</v>
      </c>
      <c r="BT62" s="109" t="str">
        <f>IF(BT61="","",BS61)</f>
        <v/>
      </c>
      <c r="BU62" s="109" t="str">
        <v/>
      </c>
      <c r="BV62" s="124"/>
      <c r="BW62" s="285" t="str">
        <v/>
      </c>
      <c r="BX62" s="264">
        <v>0</v>
      </c>
      <c r="BY62" s="102" t="str">
        <f>IF(BY61="","",BX61)</f>
        <v xml:space="preserve"> </v>
      </c>
      <c r="BZ62" s="102" t="str">
        <f t="shared" si="17"/>
        <v xml:space="preserve"> </v>
      </c>
      <c r="CA62" s="128">
        <f ca="1">IFERROR(__xludf.DUMMYFUNCTION("""COMPUTED_VALUE"""),57)</f>
        <v>57</v>
      </c>
      <c r="CB62" s="63">
        <f t="shared" ca="1" si="18"/>
        <v>57</v>
      </c>
      <c r="CC62" s="128"/>
      <c r="CD62" s="159"/>
      <c r="CE62" s="264" t="str">
        <v/>
      </c>
      <c r="CF62" s="264">
        <v>0</v>
      </c>
      <c r="CG62" s="113" t="str">
        <f>IF(CG61="","",CF61)</f>
        <v xml:space="preserve"> </v>
      </c>
      <c r="CH62" s="128" t="str">
        <v xml:space="preserve"> </v>
      </c>
      <c r="CI62" s="115">
        <f ca="1">IFERROR(__xludf.DUMMYFUNCTION("""COMPUTED_VALUE"""),57)</f>
        <v>57</v>
      </c>
      <c r="CJ62" s="49" t="str">
        <v/>
      </c>
      <c r="CK62" s="153">
        <v>0</v>
      </c>
      <c r="CL62" s="113" t="str">
        <f>IF(CL61="","",CK61)</f>
        <v xml:space="preserve"> </v>
      </c>
      <c r="CM62" s="49" t="str">
        <v xml:space="preserve"> </v>
      </c>
      <c r="CN62" s="49">
        <f ca="1">IFERROR(__xludf.DUMMYFUNCTION("""COMPUTED_VALUE"""),57)</f>
        <v>57</v>
      </c>
      <c r="CO62" s="264" t="str">
        <v/>
      </c>
      <c r="CP62" s="264">
        <v>0</v>
      </c>
      <c r="CQ62" s="113" t="str">
        <f>IF(CQ61="","",CP61)</f>
        <v xml:space="preserve"> </v>
      </c>
      <c r="CR62" s="49" t="str">
        <v xml:space="preserve"> </v>
      </c>
      <c r="CS62" s="152">
        <f ca="1">IFERROR(__xludf.DUMMYFUNCTION("""COMPUTED_VALUE"""),57)</f>
        <v>57</v>
      </c>
      <c r="CT62" s="264" t="str">
        <v/>
      </c>
      <c r="CU62" s="264">
        <v>0</v>
      </c>
      <c r="CV62" s="113" t="str">
        <f>IF(CV61="","",CU61)</f>
        <v xml:space="preserve"> </v>
      </c>
      <c r="CW62" s="49" t="str">
        <v xml:space="preserve"> </v>
      </c>
      <c r="CX62" s="49">
        <f ca="1">IFERROR(__xludf.DUMMYFUNCTION("""COMPUTED_VALUE"""),57)</f>
        <v>57</v>
      </c>
      <c r="CY62" s="264" t="str">
        <v/>
      </c>
      <c r="CZ62" s="264">
        <v>0</v>
      </c>
      <c r="DA62" s="113" t="str">
        <f>IF(DA61="","",CZ61)</f>
        <v xml:space="preserve"> </v>
      </c>
      <c r="DB62" s="49" t="str">
        <v xml:space="preserve"> </v>
      </c>
      <c r="DC62" s="49">
        <f ca="1">IFERROR(__xludf.DUMMYFUNCTION("""COMPUTED_VALUE"""),57)</f>
        <v>57</v>
      </c>
      <c r="DD62" s="49" t="str">
        <v/>
      </c>
      <c r="DE62" s="49"/>
      <c r="DF62" s="49"/>
      <c r="DG62" s="49"/>
      <c r="DH62" s="49"/>
    </row>
    <row r="63" spans="1:112" ht="13.5" hidden="1" customHeight="1">
      <c r="A63" s="78"/>
      <c r="B63" s="268">
        <v>29</v>
      </c>
      <c r="C63" s="270" t="e">
        <f>(VLOOKUP($B63,Пр.взв!$D$6:$J$63,2,0))</f>
        <v>#N/A</v>
      </c>
      <c r="D63" s="271" t="e">
        <f>(VLOOKUP($B63,Пр.взв!$D$6:$J$63,5,0))</f>
        <v>#N/A</v>
      </c>
      <c r="E63" s="272" t="e">
        <f>(VLOOKUP($B63,Пр.взв!$D$6:$M$63,8,0))</f>
        <v>#N/A</v>
      </c>
      <c r="F63" s="273"/>
      <c r="G63" s="86"/>
      <c r="H63" s="266"/>
      <c r="I63" s="86"/>
      <c r="J63" s="266" t="str">
        <f>IF(H63="Х","Х",IF($AC63&lt;6," ","Х"))</f>
        <v xml:space="preserve"> </v>
      </c>
      <c r="K63" s="87"/>
      <c r="L63" s="266" t="str">
        <f>IF(J63="Х","Х",IF(K63&lt;3," ",IF($AC63&lt;6," ","Х")))</f>
        <v xml:space="preserve"> </v>
      </c>
      <c r="M63" s="87"/>
      <c r="N63" s="266" t="str">
        <f>IF(L63="Х","Х",IF(M63&lt;3," ",IF($AC63&lt;6," ","Х")))</f>
        <v xml:space="preserve"> </v>
      </c>
      <c r="O63" s="87"/>
      <c r="P63" s="266" t="str">
        <f>IF(N63="Х","Х",IF(O63&lt;3," ",IF($AC63&lt;6," ","Х")))</f>
        <v xml:space="preserve"> </v>
      </c>
      <c r="Q63" s="87"/>
      <c r="R63" s="266" t="str">
        <f>IF(P63="Х","Х",IF(Q63&lt;3," ",IF($AC63&lt;6," ","Х")))</f>
        <v xml:space="preserve"> </v>
      </c>
      <c r="S63" s="87"/>
      <c r="T63" s="266" t="str">
        <f>IF(R63="Х","Х",IF(S63&lt;3," ",IF($AC63&lt;6," ","Х")))</f>
        <v xml:space="preserve"> </v>
      </c>
      <c r="U63" s="88"/>
      <c r="V63" s="266" t="str">
        <f>IF(T63="Х","Х",IF(U63&lt;3," ",IF($AC63&lt;6," ","Х")))</f>
        <v xml:space="preserve"> </v>
      </c>
      <c r="W63" s="88"/>
      <c r="X63" s="266" t="str">
        <f>IF(V63="А1",$AZ$7,IF(V63="Б2",$AZ$6,IF(V63="Б1",$BA$7,IF(V63="А2",$BA$6,IF(V63="Х","Х",IF(V63&lt;6," "," "))))))</f>
        <v xml:space="preserve"> </v>
      </c>
      <c r="Y63" s="89"/>
      <c r="Z63" s="266" t="str">
        <f>IF(V63="Х","Х",IF(ISBLANK(Y63),"",IF(Y63&gt;2.5," ",IF(B63=BB$6,BB$7,BB$6))))</f>
        <v/>
      </c>
      <c r="AA63" s="89"/>
      <c r="AB63" s="290" t="str">
        <f>IF(H63="Х",F$5,IF(J63="Х",H$5,IF(L63="Х",J$5,IF(N63="Х",L$5,IF(P63="Х",N$5,IF(R63="Х",P$5,IF(T63="Х",R$5,IF(X63="Х",T$5,""))))))))</f>
        <v/>
      </c>
      <c r="AC63" s="276">
        <f>SUM(G63+I63+K63+M63+O63+Q63+S63+U63+Y63+AA63)</f>
        <v>0</v>
      </c>
      <c r="AD63" s="291" t="str">
        <f>AF63</f>
        <v>27-71</v>
      </c>
      <c r="AE63" s="278" t="str">
        <f>AD63</f>
        <v>27-71</v>
      </c>
      <c r="AF63" s="280" t="str">
        <f>COUNTIF(AG$6:AG$148,"&gt;"&amp;AG$6:AG$148)+1&amp;REPT("-"&amp;COUNTIF(AG$6:AG$148,"&gt;="&amp;AG$6:AG$148),COUNTIF(AG$6:AG$148,AG63)&gt;1)</f>
        <v>27-71</v>
      </c>
      <c r="AG63" s="282">
        <f>(AR63*100)+(AP63*10)-AC63</f>
        <v>80</v>
      </c>
      <c r="AH63" s="288" t="str">
        <f>IF(OR(F63="Х",F63="св")," ",IF(AND(G63&gt;=0,G63&lt;3),"1"," "))</f>
        <v>1</v>
      </c>
      <c r="AI63" s="289" t="str">
        <f>IF(OR(H63="Х",H63="св")," ",IF(AND(I63&gt;=0,I63&lt;3),"1"," "))</f>
        <v>1</v>
      </c>
      <c r="AJ63" s="289" t="str">
        <f>IF(OR(J63="Х",J63="св")," ",IF(AND(K63&gt;=0,K63&lt;3),"1"," "))</f>
        <v>1</v>
      </c>
      <c r="AK63" s="289" t="str">
        <f>IF(OR(L63="Х",L63="св")," ",IF(AND(M63&gt;=0,M63&lt;3),"1"," "))</f>
        <v>1</v>
      </c>
      <c r="AL63" s="289" t="str">
        <f>IF(OR(N63="Х",N63="св")," ",IF(AND(O63&gt;=0,O63&lt;3),"1"," "))</f>
        <v>1</v>
      </c>
      <c r="AM63" s="289" t="str">
        <f>IF(OR(P63="Х",P63="св")," ",IF(AND(Q63&gt;=0,Q63&lt;3),"1"," "))</f>
        <v>1</v>
      </c>
      <c r="AN63" s="289" t="str">
        <f>IF(OR(R63="Х",R63="св")," ",IF(AND(S63&gt;=0,S63&lt;3),"1"," "))</f>
        <v>1</v>
      </c>
      <c r="AO63" s="289" t="str">
        <f>IF(OR(T63="Х",T63="св")," ",IF(AND(U63&gt;=0,U63&lt;3),"1"," "))</f>
        <v>1</v>
      </c>
      <c r="AP63" s="289">
        <f>COUNTIF(AH63:AO64,1)</f>
        <v>8</v>
      </c>
      <c r="AQ63" s="289">
        <f>AG63-AC63</f>
        <v>80</v>
      </c>
      <c r="AR63" s="292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289" t="str">
        <f>COUNTIF(AG$6:AG$134,"&gt;"&amp;AG$6:AG$134)+1&amp;REPT("-"&amp;COUNTIF(AG$6:AG$134,"&gt;="&amp;AG$6:AG$134),COUNTIF(AG$6:AG$134,AG63)&gt;1)</f>
        <v>27-64</v>
      </c>
      <c r="AT63" s="288" t="str">
        <f t="shared" ref="AT63:AW63" si="33">COUNTIF(AU$6:AU$134,"&gt;"&amp;AU$6:AU$134)+1&amp;REPT("-"&amp;COUNTIF(AU$6:AU$134,"&gt;="&amp;AU$6:AU$134),COUNTIF(AU$6:AU$134,AU63)&gt;1)</f>
        <v>1-64</v>
      </c>
      <c r="AU63" s="288" t="str">
        <f t="shared" si="33"/>
        <v>1-0</v>
      </c>
      <c r="AV63" s="288" t="str">
        <f t="shared" si="33"/>
        <v>1</v>
      </c>
      <c r="AW63" s="288" t="str">
        <f t="shared" si="33"/>
        <v>36</v>
      </c>
      <c r="AX63" s="293">
        <f>IF(X63="Х","Х",IF(Y63&lt;3,B63,"Х"))</f>
        <v>29</v>
      </c>
      <c r="AY63" s="92" t="str">
        <f ca="1"/>
        <v/>
      </c>
      <c r="AZ63" s="92"/>
      <c r="BA63" s="92" t="str">
        <f ca="1"/>
        <v/>
      </c>
      <c r="BB63" s="92"/>
      <c r="BC63" s="167" t="str">
        <f ca="1"/>
        <v/>
      </c>
      <c r="BD63" s="144">
        <f ca="1"/>
        <v>0</v>
      </c>
      <c r="BE63" s="168" t="str">
        <f ca="1"/>
        <v/>
      </c>
      <c r="BF63" s="143">
        <f ca="1"/>
        <v>0</v>
      </c>
      <c r="BG63" s="49" t="str">
        <f ca="1"/>
        <v/>
      </c>
      <c r="BH63" s="49" t="str">
        <f ca="1"/>
        <v/>
      </c>
      <c r="BI63" s="49"/>
      <c r="BJ63" s="49"/>
      <c r="BK63" s="49"/>
      <c r="BL63" s="49"/>
      <c r="BM63" s="294">
        <v>29</v>
      </c>
      <c r="BN63" s="287">
        <v>0</v>
      </c>
      <c r="BO63" s="98" t="str">
        <f>IF(BM63&lt;BN63,BM63,"")</f>
        <v/>
      </c>
      <c r="BP63" s="124" t="str">
        <v/>
      </c>
      <c r="BQ63" s="125"/>
      <c r="BR63" s="295" t="str">
        <v/>
      </c>
      <c r="BS63" s="287">
        <v>0</v>
      </c>
      <c r="BT63" s="109" t="str">
        <f>IF(BR63&lt;BS63,BR63,"")</f>
        <v/>
      </c>
      <c r="BU63" s="124" t="str">
        <v/>
      </c>
      <c r="BV63" s="124"/>
      <c r="BW63" s="284">
        <v>29</v>
      </c>
      <c r="BX63" s="286" t="str">
        <v xml:space="preserve"> </v>
      </c>
      <c r="BY63" s="102">
        <f t="array" ref="BY63">IF(BW63&lt;BX63,BW63,"")</f>
        <v>29</v>
      </c>
      <c r="BZ63" s="102">
        <f t="shared" si="17"/>
        <v>29</v>
      </c>
      <c r="CA63" s="63">
        <f ca="1">IFERROR(__xludf.DUMMYFUNCTION("""COMPUTED_VALUE"""),58)</f>
        <v>58</v>
      </c>
      <c r="CB63" s="63">
        <f t="shared" ca="1" si="18"/>
        <v>58</v>
      </c>
      <c r="CC63" s="128"/>
      <c r="CD63" s="159"/>
      <c r="CE63" s="286">
        <v>29</v>
      </c>
      <c r="CF63" s="296" t="str">
        <v xml:space="preserve"> </v>
      </c>
      <c r="CG63" s="98">
        <f t="array" ref="CG63">IF(CE63&lt;CF63,CE63,"")</f>
        <v>29</v>
      </c>
      <c r="CH63" s="63">
        <v>29</v>
      </c>
      <c r="CI63" s="115">
        <f ca="1">IFERROR(__xludf.DUMMYFUNCTION("""COMPUTED_VALUE"""),58)</f>
        <v>58</v>
      </c>
      <c r="CJ63" s="65">
        <v>29</v>
      </c>
      <c r="CK63" s="151" t="str">
        <v xml:space="preserve"> </v>
      </c>
      <c r="CL63" s="98">
        <f t="array" ref="CL63">IF(CJ63&lt;CK63,CJ63,"")</f>
        <v>29</v>
      </c>
      <c r="CM63" s="49">
        <v>29</v>
      </c>
      <c r="CN63" s="49">
        <f ca="1">IFERROR(__xludf.DUMMYFUNCTION("""COMPUTED_VALUE"""),58)</f>
        <v>58</v>
      </c>
      <c r="CO63" s="286">
        <v>29</v>
      </c>
      <c r="CP63" s="286" t="str">
        <v xml:space="preserve"> </v>
      </c>
      <c r="CQ63" s="98">
        <f t="array" ref="CQ63">IF(CO63&lt;CP63,CO63,"")</f>
        <v>29</v>
      </c>
      <c r="CR63" s="65">
        <v>29</v>
      </c>
      <c r="CS63" s="152">
        <f ca="1">IFERROR(__xludf.DUMMYFUNCTION("""COMPUTED_VALUE"""),58)</f>
        <v>58</v>
      </c>
      <c r="CT63" s="286">
        <v>29</v>
      </c>
      <c r="CU63" s="286" t="str">
        <v xml:space="preserve"> </v>
      </c>
      <c r="CV63" s="98">
        <f t="array" ref="CV63">IF(CT63&lt;CU63,CT63,"")</f>
        <v>29</v>
      </c>
      <c r="CW63" s="49">
        <v>29</v>
      </c>
      <c r="CX63" s="49">
        <f ca="1">IFERROR(__xludf.DUMMYFUNCTION("""COMPUTED_VALUE"""),58)</f>
        <v>58</v>
      </c>
      <c r="CY63" s="286">
        <v>29</v>
      </c>
      <c r="CZ63" s="286" t="str">
        <v xml:space="preserve"> </v>
      </c>
      <c r="DA63" s="98">
        <f t="array" ref="DA63">IF(CY63&lt;CZ63,CY63,"")</f>
        <v>29</v>
      </c>
      <c r="DB63" s="49">
        <v>29</v>
      </c>
      <c r="DC63" s="49">
        <f ca="1">IFERROR(__xludf.DUMMYFUNCTION("""COMPUTED_VALUE"""),58)</f>
        <v>58</v>
      </c>
      <c r="DD63" s="49">
        <v>29</v>
      </c>
      <c r="DE63" s="49"/>
      <c r="DF63" s="49"/>
      <c r="DG63" s="49"/>
      <c r="DH63" s="49"/>
    </row>
    <row r="64" spans="1:112" ht="13.5" hidden="1" customHeight="1">
      <c r="A64" s="78"/>
      <c r="B64" s="269"/>
      <c r="C64" s="269"/>
      <c r="D64" s="269"/>
      <c r="E64" s="269"/>
      <c r="F64" s="274"/>
      <c r="G64" s="106"/>
      <c r="H64" s="267"/>
      <c r="I64" s="106"/>
      <c r="J64" s="267"/>
      <c r="K64" s="106"/>
      <c r="L64" s="267"/>
      <c r="M64" s="106"/>
      <c r="N64" s="267"/>
      <c r="O64" s="106"/>
      <c r="P64" s="267"/>
      <c r="Q64" s="106"/>
      <c r="R64" s="267"/>
      <c r="S64" s="106"/>
      <c r="T64" s="267"/>
      <c r="U64" s="107"/>
      <c r="V64" s="267"/>
      <c r="W64" s="107"/>
      <c r="X64" s="267"/>
      <c r="Y64" s="106"/>
      <c r="Z64" s="267"/>
      <c r="AA64" s="106"/>
      <c r="AB64" s="274"/>
      <c r="AC64" s="269"/>
      <c r="AD64" s="267"/>
      <c r="AE64" s="279"/>
      <c r="AF64" s="281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64"/>
      <c r="AY64" s="92" t="str">
        <f ca="1"/>
        <v/>
      </c>
      <c r="AZ64" s="92"/>
      <c r="BA64" s="92" t="str">
        <f ca="1"/>
        <v/>
      </c>
      <c r="BB64" s="92"/>
      <c r="BC64" s="49" t="str">
        <f ca="1"/>
        <v/>
      </c>
      <c r="BD64" s="144">
        <f ca="1"/>
        <v>0</v>
      </c>
      <c r="BE64" s="49" t="str">
        <f ca="1"/>
        <v/>
      </c>
      <c r="BF64" s="143">
        <f ca="1"/>
        <v>0</v>
      </c>
      <c r="BG64" s="49" t="str">
        <f ca="1"/>
        <v/>
      </c>
      <c r="BH64" s="49" t="str">
        <f ca="1"/>
        <v/>
      </c>
      <c r="BI64" s="49"/>
      <c r="BJ64" s="49"/>
      <c r="BK64" s="49"/>
      <c r="BL64" s="49"/>
      <c r="BM64" s="285" t="str">
        <v/>
      </c>
      <c r="BN64" s="264">
        <v>0</v>
      </c>
      <c r="BO64" s="109" t="str">
        <f>IF(BO63="","",BN63)</f>
        <v/>
      </c>
      <c r="BP64" s="109" t="str">
        <v/>
      </c>
      <c r="BQ64" s="125"/>
      <c r="BR64" s="264" t="str">
        <v/>
      </c>
      <c r="BS64" s="264">
        <v>0</v>
      </c>
      <c r="BT64" s="109" t="str">
        <f>IF(BT63="","",BS63)</f>
        <v/>
      </c>
      <c r="BU64" s="109" t="str">
        <v/>
      </c>
      <c r="BV64" s="124"/>
      <c r="BW64" s="285" t="str">
        <v/>
      </c>
      <c r="BX64" s="264">
        <v>0</v>
      </c>
      <c r="BY64" s="102" t="str">
        <f>IF(BY63="","",BX63)</f>
        <v xml:space="preserve"> </v>
      </c>
      <c r="BZ64" s="102" t="str">
        <f t="shared" si="17"/>
        <v xml:space="preserve"> </v>
      </c>
      <c r="CA64" s="128">
        <f ca="1">IFERROR(__xludf.DUMMYFUNCTION("""COMPUTED_VALUE"""),59)</f>
        <v>59</v>
      </c>
      <c r="CB64" s="63">
        <f t="shared" ca="1" si="18"/>
        <v>59</v>
      </c>
      <c r="CC64" s="128"/>
      <c r="CD64" s="159"/>
      <c r="CE64" s="264" t="str">
        <v/>
      </c>
      <c r="CF64" s="264">
        <v>0</v>
      </c>
      <c r="CG64" s="113" t="str">
        <f>IF(CG63="","",CF63)</f>
        <v xml:space="preserve"> </v>
      </c>
      <c r="CH64" s="128" t="str">
        <v xml:space="preserve"> </v>
      </c>
      <c r="CI64" s="115">
        <f ca="1">IFERROR(__xludf.DUMMYFUNCTION("""COMPUTED_VALUE"""),59)</f>
        <v>59</v>
      </c>
      <c r="CJ64" s="49" t="str">
        <v/>
      </c>
      <c r="CK64" s="153">
        <v>0</v>
      </c>
      <c r="CL64" s="113" t="str">
        <f>IF(CL63="","",CK63)</f>
        <v xml:space="preserve"> </v>
      </c>
      <c r="CM64" s="49" t="str">
        <v xml:space="preserve"> </v>
      </c>
      <c r="CN64" s="49">
        <f ca="1">IFERROR(__xludf.DUMMYFUNCTION("""COMPUTED_VALUE"""),59)</f>
        <v>59</v>
      </c>
      <c r="CO64" s="264" t="str">
        <v/>
      </c>
      <c r="CP64" s="264">
        <v>0</v>
      </c>
      <c r="CQ64" s="113" t="str">
        <f>IF(CQ63="","",CP63)</f>
        <v xml:space="preserve"> </v>
      </c>
      <c r="CR64" s="49" t="str">
        <v xml:space="preserve"> </v>
      </c>
      <c r="CS64" s="152">
        <f ca="1">IFERROR(__xludf.DUMMYFUNCTION("""COMPUTED_VALUE"""),59)</f>
        <v>59</v>
      </c>
      <c r="CT64" s="264" t="str">
        <v/>
      </c>
      <c r="CU64" s="264">
        <v>0</v>
      </c>
      <c r="CV64" s="113" t="str">
        <f>IF(CV63="","",CU63)</f>
        <v xml:space="preserve"> </v>
      </c>
      <c r="CW64" s="49" t="str">
        <v xml:space="preserve"> </v>
      </c>
      <c r="CX64" s="49">
        <f ca="1">IFERROR(__xludf.DUMMYFUNCTION("""COMPUTED_VALUE"""),59)</f>
        <v>59</v>
      </c>
      <c r="CY64" s="264" t="str">
        <v/>
      </c>
      <c r="CZ64" s="264">
        <v>0</v>
      </c>
      <c r="DA64" s="113" t="str">
        <f>IF(DA63="","",CZ63)</f>
        <v xml:space="preserve"> </v>
      </c>
      <c r="DB64" s="49" t="str">
        <v xml:space="preserve"> </v>
      </c>
      <c r="DC64" s="49">
        <f ca="1">IFERROR(__xludf.DUMMYFUNCTION("""COMPUTED_VALUE"""),59)</f>
        <v>59</v>
      </c>
      <c r="DD64" s="49" t="str">
        <v/>
      </c>
      <c r="DE64" s="49"/>
      <c r="DF64" s="49"/>
      <c r="DG64" s="49"/>
      <c r="DH64" s="49"/>
    </row>
    <row r="65" spans="1:112" ht="13.5" hidden="1" customHeight="1">
      <c r="A65" s="78"/>
      <c r="B65" s="268">
        <v>30</v>
      </c>
      <c r="C65" s="270" t="e">
        <f>(VLOOKUP($B65,Пр.взв!$D$6:$J$63,2,0))</f>
        <v>#N/A</v>
      </c>
      <c r="D65" s="271" t="e">
        <f>(VLOOKUP($B65,Пр.взв!$D$6:$J$63,5,0))</f>
        <v>#N/A</v>
      </c>
      <c r="E65" s="272" t="e">
        <f>(VLOOKUP($B65,Пр.взв!$D$6:$M$63,8,0))</f>
        <v>#N/A</v>
      </c>
      <c r="F65" s="273"/>
      <c r="G65" s="86"/>
      <c r="H65" s="266"/>
      <c r="I65" s="86"/>
      <c r="J65" s="266" t="str">
        <f>IF(H65="Х","Х",IF($AC65&lt;6," ","Х"))</f>
        <v xml:space="preserve"> </v>
      </c>
      <c r="K65" s="87"/>
      <c r="L65" s="266" t="str">
        <f>IF(J65="Х","Х",IF(K65&lt;3," ",IF($AC65&lt;6," ","Х")))</f>
        <v xml:space="preserve"> </v>
      </c>
      <c r="M65" s="87"/>
      <c r="N65" s="266" t="str">
        <f>IF(L65="Х","Х",IF(M65&lt;3," ",IF($AC65&lt;6," ","Х")))</f>
        <v xml:space="preserve"> </v>
      </c>
      <c r="O65" s="87"/>
      <c r="P65" s="266" t="str">
        <f>IF(N65="Х","Х",IF(O65&lt;3," ",IF($AC65&lt;6," ","Х")))</f>
        <v xml:space="preserve"> </v>
      </c>
      <c r="Q65" s="87"/>
      <c r="R65" s="266" t="str">
        <f>IF(P65="Х","Х",IF(Q65&lt;3," ",IF($AC65&lt;6," ","Х")))</f>
        <v xml:space="preserve"> </v>
      </c>
      <c r="S65" s="87"/>
      <c r="T65" s="266" t="str">
        <f>IF(R65="Х","Х",IF(S65&lt;3," ",IF($AC65&lt;6," ","Х")))</f>
        <v xml:space="preserve"> </v>
      </c>
      <c r="U65" s="88"/>
      <c r="V65" s="266" t="str">
        <f>IF(T65="Х","Х",IF(U65&lt;3," ",IF($AC65&lt;6," ","Х")))</f>
        <v xml:space="preserve"> </v>
      </c>
      <c r="W65" s="88"/>
      <c r="X65" s="266" t="str">
        <f>IF(V65="А1",$AZ$7,IF(V65="Б2",$AZ$6,IF(V65="Б1",$BA$7,IF(V65="А2",$BA$6,IF(V65="Х","Х",IF(V65&lt;6," "," "))))))</f>
        <v xml:space="preserve"> </v>
      </c>
      <c r="Y65" s="89"/>
      <c r="Z65" s="266" t="str">
        <f>IF(V65="Х","Х",IF(ISBLANK(Y65),"",IF(Y65&gt;2.5," ",IF(B65=BB$6,BB$7,BB$6))))</f>
        <v/>
      </c>
      <c r="AA65" s="89"/>
      <c r="AB65" s="290" t="str">
        <f>IF(H65="Х",F$5,IF(J65="Х",H$5,IF(L65="Х",J$5,IF(N65="Х",L$5,IF(P65="Х",N$5,IF(R65="Х",P$5,IF(T65="Х",R$5,IF(X65="Х",T$5,""))))))))</f>
        <v/>
      </c>
      <c r="AC65" s="276">
        <f>SUM(G65+I65+K65+M65+O65+Q65+S65+U65+Y65+AA65)</f>
        <v>0</v>
      </c>
      <c r="AD65" s="291" t="str">
        <f>AF65</f>
        <v>27-71</v>
      </c>
      <c r="AE65" s="278" t="str">
        <f>AD65</f>
        <v>27-71</v>
      </c>
      <c r="AF65" s="280" t="str">
        <f>COUNTIF(AG$6:AG$148,"&gt;"&amp;AG$6:AG$148)+1&amp;REPT("-"&amp;COUNTIF(AG$6:AG$148,"&gt;="&amp;AG$6:AG$148),COUNTIF(AG$6:AG$148,AG65)&gt;1)</f>
        <v>27-71</v>
      </c>
      <c r="AG65" s="282">
        <f>(AR65*100)+(AP65*10)-AC65</f>
        <v>80</v>
      </c>
      <c r="AH65" s="288" t="str">
        <f>IF(OR(F65="Х",F65="св")," ",IF(AND(G65&gt;=0,G65&lt;3),"1"," "))</f>
        <v>1</v>
      </c>
      <c r="AI65" s="289" t="str">
        <f>IF(OR(H65="Х",H65="св")," ",IF(AND(I65&gt;=0,I65&lt;3),"1"," "))</f>
        <v>1</v>
      </c>
      <c r="AJ65" s="289" t="str">
        <f>IF(OR(J65="Х",J65="св")," ",IF(AND(K65&gt;=0,K65&lt;3),"1"," "))</f>
        <v>1</v>
      </c>
      <c r="AK65" s="289" t="str">
        <f>IF(OR(L65="Х",L65="св")," ",IF(AND(M65&gt;=0,M65&lt;3),"1"," "))</f>
        <v>1</v>
      </c>
      <c r="AL65" s="289" t="str">
        <f>IF(OR(N65="Х",N65="св")," ",IF(AND(O65&gt;=0,O65&lt;3),"1"," "))</f>
        <v>1</v>
      </c>
      <c r="AM65" s="289" t="str">
        <f>IF(OR(P65="Х",P65="св")," ",IF(AND(Q65&gt;=0,Q65&lt;3),"1"," "))</f>
        <v>1</v>
      </c>
      <c r="AN65" s="289" t="str">
        <f>IF(OR(R65="Х",R65="св")," ",IF(AND(S65&gt;=0,S65&lt;3),"1"," "))</f>
        <v>1</v>
      </c>
      <c r="AO65" s="289" t="str">
        <f>IF(OR(T65="Х",T65="св")," ",IF(AND(U65&gt;=0,U65&lt;3),"1"," "))</f>
        <v>1</v>
      </c>
      <c r="AP65" s="289">
        <f>COUNTIF(AH65:AO66,1)</f>
        <v>8</v>
      </c>
      <c r="AQ65" s="289">
        <f>AG65-AC65</f>
        <v>80</v>
      </c>
      <c r="AR65" s="292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289" t="str">
        <f>COUNTIF(AG$6:AG$134,"&gt;"&amp;AG$6:AG$134)+1&amp;REPT("-"&amp;COUNTIF(AG$6:AG$134,"&gt;="&amp;AG$6:AG$134),COUNTIF(AG$6:AG$134,AG65)&gt;1)</f>
        <v>27-64</v>
      </c>
      <c r="AT65" s="288" t="str">
        <f t="shared" ref="AT65:AW65" si="34">COUNTIF(AU$6:AU$134,"&gt;"&amp;AU$6:AU$134)+1&amp;REPT("-"&amp;COUNTIF(AU$6:AU$134,"&gt;="&amp;AU$6:AU$134),COUNTIF(AU$6:AU$134,AU65)&gt;1)</f>
        <v>1-64</v>
      </c>
      <c r="AU65" s="288" t="str">
        <f t="shared" si="34"/>
        <v>1-0</v>
      </c>
      <c r="AV65" s="288" t="str">
        <f t="shared" si="34"/>
        <v>1</v>
      </c>
      <c r="AW65" s="288" t="str">
        <f t="shared" si="34"/>
        <v>35</v>
      </c>
      <c r="AX65" s="293">
        <f>IF(X65="Х","Х",IF(Y65&lt;3,B65,"Х"))</f>
        <v>30</v>
      </c>
      <c r="AY65" s="92" t="str">
        <f ca="1"/>
        <v/>
      </c>
      <c r="AZ65" s="92"/>
      <c r="BA65" s="92" t="str">
        <f ca="1"/>
        <v/>
      </c>
      <c r="BB65" s="92"/>
      <c r="BC65" s="49" t="str">
        <f ca="1"/>
        <v/>
      </c>
      <c r="BD65" s="144">
        <f ca="1"/>
        <v>0</v>
      </c>
      <c r="BE65" s="49" t="str">
        <f ca="1"/>
        <v/>
      </c>
      <c r="BF65" s="143">
        <f ca="1"/>
        <v>0</v>
      </c>
      <c r="BG65" s="49" t="str">
        <f ca="1"/>
        <v/>
      </c>
      <c r="BH65" s="49" t="str">
        <f ca="1"/>
        <v/>
      </c>
      <c r="BI65" s="49"/>
      <c r="BJ65" s="49"/>
      <c r="BK65" s="49"/>
      <c r="BL65" s="49"/>
      <c r="BM65" s="294">
        <v>30</v>
      </c>
      <c r="BN65" s="287">
        <v>0</v>
      </c>
      <c r="BO65" s="98" t="str">
        <f>IF(BM65&lt;BN65,BM65,"")</f>
        <v/>
      </c>
      <c r="BP65" s="124" t="str">
        <v/>
      </c>
      <c r="BQ65" s="125"/>
      <c r="BR65" s="295" t="str">
        <v/>
      </c>
      <c r="BS65" s="287">
        <v>0</v>
      </c>
      <c r="BT65" s="109" t="str">
        <f>IF(BR65&lt;BS65,BR65,"")</f>
        <v/>
      </c>
      <c r="BU65" s="124" t="str">
        <v/>
      </c>
      <c r="BV65" s="124"/>
      <c r="BW65" s="284">
        <v>30</v>
      </c>
      <c r="BX65" s="286" t="str">
        <v xml:space="preserve"> </v>
      </c>
      <c r="BY65" s="102">
        <f t="array" ref="BY65">IF(BW65&lt;BX65,BW65,"")</f>
        <v>30</v>
      </c>
      <c r="BZ65" s="102">
        <f t="shared" si="17"/>
        <v>30</v>
      </c>
      <c r="CA65" s="63">
        <f ca="1">IFERROR(__xludf.DUMMYFUNCTION("""COMPUTED_VALUE"""),60)</f>
        <v>60</v>
      </c>
      <c r="CB65" s="63">
        <f t="shared" ca="1" si="18"/>
        <v>60</v>
      </c>
      <c r="CC65" s="128"/>
      <c r="CD65" s="159"/>
      <c r="CE65" s="286">
        <v>30</v>
      </c>
      <c r="CF65" s="296" t="str">
        <v xml:space="preserve"> </v>
      </c>
      <c r="CG65" s="98">
        <f t="array" ref="CG65">IF(CE65&lt;CF65,CE65,"")</f>
        <v>30</v>
      </c>
      <c r="CH65" s="63">
        <v>30</v>
      </c>
      <c r="CI65" s="115">
        <f ca="1">IFERROR(__xludf.DUMMYFUNCTION("""COMPUTED_VALUE"""),60)</f>
        <v>60</v>
      </c>
      <c r="CJ65" s="65">
        <v>30</v>
      </c>
      <c r="CK65" s="151" t="str">
        <v xml:space="preserve"> </v>
      </c>
      <c r="CL65" s="98">
        <f t="array" ref="CL65">IF(CJ65&lt;CK65,CJ65,"")</f>
        <v>30</v>
      </c>
      <c r="CM65" s="49">
        <v>30</v>
      </c>
      <c r="CN65" s="49">
        <f ca="1">IFERROR(__xludf.DUMMYFUNCTION("""COMPUTED_VALUE"""),60)</f>
        <v>60</v>
      </c>
      <c r="CO65" s="286">
        <v>30</v>
      </c>
      <c r="CP65" s="286" t="str">
        <v xml:space="preserve"> </v>
      </c>
      <c r="CQ65" s="98">
        <f t="array" ref="CQ65">IF(CO65&lt;CP65,CO65,"")</f>
        <v>30</v>
      </c>
      <c r="CR65" s="65">
        <v>30</v>
      </c>
      <c r="CS65" s="152">
        <f ca="1">IFERROR(__xludf.DUMMYFUNCTION("""COMPUTED_VALUE"""),60)</f>
        <v>60</v>
      </c>
      <c r="CT65" s="286">
        <v>30</v>
      </c>
      <c r="CU65" s="286" t="str">
        <v xml:space="preserve"> </v>
      </c>
      <c r="CV65" s="98">
        <f t="array" ref="CV65">IF(CT65&lt;CU65,CT65,"")</f>
        <v>30</v>
      </c>
      <c r="CW65" s="49">
        <v>30</v>
      </c>
      <c r="CX65" s="49">
        <f ca="1">IFERROR(__xludf.DUMMYFUNCTION("""COMPUTED_VALUE"""),60)</f>
        <v>60</v>
      </c>
      <c r="CY65" s="286">
        <v>30</v>
      </c>
      <c r="CZ65" s="286" t="str">
        <v xml:space="preserve"> </v>
      </c>
      <c r="DA65" s="98">
        <f t="array" ref="DA65">IF(CY65&lt;CZ65,CY65,"")</f>
        <v>30</v>
      </c>
      <c r="DB65" s="49">
        <v>30</v>
      </c>
      <c r="DC65" s="49">
        <f ca="1">IFERROR(__xludf.DUMMYFUNCTION("""COMPUTED_VALUE"""),60)</f>
        <v>60</v>
      </c>
      <c r="DD65" s="49">
        <v>30</v>
      </c>
      <c r="DE65" s="49"/>
      <c r="DF65" s="49"/>
      <c r="DG65" s="49"/>
      <c r="DH65" s="49"/>
    </row>
    <row r="66" spans="1:112" ht="13.5" hidden="1" customHeight="1">
      <c r="A66" s="78"/>
      <c r="B66" s="269"/>
      <c r="C66" s="269"/>
      <c r="D66" s="269"/>
      <c r="E66" s="269"/>
      <c r="F66" s="274"/>
      <c r="G66" s="106"/>
      <c r="H66" s="267"/>
      <c r="I66" s="106"/>
      <c r="J66" s="267"/>
      <c r="K66" s="106"/>
      <c r="L66" s="267"/>
      <c r="M66" s="106"/>
      <c r="N66" s="267"/>
      <c r="O66" s="106"/>
      <c r="P66" s="267"/>
      <c r="Q66" s="106"/>
      <c r="R66" s="267"/>
      <c r="S66" s="106"/>
      <c r="T66" s="267"/>
      <c r="U66" s="107"/>
      <c r="V66" s="267"/>
      <c r="W66" s="107"/>
      <c r="X66" s="267"/>
      <c r="Y66" s="106"/>
      <c r="Z66" s="267"/>
      <c r="AA66" s="106"/>
      <c r="AB66" s="274"/>
      <c r="AC66" s="269"/>
      <c r="AD66" s="267"/>
      <c r="AE66" s="279"/>
      <c r="AF66" s="281"/>
      <c r="AG66" s="283"/>
      <c r="AH66" s="283"/>
      <c r="AI66" s="283"/>
      <c r="AJ66" s="283"/>
      <c r="AK66" s="283"/>
      <c r="AL66" s="283"/>
      <c r="AM66" s="283"/>
      <c r="AN66" s="283"/>
      <c r="AO66" s="283"/>
      <c r="AP66" s="283"/>
      <c r="AQ66" s="283"/>
      <c r="AR66" s="283"/>
      <c r="AS66" s="283"/>
      <c r="AT66" s="283"/>
      <c r="AU66" s="283"/>
      <c r="AV66" s="283"/>
      <c r="AW66" s="283"/>
      <c r="AX66" s="264"/>
      <c r="AY66" s="92" t="str">
        <f ca="1"/>
        <v/>
      </c>
      <c r="AZ66" s="92"/>
      <c r="BA66" s="92" t="str">
        <f ca="1"/>
        <v/>
      </c>
      <c r="BB66" s="92"/>
      <c r="BC66" s="49" t="str">
        <f ca="1"/>
        <v/>
      </c>
      <c r="BD66" s="144">
        <f ca="1"/>
        <v>0</v>
      </c>
      <c r="BE66" s="49" t="str">
        <f ca="1"/>
        <v/>
      </c>
      <c r="BF66" s="143">
        <f ca="1"/>
        <v>0</v>
      </c>
      <c r="BG66" s="49" t="str">
        <f ca="1"/>
        <v/>
      </c>
      <c r="BH66" s="49" t="str">
        <f ca="1"/>
        <v/>
      </c>
      <c r="BI66" s="49"/>
      <c r="BJ66" s="49"/>
      <c r="BK66" s="49"/>
      <c r="BL66" s="49"/>
      <c r="BM66" s="285" t="str">
        <v/>
      </c>
      <c r="BN66" s="264">
        <v>0</v>
      </c>
      <c r="BO66" s="109" t="str">
        <f>IF(BO65="","",BN65)</f>
        <v/>
      </c>
      <c r="BP66" s="109" t="str">
        <v/>
      </c>
      <c r="BQ66" s="125"/>
      <c r="BR66" s="264" t="str">
        <v/>
      </c>
      <c r="BS66" s="264">
        <v>0</v>
      </c>
      <c r="BT66" s="109" t="str">
        <f>IF(BT65="","",BS65)</f>
        <v/>
      </c>
      <c r="BU66" s="109" t="str">
        <v/>
      </c>
      <c r="BV66" s="124"/>
      <c r="BW66" s="285" t="str">
        <v/>
      </c>
      <c r="BX66" s="264">
        <v>0</v>
      </c>
      <c r="BY66" s="102" t="str">
        <f>IF(BY65="","",BX65)</f>
        <v xml:space="preserve"> </v>
      </c>
      <c r="BZ66" s="102" t="str">
        <f t="shared" si="17"/>
        <v xml:space="preserve"> </v>
      </c>
      <c r="CA66" s="128">
        <f ca="1">IFERROR(__xludf.DUMMYFUNCTION("""COMPUTED_VALUE"""),61)</f>
        <v>61</v>
      </c>
      <c r="CB66" s="63">
        <f t="shared" ca="1" si="18"/>
        <v>61</v>
      </c>
      <c r="CC66" s="128"/>
      <c r="CD66" s="159"/>
      <c r="CE66" s="264" t="str">
        <v/>
      </c>
      <c r="CF66" s="264">
        <v>0</v>
      </c>
      <c r="CG66" s="113" t="str">
        <f>IF(CG65="","",CF65)</f>
        <v xml:space="preserve"> </v>
      </c>
      <c r="CH66" s="128" t="str">
        <v xml:space="preserve"> </v>
      </c>
      <c r="CI66" s="115">
        <f ca="1">IFERROR(__xludf.DUMMYFUNCTION("""COMPUTED_VALUE"""),61)</f>
        <v>61</v>
      </c>
      <c r="CJ66" s="49" t="str">
        <v/>
      </c>
      <c r="CK66" s="153">
        <v>0</v>
      </c>
      <c r="CL66" s="113" t="str">
        <f>IF(CL65="","",CK65)</f>
        <v xml:space="preserve"> </v>
      </c>
      <c r="CM66" s="49" t="str">
        <v xml:space="preserve"> </v>
      </c>
      <c r="CN66" s="49">
        <f ca="1">IFERROR(__xludf.DUMMYFUNCTION("""COMPUTED_VALUE"""),61)</f>
        <v>61</v>
      </c>
      <c r="CO66" s="264" t="str">
        <v/>
      </c>
      <c r="CP66" s="264">
        <v>0</v>
      </c>
      <c r="CQ66" s="113" t="str">
        <f>IF(CQ65="","",CP65)</f>
        <v xml:space="preserve"> </v>
      </c>
      <c r="CR66" s="49" t="str">
        <v xml:space="preserve"> </v>
      </c>
      <c r="CS66" s="152">
        <f ca="1">IFERROR(__xludf.DUMMYFUNCTION("""COMPUTED_VALUE"""),61)</f>
        <v>61</v>
      </c>
      <c r="CT66" s="264" t="str">
        <v/>
      </c>
      <c r="CU66" s="264">
        <v>0</v>
      </c>
      <c r="CV66" s="113" t="str">
        <f>IF(CV65="","",CU65)</f>
        <v xml:space="preserve"> </v>
      </c>
      <c r="CW66" s="49" t="str">
        <v xml:space="preserve"> </v>
      </c>
      <c r="CX66" s="49">
        <f ca="1">IFERROR(__xludf.DUMMYFUNCTION("""COMPUTED_VALUE"""),61)</f>
        <v>61</v>
      </c>
      <c r="CY66" s="264" t="str">
        <v/>
      </c>
      <c r="CZ66" s="264">
        <v>0</v>
      </c>
      <c r="DA66" s="113" t="str">
        <f>IF(DA65="","",CZ65)</f>
        <v xml:space="preserve"> </v>
      </c>
      <c r="DB66" s="49" t="str">
        <v xml:space="preserve"> </v>
      </c>
      <c r="DC66" s="49">
        <f ca="1">IFERROR(__xludf.DUMMYFUNCTION("""COMPUTED_VALUE"""),61)</f>
        <v>61</v>
      </c>
      <c r="DD66" s="49" t="str">
        <v/>
      </c>
      <c r="DE66" s="49"/>
      <c r="DF66" s="49"/>
      <c r="DG66" s="49"/>
      <c r="DH66" s="49"/>
    </row>
    <row r="67" spans="1:112" ht="13.5" hidden="1" customHeight="1">
      <c r="A67" s="78"/>
      <c r="B67" s="268">
        <v>31</v>
      </c>
      <c r="C67" s="270" t="e">
        <f>(VLOOKUP($B67,Пр.взв!$D$6:$J$63,2,0))</f>
        <v>#N/A</v>
      </c>
      <c r="D67" s="271" t="e">
        <f>(VLOOKUP($B67,Пр.взв!$D$6:$J$63,5,0))</f>
        <v>#N/A</v>
      </c>
      <c r="E67" s="272" t="e">
        <f>(VLOOKUP($B67,Пр.взв!$D$6:$M$63,8,0))</f>
        <v>#N/A</v>
      </c>
      <c r="F67" s="273"/>
      <c r="G67" s="169"/>
      <c r="H67" s="266"/>
      <c r="I67" s="169"/>
      <c r="J67" s="266" t="str">
        <f>IF(H67="Х","Х",IF($AC67&lt;6," ","Х"))</f>
        <v xml:space="preserve"> </v>
      </c>
      <c r="K67" s="87"/>
      <c r="L67" s="266" t="str">
        <f>IF(J67="Х","Х",IF(K67&lt;3," ",IF($AC67&lt;6," ","Х")))</f>
        <v xml:space="preserve"> </v>
      </c>
      <c r="M67" s="87"/>
      <c r="N67" s="266" t="str">
        <f>IF(L67="Х","Х",IF(M67&lt;3," ",IF($AC67&lt;6," ","Х")))</f>
        <v xml:space="preserve"> </v>
      </c>
      <c r="O67" s="87"/>
      <c r="P67" s="266" t="str">
        <f>IF(N67="Х","Х",IF(O67&lt;3," ",IF($AC67&lt;6," ","Х")))</f>
        <v xml:space="preserve"> </v>
      </c>
      <c r="Q67" s="87"/>
      <c r="R67" s="266" t="str">
        <f>IF(P67="Х","Х",IF(Q67&lt;3," ",IF($AC67&lt;6," ","Х")))</f>
        <v xml:space="preserve"> </v>
      </c>
      <c r="S67" s="87"/>
      <c r="T67" s="266" t="str">
        <f>IF(R67="Х","Х",IF(S67&lt;3," ",IF($AC67&lt;6," ","Х")))</f>
        <v xml:space="preserve"> </v>
      </c>
      <c r="U67" s="88"/>
      <c r="V67" s="266" t="str">
        <f>IF(T67="Х","Х",IF(U67&lt;3," ",IF($AC67&lt;6," ","Х")))</f>
        <v xml:space="preserve"> </v>
      </c>
      <c r="W67" s="88"/>
      <c r="X67" s="266" t="str">
        <f>IF(V67="А1",$AZ$7,IF(V67="Б2",$AZ$6,IF(V67="Б1",$BA$7,IF(V67="А2",$BA$6,IF(V67="Х","Х",IF(V67&lt;6," "," "))))))</f>
        <v xml:space="preserve"> </v>
      </c>
      <c r="Y67" s="89"/>
      <c r="Z67" s="266" t="str">
        <f>IF(V67="Х","Х",IF(ISBLANK(Y67),"",IF(Y67&gt;2.5," ",IF(B67=BB$6,BB$7,BB$6))))</f>
        <v/>
      </c>
      <c r="AA67" s="89"/>
      <c r="AB67" s="290" t="str">
        <f>IF(H67="Х",F$5,IF(J67="Х",H$5,IF(L67="Х",J$5,IF(N67="Х",L$5,IF(P67="Х",N$5,IF(R67="Х",P$5,IF(T67="Х",R$5,IF(X67="Х",T$5,""))))))))</f>
        <v/>
      </c>
      <c r="AC67" s="276">
        <f>SUM(G67+I67+K67+M67+O67+Q67+S67+U67+Y67+AA67)</f>
        <v>0</v>
      </c>
      <c r="AD67" s="291" t="str">
        <f>AF67</f>
        <v>27-71</v>
      </c>
      <c r="AE67" s="278" t="str">
        <f>AD67</f>
        <v>27-71</v>
      </c>
      <c r="AF67" s="280" t="str">
        <f>COUNTIF(AG$6:AG$148,"&gt;"&amp;AG$6:AG$148)+1&amp;REPT("-"&amp;COUNTIF(AG$6:AG$148,"&gt;="&amp;AG$6:AG$148),COUNTIF(AG$6:AG$148,AG67)&gt;1)</f>
        <v>27-71</v>
      </c>
      <c r="AG67" s="282">
        <f>(AR67*100)+(AP67*10)-AC67</f>
        <v>80</v>
      </c>
      <c r="AH67" s="288" t="str">
        <f>IF(OR(F67="Х",F67="св")," ",IF(AND(G67&gt;=0,G67&lt;3),"1"," "))</f>
        <v>1</v>
      </c>
      <c r="AI67" s="289" t="str">
        <f>IF(OR(H67="Х",H67="св")," ",IF(AND(I67&gt;=0,I67&lt;3),"1"," "))</f>
        <v>1</v>
      </c>
      <c r="AJ67" s="289" t="str">
        <f>IF(OR(J67="Х",J67="св")," ",IF(AND(K67&gt;=0,K67&lt;3),"1"," "))</f>
        <v>1</v>
      </c>
      <c r="AK67" s="289" t="str">
        <f>IF(OR(L67="Х",L67="св")," ",IF(AND(M67&gt;=0,M67&lt;3),"1"," "))</f>
        <v>1</v>
      </c>
      <c r="AL67" s="289" t="str">
        <f>IF(OR(N67="Х",N67="св")," ",IF(AND(O67&gt;=0,O67&lt;3),"1"," "))</f>
        <v>1</v>
      </c>
      <c r="AM67" s="289" t="str">
        <f>IF(OR(P67="Х",P67="св")," ",IF(AND(Q67&gt;=0,Q67&lt;3),"1"," "))</f>
        <v>1</v>
      </c>
      <c r="AN67" s="289" t="str">
        <f>IF(OR(R67="Х",R67="св")," ",IF(AND(S67&gt;=0,S67&lt;3),"1"," "))</f>
        <v>1</v>
      </c>
      <c r="AO67" s="289" t="str">
        <f>IF(OR(T67="Х",T67="св")," ",IF(AND(U67&gt;=0,U67&lt;3),"1"," "))</f>
        <v>1</v>
      </c>
      <c r="AP67" s="289">
        <f>COUNTIF(AH67:AO68,1)</f>
        <v>8</v>
      </c>
      <c r="AQ67" s="289">
        <f>AG67-AC67</f>
        <v>80</v>
      </c>
      <c r="AR67" s="292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289" t="str">
        <f>COUNTIF(AG$6:AG$134,"&gt;"&amp;AG$6:AG$134)+1&amp;REPT("-"&amp;COUNTIF(AG$6:AG$134,"&gt;="&amp;AG$6:AG$134),COUNTIF(AG$6:AG$134,AG67)&gt;1)</f>
        <v>27-64</v>
      </c>
      <c r="AT67" s="288" t="str">
        <f t="shared" ref="AT67:AW67" si="35">COUNTIF(AU$6:AU$134,"&gt;"&amp;AU$6:AU$134)+1&amp;REPT("-"&amp;COUNTIF(AU$6:AU$134,"&gt;="&amp;AU$6:AU$134),COUNTIF(AU$6:AU$134,AU67)&gt;1)</f>
        <v>1-64</v>
      </c>
      <c r="AU67" s="288" t="str">
        <f t="shared" si="35"/>
        <v>1-0</v>
      </c>
      <c r="AV67" s="288" t="str">
        <f t="shared" si="35"/>
        <v>1</v>
      </c>
      <c r="AW67" s="288" t="str">
        <f t="shared" si="35"/>
        <v>34</v>
      </c>
      <c r="AX67" s="293">
        <f>IF(X67="Х","Х",IF(Y67&lt;3,B67,"Х"))</f>
        <v>31</v>
      </c>
      <c r="AY67" s="92" t="str">
        <f ca="1"/>
        <v/>
      </c>
      <c r="AZ67" s="92"/>
      <c r="BA67" s="92" t="str">
        <f ca="1"/>
        <v/>
      </c>
      <c r="BB67" s="92"/>
      <c r="BC67" s="49" t="str">
        <f ca="1"/>
        <v/>
      </c>
      <c r="BD67" s="144">
        <f ca="1"/>
        <v>0</v>
      </c>
      <c r="BE67" s="49" t="str">
        <f ca="1"/>
        <v/>
      </c>
      <c r="BF67" s="143">
        <f ca="1"/>
        <v>0</v>
      </c>
      <c r="BG67" s="49" t="str">
        <f ca="1"/>
        <v/>
      </c>
      <c r="BH67" s="49" t="str">
        <f ca="1"/>
        <v/>
      </c>
      <c r="BI67" s="49"/>
      <c r="BJ67" s="49"/>
      <c r="BK67" s="49"/>
      <c r="BL67" s="49"/>
      <c r="BM67" s="294">
        <v>31</v>
      </c>
      <c r="BN67" s="287">
        <v>0</v>
      </c>
      <c r="BO67" s="98" t="str">
        <f>IF(BM67&lt;BN67,BM67,"")</f>
        <v/>
      </c>
      <c r="BP67" s="124" t="str">
        <v/>
      </c>
      <c r="BQ67" s="125"/>
      <c r="BR67" s="295" t="str">
        <v/>
      </c>
      <c r="BS67" s="287">
        <v>0</v>
      </c>
      <c r="BT67" s="109" t="str">
        <f>IF(BR67&lt;BS67,BR67,"")</f>
        <v/>
      </c>
      <c r="BU67" s="124" t="str">
        <v/>
      </c>
      <c r="BV67" s="124"/>
      <c r="BW67" s="284">
        <v>31</v>
      </c>
      <c r="BX67" s="286" t="str">
        <v xml:space="preserve"> </v>
      </c>
      <c r="BY67" s="102">
        <f t="array" ref="BY67">IF(BW67&lt;BX67,BW67,"")</f>
        <v>31</v>
      </c>
      <c r="BZ67" s="102">
        <f t="shared" si="17"/>
        <v>31</v>
      </c>
      <c r="CA67" s="63">
        <f ca="1">IFERROR(__xludf.DUMMYFUNCTION("""COMPUTED_VALUE"""),62)</f>
        <v>62</v>
      </c>
      <c r="CB67" s="63">
        <f t="shared" ca="1" si="18"/>
        <v>62</v>
      </c>
      <c r="CC67" s="128"/>
      <c r="CD67" s="159"/>
      <c r="CE67" s="286">
        <v>31</v>
      </c>
      <c r="CF67" s="296" t="str">
        <v xml:space="preserve"> </v>
      </c>
      <c r="CG67" s="98">
        <f t="array" ref="CG67">IF(CE67&lt;CF67,CE67,"")</f>
        <v>31</v>
      </c>
      <c r="CH67" s="63">
        <v>31</v>
      </c>
      <c r="CI67" s="115">
        <f ca="1">IFERROR(__xludf.DUMMYFUNCTION("""COMPUTED_VALUE"""),62)</f>
        <v>62</v>
      </c>
      <c r="CJ67" s="65">
        <v>31</v>
      </c>
      <c r="CK67" s="151" t="str">
        <v xml:space="preserve"> </v>
      </c>
      <c r="CL67" s="98">
        <f t="array" ref="CL67">IF(CJ67&lt;CK67,CJ67,"")</f>
        <v>31</v>
      </c>
      <c r="CM67" s="49">
        <v>31</v>
      </c>
      <c r="CN67" s="49">
        <f ca="1">IFERROR(__xludf.DUMMYFUNCTION("""COMPUTED_VALUE"""),62)</f>
        <v>62</v>
      </c>
      <c r="CO67" s="286">
        <v>31</v>
      </c>
      <c r="CP67" s="286" t="str">
        <v xml:space="preserve"> </v>
      </c>
      <c r="CQ67" s="98">
        <f t="array" ref="CQ67">IF(CO67&lt;CP67,CO67,"")</f>
        <v>31</v>
      </c>
      <c r="CR67" s="65">
        <v>31</v>
      </c>
      <c r="CS67" s="152">
        <f ca="1">IFERROR(__xludf.DUMMYFUNCTION("""COMPUTED_VALUE"""),62)</f>
        <v>62</v>
      </c>
      <c r="CT67" s="286">
        <v>31</v>
      </c>
      <c r="CU67" s="286" t="str">
        <v xml:space="preserve"> </v>
      </c>
      <c r="CV67" s="98">
        <f t="array" ref="CV67">IF(CT67&lt;CU67,CT67,"")</f>
        <v>31</v>
      </c>
      <c r="CW67" s="49">
        <v>31</v>
      </c>
      <c r="CX67" s="49">
        <f ca="1">IFERROR(__xludf.DUMMYFUNCTION("""COMPUTED_VALUE"""),62)</f>
        <v>62</v>
      </c>
      <c r="CY67" s="49">
        <v>31</v>
      </c>
      <c r="CZ67" s="49" t="str">
        <v xml:space="preserve"> </v>
      </c>
      <c r="DA67" s="98">
        <f t="array" ref="DA67">IF(CY67&lt;CZ67,CY67,"")</f>
        <v>31</v>
      </c>
      <c r="DB67" s="49">
        <v>31</v>
      </c>
      <c r="DC67" s="49">
        <f ca="1">IFERROR(__xludf.DUMMYFUNCTION("""COMPUTED_VALUE"""),62)</f>
        <v>62</v>
      </c>
      <c r="DD67" s="49">
        <v>31</v>
      </c>
      <c r="DE67" s="49"/>
      <c r="DF67" s="49"/>
      <c r="DG67" s="49"/>
      <c r="DH67" s="49"/>
    </row>
    <row r="68" spans="1:112" ht="13.5" hidden="1" customHeight="1">
      <c r="A68" s="78"/>
      <c r="B68" s="269"/>
      <c r="C68" s="269"/>
      <c r="D68" s="269"/>
      <c r="E68" s="269"/>
      <c r="F68" s="274"/>
      <c r="G68" s="106"/>
      <c r="H68" s="267"/>
      <c r="I68" s="106"/>
      <c r="J68" s="267"/>
      <c r="K68" s="106"/>
      <c r="L68" s="267"/>
      <c r="M68" s="106"/>
      <c r="N68" s="267"/>
      <c r="O68" s="106"/>
      <c r="P68" s="267"/>
      <c r="Q68" s="106"/>
      <c r="R68" s="267"/>
      <c r="S68" s="106"/>
      <c r="T68" s="267"/>
      <c r="U68" s="107"/>
      <c r="V68" s="267"/>
      <c r="W68" s="107"/>
      <c r="X68" s="267"/>
      <c r="Y68" s="106"/>
      <c r="Z68" s="267"/>
      <c r="AA68" s="106"/>
      <c r="AB68" s="274"/>
      <c r="AC68" s="269"/>
      <c r="AD68" s="267"/>
      <c r="AE68" s="279"/>
      <c r="AF68" s="281"/>
      <c r="AG68" s="283"/>
      <c r="AH68" s="283"/>
      <c r="AI68" s="283"/>
      <c r="AJ68" s="283"/>
      <c r="AK68" s="283"/>
      <c r="AL68" s="283"/>
      <c r="AM68" s="283"/>
      <c r="AN68" s="283"/>
      <c r="AO68" s="283"/>
      <c r="AP68" s="283"/>
      <c r="AQ68" s="283"/>
      <c r="AR68" s="283"/>
      <c r="AS68" s="283"/>
      <c r="AT68" s="283"/>
      <c r="AU68" s="283"/>
      <c r="AV68" s="283"/>
      <c r="AW68" s="283"/>
      <c r="AX68" s="264"/>
      <c r="AY68" s="92" t="str">
        <f ca="1"/>
        <v/>
      </c>
      <c r="AZ68" s="92"/>
      <c r="BA68" s="92" t="str">
        <f ca="1"/>
        <v/>
      </c>
      <c r="BB68" s="92"/>
      <c r="BC68" s="49" t="str">
        <f ca="1"/>
        <v/>
      </c>
      <c r="BD68" s="144">
        <f ca="1"/>
        <v>0</v>
      </c>
      <c r="BE68" s="49" t="str">
        <f ca="1"/>
        <v/>
      </c>
      <c r="BF68" s="143">
        <f ca="1"/>
        <v>0</v>
      </c>
      <c r="BG68" s="49" t="str">
        <f ca="1"/>
        <v/>
      </c>
      <c r="BH68" s="49" t="str">
        <f ca="1"/>
        <v/>
      </c>
      <c r="BI68" s="49"/>
      <c r="BJ68" s="49"/>
      <c r="BK68" s="49"/>
      <c r="BL68" s="49"/>
      <c r="BM68" s="285" t="str">
        <v/>
      </c>
      <c r="BN68" s="264">
        <v>0</v>
      </c>
      <c r="BO68" s="109" t="str">
        <f>IF(BO67="","",BN67)</f>
        <v/>
      </c>
      <c r="BP68" s="109" t="str">
        <v/>
      </c>
      <c r="BQ68" s="125"/>
      <c r="BR68" s="264" t="str">
        <v/>
      </c>
      <c r="BS68" s="264">
        <v>0</v>
      </c>
      <c r="BT68" s="109" t="str">
        <f>IF(BT67="","",BS67)</f>
        <v/>
      </c>
      <c r="BU68" s="109" t="str">
        <v/>
      </c>
      <c r="BV68" s="124"/>
      <c r="BW68" s="285" t="str">
        <v/>
      </c>
      <c r="BX68" s="264">
        <v>0</v>
      </c>
      <c r="BY68" s="102" t="str">
        <f>IF(BY67="","",BX67)</f>
        <v xml:space="preserve"> </v>
      </c>
      <c r="BZ68" s="102" t="str">
        <f t="shared" si="17"/>
        <v xml:space="preserve"> </v>
      </c>
      <c r="CA68" s="128">
        <f ca="1">IFERROR(__xludf.DUMMYFUNCTION("""COMPUTED_VALUE"""),63)</f>
        <v>63</v>
      </c>
      <c r="CB68" s="63">
        <f t="shared" ca="1" si="18"/>
        <v>63</v>
      </c>
      <c r="CC68" s="128"/>
      <c r="CD68" s="159"/>
      <c r="CE68" s="264" t="str">
        <v/>
      </c>
      <c r="CF68" s="264">
        <v>0</v>
      </c>
      <c r="CG68" s="113" t="str">
        <f>IF(CG67="","",CF67)</f>
        <v xml:space="preserve"> </v>
      </c>
      <c r="CH68" s="128" t="str">
        <v xml:space="preserve"> </v>
      </c>
      <c r="CI68" s="115">
        <f ca="1">IFERROR(__xludf.DUMMYFUNCTION("""COMPUTED_VALUE"""),63)</f>
        <v>63</v>
      </c>
      <c r="CJ68" s="49" t="str">
        <v/>
      </c>
      <c r="CK68" s="153">
        <v>0</v>
      </c>
      <c r="CL68" s="113" t="str">
        <f>IF(CL67="","",CK67)</f>
        <v xml:space="preserve"> </v>
      </c>
      <c r="CM68" s="49" t="str">
        <v xml:space="preserve"> </v>
      </c>
      <c r="CN68" s="49">
        <f ca="1">IFERROR(__xludf.DUMMYFUNCTION("""COMPUTED_VALUE"""),63)</f>
        <v>63</v>
      </c>
      <c r="CO68" s="264" t="str">
        <v/>
      </c>
      <c r="CP68" s="264">
        <v>0</v>
      </c>
      <c r="CQ68" s="113" t="str">
        <f>IF(CQ67="","",CP67)</f>
        <v xml:space="preserve"> </v>
      </c>
      <c r="CR68" s="49" t="str">
        <v xml:space="preserve"> </v>
      </c>
      <c r="CS68" s="152">
        <f ca="1">IFERROR(__xludf.DUMMYFUNCTION("""COMPUTED_VALUE"""),63)</f>
        <v>63</v>
      </c>
      <c r="CT68" s="264" t="str">
        <v/>
      </c>
      <c r="CU68" s="264">
        <v>0</v>
      </c>
      <c r="CV68" s="113" t="str">
        <f>IF(CV67="","",CU67)</f>
        <v xml:space="preserve"> </v>
      </c>
      <c r="CW68" s="49" t="str">
        <v xml:space="preserve"> </v>
      </c>
      <c r="CX68" s="49">
        <f ca="1">IFERROR(__xludf.DUMMYFUNCTION("""COMPUTED_VALUE"""),63)</f>
        <v>63</v>
      </c>
      <c r="CY68" s="49" t="str">
        <v/>
      </c>
      <c r="CZ68" s="49">
        <v>0</v>
      </c>
      <c r="DA68" s="113" t="str">
        <f>IF(DA67="","",CZ67)</f>
        <v xml:space="preserve"> </v>
      </c>
      <c r="DB68" s="49" t="str">
        <v xml:space="preserve"> </v>
      </c>
      <c r="DC68" s="49">
        <f ca="1">IFERROR(__xludf.DUMMYFUNCTION("""COMPUTED_VALUE"""),63)</f>
        <v>63</v>
      </c>
      <c r="DD68" s="49" t="str">
        <v/>
      </c>
      <c r="DE68" s="49"/>
      <c r="DF68" s="49"/>
      <c r="DG68" s="49"/>
      <c r="DH68" s="49"/>
    </row>
    <row r="69" spans="1:112" ht="13.5" hidden="1" customHeight="1">
      <c r="A69" s="78"/>
      <c r="B69" s="268">
        <v>32</v>
      </c>
      <c r="C69" s="301" t="e">
        <f>(VLOOKUP($B69,Пр.взв!$D$6:$J$63,2,0))</f>
        <v>#N/A</v>
      </c>
      <c r="D69" s="271" t="e">
        <f>(VLOOKUP($B69,Пр.взв!$D$6:$J$63,5,0))</f>
        <v>#N/A</v>
      </c>
      <c r="E69" s="272" t="e">
        <f>(VLOOKUP($B69,Пр.взв!$D$6:$M$63,8,0))</f>
        <v>#N/A</v>
      </c>
      <c r="F69" s="273"/>
      <c r="G69" s="87"/>
      <c r="H69" s="266"/>
      <c r="I69" s="89"/>
      <c r="J69" s="266" t="str">
        <f>IF(H69="Х","Х",IF($AC69&lt;6," ","Х"))</f>
        <v xml:space="preserve"> </v>
      </c>
      <c r="K69" s="87"/>
      <c r="L69" s="266" t="str">
        <f>IF(J69="Х","Х",IF(K69&lt;3," ",IF($AC69&lt;6," ","Х")))</f>
        <v xml:space="preserve"> </v>
      </c>
      <c r="M69" s="87"/>
      <c r="N69" s="266" t="str">
        <f>IF(L69="Х","Х",IF(M69&lt;3," ",IF($AC69&lt;6," ","Х")))</f>
        <v xml:space="preserve"> </v>
      </c>
      <c r="O69" s="87"/>
      <c r="P69" s="266" t="str">
        <f>IF(N69="Х","Х",IF(O69&lt;3," ",IF($AC69&lt;6," ","Х")))</f>
        <v xml:space="preserve"> </v>
      </c>
      <c r="Q69" s="87"/>
      <c r="R69" s="266" t="str">
        <f>IF(P69="Х","Х",IF(Q69&lt;3," ",IF($AC69&lt;6," ","Х")))</f>
        <v xml:space="preserve"> </v>
      </c>
      <c r="S69" s="87"/>
      <c r="T69" s="266" t="str">
        <f>IF(R69="Х","Х",IF(S69&lt;3," ",IF($AC69&lt;6," ","Х")))</f>
        <v xml:space="preserve"> </v>
      </c>
      <c r="U69" s="88"/>
      <c r="V69" s="266" t="str">
        <f>IF(T69="Х","Х",IF(U69&lt;3," ",IF($AC69&lt;6," ","Х")))</f>
        <v xml:space="preserve"> </v>
      </c>
      <c r="W69" s="88"/>
      <c r="X69" s="266" t="str">
        <f>IF(V69="А1",$AZ$7,IF(V69="Б2",$AZ$6,IF(V69="Б1",$BA$7,IF(V69="А2",$BA$6,IF(V69="Х","Х",IF(V69&lt;6," "," "))))))</f>
        <v xml:space="preserve"> </v>
      </c>
      <c r="Y69" s="89"/>
      <c r="Z69" s="266" t="str">
        <f>IF(V69="Х","Х",IF(ISBLANK(Y69),"",IF(Y69&gt;2.5," ",IF(B69=BB$6,BB$7,BB$6))))</f>
        <v/>
      </c>
      <c r="AA69" s="89"/>
      <c r="AB69" s="290" t="str">
        <f>IF(H69="Х",F$5,IF(J69="Х",H$5,IF(L69="Х",J$5,IF(N69="Х",L$5,IF(P69="Х",N$5,IF(R69="Х",P$5,IF(T69="Х",R$5,IF(X69="Х",T$5,""))))))))</f>
        <v/>
      </c>
      <c r="AC69" s="276">
        <f>SUM(G69+I69+K69+M69+O69+Q69+S69+U69+Y69+AA69)</f>
        <v>0</v>
      </c>
      <c r="AD69" s="291" t="str">
        <f>AF69</f>
        <v>27-71</v>
      </c>
      <c r="AE69" s="278" t="str">
        <f>AD69</f>
        <v>27-71</v>
      </c>
      <c r="AF69" s="280" t="str">
        <f>COUNTIF(AG$6:AG$148,"&gt;"&amp;AG$6:AG$148)+1&amp;REPT("-"&amp;COUNTIF(AG$6:AG$148,"&gt;="&amp;AG$6:AG$148),COUNTIF(AG$6:AG$148,AG69)&gt;1)</f>
        <v>27-71</v>
      </c>
      <c r="AG69" s="282">
        <f>(AR69*100)+(AP69*10)-AC69</f>
        <v>80</v>
      </c>
      <c r="AH69" s="288" t="str">
        <f>IF(OR(F69="Х",F69="св")," ",IF(AND(G69&gt;=0,G69&lt;3),"1"," "))</f>
        <v>1</v>
      </c>
      <c r="AI69" s="289" t="str">
        <f>IF(OR(H69="Х",H69="св")," ",IF(AND(I69&gt;=0,I69&lt;3),"1"," "))</f>
        <v>1</v>
      </c>
      <c r="AJ69" s="289" t="str">
        <f>IF(OR(J69="Х",J69="св")," ",IF(AND(K69&gt;=0,K69&lt;3),"1"," "))</f>
        <v>1</v>
      </c>
      <c r="AK69" s="289" t="str">
        <f>IF(OR(L69="Х",L69="св")," ",IF(AND(M69&gt;=0,M69&lt;3),"1"," "))</f>
        <v>1</v>
      </c>
      <c r="AL69" s="289" t="str">
        <f>IF(OR(N69="Х",N69="св")," ",IF(AND(O69&gt;=0,O69&lt;3),"1"," "))</f>
        <v>1</v>
      </c>
      <c r="AM69" s="289" t="str">
        <f>IF(OR(P69="Х",P69="св")," ",IF(AND(Q69&gt;=0,Q69&lt;3),"1"," "))</f>
        <v>1</v>
      </c>
      <c r="AN69" s="289" t="str">
        <f>IF(OR(R69="Х",R69="св")," ",IF(AND(S69&gt;=0,S69&lt;3),"1"," "))</f>
        <v>1</v>
      </c>
      <c r="AO69" s="289" t="str">
        <f>IF(OR(T69="Х",T69="св")," ",IF(AND(U69&gt;=0,U69&lt;3),"1"," "))</f>
        <v>1</v>
      </c>
      <c r="AP69" s="289">
        <f>COUNTIF(AH69:AO70,1)</f>
        <v>8</v>
      </c>
      <c r="AQ69" s="289">
        <f>AG69-AC69</f>
        <v>80</v>
      </c>
      <c r="AR69" s="292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289" t="str">
        <f>COUNTIF(AG$6:AG$134,"&gt;"&amp;AG$6:AG$134)+1&amp;REPT("-"&amp;COUNTIF(AG$6:AG$134,"&gt;="&amp;AG$6:AG$134),COUNTIF(AG$6:AG$134,AG69)&gt;1)</f>
        <v>27-64</v>
      </c>
      <c r="AT69" s="288" t="str">
        <f t="shared" ref="AT69:AW69" si="36">COUNTIF(AU$6:AU$134,"&gt;"&amp;AU$6:AU$134)+1&amp;REPT("-"&amp;COUNTIF(AU$6:AU$134,"&gt;="&amp;AU$6:AU$134),COUNTIF(AU$6:AU$134,AU69)&gt;1)</f>
        <v>1-64</v>
      </c>
      <c r="AU69" s="288" t="str">
        <f t="shared" si="36"/>
        <v>1-0</v>
      </c>
      <c r="AV69" s="288" t="str">
        <f t="shared" si="36"/>
        <v>1</v>
      </c>
      <c r="AW69" s="288" t="str">
        <f t="shared" si="36"/>
        <v>33</v>
      </c>
      <c r="AX69" s="293">
        <f>IF(X69="Х","Х",IF(Y69&lt;3,B69,"Х"))</f>
        <v>32</v>
      </c>
      <c r="AY69" s="92" t="str">
        <f ca="1"/>
        <v/>
      </c>
      <c r="AZ69" s="92"/>
      <c r="BA69" s="92" t="str">
        <f ca="1"/>
        <v/>
      </c>
      <c r="BB69" s="92"/>
      <c r="BC69" s="49" t="str">
        <f ca="1"/>
        <v/>
      </c>
      <c r="BD69" s="144">
        <f ca="1"/>
        <v>0</v>
      </c>
      <c r="BE69" s="49" t="str">
        <f ca="1"/>
        <v/>
      </c>
      <c r="BF69" s="143">
        <f ca="1"/>
        <v>0</v>
      </c>
      <c r="BG69" s="49" t="str">
        <f ca="1"/>
        <v/>
      </c>
      <c r="BH69" s="49" t="str">
        <f ca="1"/>
        <v/>
      </c>
      <c r="BI69" s="49"/>
      <c r="BJ69" s="49"/>
      <c r="BK69" s="49"/>
      <c r="BL69" s="49"/>
      <c r="BM69" s="294">
        <v>32</v>
      </c>
      <c r="BN69" s="287">
        <v>0</v>
      </c>
      <c r="BO69" s="98" t="str">
        <f>IF(BM69&lt;BN69,BM69,"")</f>
        <v/>
      </c>
      <c r="BP69" s="124" t="str">
        <v/>
      </c>
      <c r="BQ69" s="125"/>
      <c r="BR69" s="295" t="str">
        <v/>
      </c>
      <c r="BS69" s="287">
        <v>0</v>
      </c>
      <c r="BT69" s="109" t="str">
        <f>IF(BR69&lt;BS69,BR69,"")</f>
        <v/>
      </c>
      <c r="BU69" s="124" t="str">
        <v/>
      </c>
      <c r="BV69" s="124"/>
      <c r="BW69" s="284">
        <v>32</v>
      </c>
      <c r="BX69" s="286" t="str">
        <v xml:space="preserve"> </v>
      </c>
      <c r="BY69" s="102">
        <f t="array" ref="BY69">IF(BW69&lt;BX69,BW69,"")</f>
        <v>32</v>
      </c>
      <c r="BZ69" s="102">
        <f t="shared" si="17"/>
        <v>32</v>
      </c>
      <c r="CA69" s="63">
        <f ca="1">IFERROR(__xludf.DUMMYFUNCTION("""COMPUTED_VALUE"""),64)</f>
        <v>64</v>
      </c>
      <c r="CB69" s="63">
        <f t="shared" ca="1" si="18"/>
        <v>64</v>
      </c>
      <c r="CC69" s="128"/>
      <c r="CD69" s="159"/>
      <c r="CE69" s="286">
        <v>32</v>
      </c>
      <c r="CF69" s="296" t="str">
        <v xml:space="preserve"> </v>
      </c>
      <c r="CG69" s="98">
        <f t="array" ref="CG69">IF(CE69&lt;CF69,CE69,"")</f>
        <v>32</v>
      </c>
      <c r="CH69" s="63">
        <v>32</v>
      </c>
      <c r="CI69" s="115">
        <f ca="1">IFERROR(__xludf.DUMMYFUNCTION("""COMPUTED_VALUE"""),64)</f>
        <v>64</v>
      </c>
      <c r="CJ69" s="65">
        <v>32</v>
      </c>
      <c r="CK69" s="151" t="str">
        <v xml:space="preserve"> </v>
      </c>
      <c r="CL69" s="98">
        <f t="array" ref="CL69">IF(CJ69&lt;CK69,CJ69,"")</f>
        <v>32</v>
      </c>
      <c r="CM69" s="49">
        <v>32</v>
      </c>
      <c r="CN69" s="49">
        <f ca="1">IFERROR(__xludf.DUMMYFUNCTION("""COMPUTED_VALUE"""),64)</f>
        <v>64</v>
      </c>
      <c r="CO69" s="286">
        <v>32</v>
      </c>
      <c r="CP69" s="286" t="str">
        <v xml:space="preserve"> </v>
      </c>
      <c r="CQ69" s="98">
        <f t="array" ref="CQ69">IF(CO69&lt;CP69,CO69,"")</f>
        <v>32</v>
      </c>
      <c r="CR69" s="65">
        <v>32</v>
      </c>
      <c r="CS69" s="152">
        <f ca="1">IFERROR(__xludf.DUMMYFUNCTION("""COMPUTED_VALUE"""),64)</f>
        <v>64</v>
      </c>
      <c r="CT69" s="286">
        <v>32</v>
      </c>
      <c r="CU69" s="286" t="str">
        <v xml:space="preserve"> </v>
      </c>
      <c r="CV69" s="98">
        <f t="array" ref="CV69">IF(CT69&lt;CU69,CT69,"")</f>
        <v>32</v>
      </c>
      <c r="CW69" s="49">
        <v>32</v>
      </c>
      <c r="CX69" s="49">
        <f ca="1">IFERROR(__xludf.DUMMYFUNCTION("""COMPUTED_VALUE"""),64)</f>
        <v>64</v>
      </c>
      <c r="CY69" s="49">
        <v>32</v>
      </c>
      <c r="CZ69" s="49" t="str">
        <v xml:space="preserve"> </v>
      </c>
      <c r="DA69" s="98">
        <f t="array" ref="DA69">IF(CY69&lt;CZ69,CY69,"")</f>
        <v>32</v>
      </c>
      <c r="DB69" s="49">
        <v>32</v>
      </c>
      <c r="DC69" s="49">
        <f ca="1">IFERROR(__xludf.DUMMYFUNCTION("""COMPUTED_VALUE"""),64)</f>
        <v>64</v>
      </c>
      <c r="DD69" s="49">
        <v>32</v>
      </c>
      <c r="DE69" s="49"/>
      <c r="DF69" s="49"/>
      <c r="DG69" s="49"/>
      <c r="DH69" s="49"/>
    </row>
    <row r="70" spans="1:112" ht="13.5" hidden="1" customHeight="1">
      <c r="A70" s="78"/>
      <c r="B70" s="269"/>
      <c r="C70" s="269"/>
      <c r="D70" s="269"/>
      <c r="E70" s="269"/>
      <c r="F70" s="274"/>
      <c r="G70" s="106"/>
      <c r="H70" s="267"/>
      <c r="I70" s="106"/>
      <c r="J70" s="267"/>
      <c r="K70" s="106"/>
      <c r="L70" s="267"/>
      <c r="M70" s="106"/>
      <c r="N70" s="267"/>
      <c r="O70" s="106"/>
      <c r="P70" s="267"/>
      <c r="Q70" s="106"/>
      <c r="R70" s="267"/>
      <c r="S70" s="106"/>
      <c r="T70" s="267"/>
      <c r="U70" s="107"/>
      <c r="V70" s="267"/>
      <c r="W70" s="107"/>
      <c r="X70" s="267"/>
      <c r="Y70" s="106"/>
      <c r="Z70" s="267"/>
      <c r="AA70" s="106"/>
      <c r="AB70" s="274"/>
      <c r="AC70" s="269"/>
      <c r="AD70" s="267"/>
      <c r="AE70" s="279"/>
      <c r="AF70" s="281"/>
      <c r="AG70" s="283"/>
      <c r="AH70" s="283"/>
      <c r="AI70" s="283"/>
      <c r="AJ70" s="283"/>
      <c r="AK70" s="283"/>
      <c r="AL70" s="283"/>
      <c r="AM70" s="283"/>
      <c r="AN70" s="283"/>
      <c r="AO70" s="283"/>
      <c r="AP70" s="283"/>
      <c r="AQ70" s="283"/>
      <c r="AR70" s="283"/>
      <c r="AS70" s="283"/>
      <c r="AT70" s="283"/>
      <c r="AU70" s="283"/>
      <c r="AV70" s="283"/>
      <c r="AW70" s="283"/>
      <c r="AX70" s="264"/>
      <c r="AY70" s="92" t="str">
        <f ca="1"/>
        <v/>
      </c>
      <c r="AZ70" s="92"/>
      <c r="BA70" s="92" t="str">
        <f ca="1"/>
        <v/>
      </c>
      <c r="BB70" s="92"/>
      <c r="BC70" s="49" t="str">
        <f ca="1"/>
        <v/>
      </c>
      <c r="BD70" s="144">
        <f ca="1"/>
        <v>0</v>
      </c>
      <c r="BE70" s="49" t="str">
        <f ca="1"/>
        <v/>
      </c>
      <c r="BF70" s="143">
        <f ca="1"/>
        <v>0</v>
      </c>
      <c r="BG70" s="49" t="str">
        <f ca="1"/>
        <v/>
      </c>
      <c r="BH70" s="49" t="str">
        <f ca="1"/>
        <v/>
      </c>
      <c r="BI70" s="49"/>
      <c r="BJ70" s="49"/>
      <c r="BK70" s="49"/>
      <c r="BL70" s="49"/>
      <c r="BM70" s="285" t="str">
        <v/>
      </c>
      <c r="BN70" s="264">
        <v>0</v>
      </c>
      <c r="BO70" s="109" t="str">
        <f>IF(BO69="","",BN69)</f>
        <v/>
      </c>
      <c r="BP70" s="109" t="str">
        <v/>
      </c>
      <c r="BQ70" s="125"/>
      <c r="BR70" s="264" t="str">
        <v/>
      </c>
      <c r="BS70" s="264">
        <v>0</v>
      </c>
      <c r="BT70" s="109" t="str">
        <f>IF(BT69="","",BS69)</f>
        <v/>
      </c>
      <c r="BU70" s="109" t="str">
        <v/>
      </c>
      <c r="BV70" s="124"/>
      <c r="BW70" s="285" t="str">
        <v/>
      </c>
      <c r="BX70" s="264">
        <v>0</v>
      </c>
      <c r="BY70" s="102" t="str">
        <f>IF(BY69="","",BX69)</f>
        <v xml:space="preserve"> </v>
      </c>
      <c r="BZ70" s="102" t="str">
        <f t="shared" si="17"/>
        <v xml:space="preserve"> </v>
      </c>
      <c r="CA70" s="128">
        <f ca="1">IFERROR(__xludf.DUMMYFUNCTION("""COMPUTED_VALUE"""),65)</f>
        <v>65</v>
      </c>
      <c r="CB70" s="63">
        <f t="shared" ca="1" si="18"/>
        <v>65</v>
      </c>
      <c r="CC70" s="128"/>
      <c r="CD70" s="159"/>
      <c r="CE70" s="264" t="str">
        <v/>
      </c>
      <c r="CF70" s="264">
        <v>0</v>
      </c>
      <c r="CG70" s="113" t="str">
        <f>IF(CG69="","",CF69)</f>
        <v xml:space="preserve"> </v>
      </c>
      <c r="CH70" s="128" t="str">
        <v xml:space="preserve"> </v>
      </c>
      <c r="CI70" s="115">
        <f ca="1">IFERROR(__xludf.DUMMYFUNCTION("""COMPUTED_VALUE"""),65)</f>
        <v>65</v>
      </c>
      <c r="CJ70" s="49" t="str">
        <v/>
      </c>
      <c r="CK70" s="153">
        <v>0</v>
      </c>
      <c r="CL70" s="113" t="str">
        <f>IF(CL69="","",CK69)</f>
        <v xml:space="preserve"> </v>
      </c>
      <c r="CM70" s="49" t="str">
        <v xml:space="preserve"> </v>
      </c>
      <c r="CN70" s="49">
        <f ca="1">IFERROR(__xludf.DUMMYFUNCTION("""COMPUTED_VALUE"""),65)</f>
        <v>65</v>
      </c>
      <c r="CO70" s="264" t="str">
        <v/>
      </c>
      <c r="CP70" s="264">
        <v>0</v>
      </c>
      <c r="CQ70" s="113" t="str">
        <f>IF(CQ69="","",CP69)</f>
        <v xml:space="preserve"> </v>
      </c>
      <c r="CR70" s="49" t="str">
        <v xml:space="preserve"> </v>
      </c>
      <c r="CS70" s="152">
        <f ca="1">IFERROR(__xludf.DUMMYFUNCTION("""COMPUTED_VALUE"""),65)</f>
        <v>65</v>
      </c>
      <c r="CT70" s="264" t="str">
        <v/>
      </c>
      <c r="CU70" s="264">
        <v>0</v>
      </c>
      <c r="CV70" s="113" t="str">
        <f>IF(CV69="","",CU69)</f>
        <v xml:space="preserve"> </v>
      </c>
      <c r="CW70" s="49" t="str">
        <v xml:space="preserve"> </v>
      </c>
      <c r="CX70" s="49">
        <f ca="1">IFERROR(__xludf.DUMMYFUNCTION("""COMPUTED_VALUE"""),65)</f>
        <v>65</v>
      </c>
      <c r="CY70" s="49" t="str">
        <v/>
      </c>
      <c r="CZ70" s="49">
        <v>0</v>
      </c>
      <c r="DA70" s="113" t="str">
        <f>IF(DA69="","",CZ69)</f>
        <v xml:space="preserve"> </v>
      </c>
      <c r="DB70" s="49" t="str">
        <v xml:space="preserve"> </v>
      </c>
      <c r="DC70" s="49">
        <f ca="1">IFERROR(__xludf.DUMMYFUNCTION("""COMPUTED_VALUE"""),65)</f>
        <v>65</v>
      </c>
      <c r="DD70" s="49" t="str">
        <v/>
      </c>
      <c r="DE70" s="49"/>
      <c r="DF70" s="49"/>
      <c r="DG70" s="49"/>
      <c r="DH70" s="49"/>
    </row>
    <row r="71" spans="1:112" ht="13.5" hidden="1" customHeight="1">
      <c r="A71" s="78"/>
      <c r="B71" s="268">
        <v>33</v>
      </c>
      <c r="C71" s="270" t="e">
        <f>(VLOOKUP($B71,Пр.взв!$D$6:$J$63,2,0))</f>
        <v>#N/A</v>
      </c>
      <c r="D71" s="271" t="e">
        <f>(VLOOKUP($B71,Пр.взв!$D$6:$J$63,5,0))</f>
        <v>#N/A</v>
      </c>
      <c r="E71" s="272" t="e">
        <f>(VLOOKUP($B71,Пр.взв!$D$6:$M$63,8,0))</f>
        <v>#N/A</v>
      </c>
      <c r="F71" s="273"/>
      <c r="G71" s="169"/>
      <c r="H71" s="266"/>
      <c r="I71" s="169"/>
      <c r="J71" s="266" t="str">
        <f>IF(H71="Х","Х",IF($AC71&lt;6," ","Х"))</f>
        <v xml:space="preserve"> </v>
      </c>
      <c r="K71" s="87"/>
      <c r="L71" s="266" t="str">
        <f>IF(J71="Х","Х",IF(K71&lt;3," ",IF($AC71&lt;6," ","Х")))</f>
        <v xml:space="preserve"> </v>
      </c>
      <c r="M71" s="87"/>
      <c r="N71" s="266" t="str">
        <f>IF(L71="Х","Х",IF(M71&lt;3," ",IF($AC71&lt;6," ","Х")))</f>
        <v xml:space="preserve"> </v>
      </c>
      <c r="O71" s="87"/>
      <c r="P71" s="266" t="str">
        <f>IF(N71="Х","Х",IF(O71&lt;3," ",IF($AC71&lt;6," ","Х")))</f>
        <v xml:space="preserve"> </v>
      </c>
      <c r="Q71" s="87"/>
      <c r="R71" s="266" t="str">
        <f>IF(P71="Х","Х",IF(Q71&lt;3," ",IF($AC71&lt;6," ","Х")))</f>
        <v xml:space="preserve"> </v>
      </c>
      <c r="S71" s="87"/>
      <c r="T71" s="266" t="str">
        <f>IF(R71="Х","Х",IF(S71&lt;3," ",IF($AC71&lt;6," ","Х")))</f>
        <v xml:space="preserve"> </v>
      </c>
      <c r="U71" s="88"/>
      <c r="V71" s="266" t="str">
        <f>IF(T71="Х","Х",IF(U71&lt;3," ",IF($AC71&lt;6," ","Х")))</f>
        <v xml:space="preserve"> </v>
      </c>
      <c r="W71" s="88"/>
      <c r="X71" s="266" t="str">
        <f>IF(V71="А1",$AZ$7,IF(V71="Б2",$AZ$6,IF(V71="Б1",$BA$7,IF(V71="А2",$BA$6,IF(V71="Х","Х",IF(V71&lt;6," "," "))))))</f>
        <v xml:space="preserve"> </v>
      </c>
      <c r="Y71" s="89"/>
      <c r="Z71" s="266" t="str">
        <f>IF(V71="Х","Х",IF(ISBLANK(Y71),"",IF(Y71&gt;2.5," ",IF(B71=BB$6,BB$7,BB$6))))</f>
        <v/>
      </c>
      <c r="AA71" s="89"/>
      <c r="AB71" s="290" t="str">
        <f>IF(H71="Х",F$5,IF(J71="Х",H$5,IF(L71="Х",J$5,IF(N71="Х",L$5,IF(P71="Х",N$5,IF(R71="Х",P$5,IF(T71="Х",R$5,IF(X71="Х",T$5,""))))))))</f>
        <v/>
      </c>
      <c r="AC71" s="276">
        <f>SUM(G71+I71+K71+M71+O71+Q71+S71+U71+Y71+AA71)</f>
        <v>0</v>
      </c>
      <c r="AD71" s="291" t="str">
        <f>AF71</f>
        <v>27-71</v>
      </c>
      <c r="AE71" s="278" t="str">
        <f>AD71</f>
        <v>27-71</v>
      </c>
      <c r="AF71" s="280" t="str">
        <f>COUNTIF(AG$6:AG$148,"&gt;"&amp;AG$6:AG$148)+1&amp;REPT("-"&amp;COUNTIF(AG$6:AG$148,"&gt;="&amp;AG$6:AG$148),COUNTIF(AG$6:AG$148,AG71)&gt;1)</f>
        <v>27-71</v>
      </c>
      <c r="AG71" s="282">
        <f>(AR71*100)+(AP71*10)-AC71</f>
        <v>80</v>
      </c>
      <c r="AH71" s="288" t="str">
        <f>IF(OR(F71="Х",F71="св")," ",IF(AND(G71&gt;=0,G71&lt;3),"1"," "))</f>
        <v>1</v>
      </c>
      <c r="AI71" s="289" t="str">
        <f>IF(OR(H71="Х",H71="св")," ",IF(AND(I71&gt;=0,I71&lt;3),"1"," "))</f>
        <v>1</v>
      </c>
      <c r="AJ71" s="289" t="str">
        <f>IF(OR(J71="Х",J71="св")," ",IF(AND(K71&gt;=0,K71&lt;3),"1"," "))</f>
        <v>1</v>
      </c>
      <c r="AK71" s="289" t="str">
        <f>IF(OR(L71="Х",L71="св")," ",IF(AND(M71&gt;=0,M71&lt;3),"1"," "))</f>
        <v>1</v>
      </c>
      <c r="AL71" s="289" t="str">
        <f>IF(OR(N71="Х",N71="св")," ",IF(AND(O71&gt;=0,O71&lt;3),"1"," "))</f>
        <v>1</v>
      </c>
      <c r="AM71" s="289" t="str">
        <f>IF(OR(P71="Х",P71="св")," ",IF(AND(Q71&gt;=0,Q71&lt;3),"1"," "))</f>
        <v>1</v>
      </c>
      <c r="AN71" s="289" t="str">
        <f>IF(OR(R71="Х",R71="св")," ",IF(AND(S71&gt;=0,S71&lt;3),"1"," "))</f>
        <v>1</v>
      </c>
      <c r="AO71" s="289" t="str">
        <f>IF(OR(T71="Х",T71="св")," ",IF(AND(U71&gt;=0,U71&lt;3),"1"," "))</f>
        <v>1</v>
      </c>
      <c r="AP71" s="289">
        <f>COUNTIF(AH71:AO72,1)</f>
        <v>8</v>
      </c>
      <c r="AQ71" s="289">
        <f>AG71-AC71</f>
        <v>80</v>
      </c>
      <c r="AR71" s="292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289" t="str">
        <f>COUNTIF(AG$6:AG$134,"&gt;"&amp;AG$6:AG$134)+1&amp;REPT("-"&amp;COUNTIF(AG$6:AG$134,"&gt;="&amp;AG$6:AG$134),COUNTIF(AG$6:AG$134,AG71)&gt;1)</f>
        <v>27-64</v>
      </c>
      <c r="AT71" s="288" t="str">
        <f t="shared" ref="AT71:AW71" si="37">COUNTIF(AU$6:AU$134,"&gt;"&amp;AU$6:AU$134)+1&amp;REPT("-"&amp;COUNTIF(AU$6:AU$134,"&gt;="&amp;AU$6:AU$134),COUNTIF(AU$6:AU$134,AU71)&gt;1)</f>
        <v>1-64</v>
      </c>
      <c r="AU71" s="288" t="str">
        <f t="shared" si="37"/>
        <v>1-0</v>
      </c>
      <c r="AV71" s="288" t="str">
        <f t="shared" si="37"/>
        <v>1</v>
      </c>
      <c r="AW71" s="288" t="str">
        <f t="shared" si="37"/>
        <v>32</v>
      </c>
      <c r="AX71" s="293">
        <f>IF(X71="Х","Х",IF(Y71&lt;3,B71,"Х"))</f>
        <v>33</v>
      </c>
      <c r="AY71" s="92" t="str">
        <f ca="1"/>
        <v/>
      </c>
      <c r="AZ71" s="92"/>
      <c r="BA71" s="92" t="str">
        <f ca="1"/>
        <v/>
      </c>
      <c r="BB71" s="92"/>
      <c r="BC71" s="49" t="str">
        <f ca="1"/>
        <v/>
      </c>
      <c r="BD71" s="144">
        <f ca="1"/>
        <v>0</v>
      </c>
      <c r="BE71" s="49" t="str">
        <f ca="1"/>
        <v/>
      </c>
      <c r="BF71" s="143">
        <f ca="1"/>
        <v>0</v>
      </c>
      <c r="BG71" s="49" t="str">
        <f ca="1"/>
        <v/>
      </c>
      <c r="BH71" s="49" t="str">
        <f ca="1"/>
        <v/>
      </c>
      <c r="BI71" s="49"/>
      <c r="BJ71" s="49"/>
      <c r="BK71" s="49"/>
      <c r="BL71" s="49"/>
      <c r="BM71" s="294">
        <v>33</v>
      </c>
      <c r="BN71" s="287">
        <v>0</v>
      </c>
      <c r="BO71" s="98" t="str">
        <f>IF(BM71&lt;BN71,BM71,"")</f>
        <v/>
      </c>
      <c r="BP71" s="124" t="str">
        <v/>
      </c>
      <c r="BQ71" s="125"/>
      <c r="BR71" s="295" t="str">
        <v/>
      </c>
      <c r="BS71" s="287">
        <v>0</v>
      </c>
      <c r="BT71" s="109" t="str">
        <f>IF(BR71&lt;BS71,BR71,"")</f>
        <v/>
      </c>
      <c r="BU71" s="124" t="str">
        <v/>
      </c>
      <c r="BV71" s="124"/>
      <c r="BW71" s="284">
        <v>33</v>
      </c>
      <c r="BX71" s="286" t="str">
        <v xml:space="preserve"> </v>
      </c>
      <c r="BY71" s="102">
        <f t="array" ref="BY71">IF(BW71&lt;BX71,BW71,"")</f>
        <v>33</v>
      </c>
      <c r="BZ71" s="102">
        <f t="shared" si="17"/>
        <v>33</v>
      </c>
      <c r="CA71" s="63">
        <f ca="1">IFERROR(__xludf.DUMMYFUNCTION("""COMPUTED_VALUE"""),66)</f>
        <v>66</v>
      </c>
      <c r="CB71" s="63">
        <f t="shared" ca="1" si="18"/>
        <v>66</v>
      </c>
      <c r="CC71" s="128"/>
      <c r="CD71" s="159"/>
      <c r="CE71" s="286">
        <v>33</v>
      </c>
      <c r="CF71" s="296" t="str">
        <v xml:space="preserve"> </v>
      </c>
      <c r="CG71" s="98">
        <f t="array" ref="CG71">IF(CE71&lt;CF71,CE71,"")</f>
        <v>33</v>
      </c>
      <c r="CH71" s="63">
        <v>33</v>
      </c>
      <c r="CI71" s="115">
        <f ca="1">IFERROR(__xludf.DUMMYFUNCTION("""COMPUTED_VALUE"""),66)</f>
        <v>66</v>
      </c>
      <c r="CJ71" s="65">
        <v>33</v>
      </c>
      <c r="CK71" s="151" t="str">
        <v xml:space="preserve"> </v>
      </c>
      <c r="CL71" s="98">
        <f t="array" ref="CL71">IF(CJ71&lt;CK71,CJ71,"")</f>
        <v>33</v>
      </c>
      <c r="CM71" s="49">
        <v>33</v>
      </c>
      <c r="CN71" s="49">
        <f ca="1">IFERROR(__xludf.DUMMYFUNCTION("""COMPUTED_VALUE"""),66)</f>
        <v>66</v>
      </c>
      <c r="CO71" s="286">
        <v>33</v>
      </c>
      <c r="CP71" s="286" t="str">
        <v xml:space="preserve"> </v>
      </c>
      <c r="CQ71" s="98">
        <f t="array" ref="CQ71">IF(CO71&lt;CP71,CO71,"")</f>
        <v>33</v>
      </c>
      <c r="CR71" s="65">
        <v>33</v>
      </c>
      <c r="CS71" s="152">
        <f ca="1">IFERROR(__xludf.DUMMYFUNCTION("""COMPUTED_VALUE"""),66)</f>
        <v>66</v>
      </c>
      <c r="CT71" s="286">
        <v>33</v>
      </c>
      <c r="CU71" s="286" t="str">
        <v xml:space="preserve"> </v>
      </c>
      <c r="CV71" s="98">
        <f t="array" ref="CV71">IF(CT71&lt;CU71,CT71,"")</f>
        <v>33</v>
      </c>
      <c r="CW71" s="49">
        <v>33</v>
      </c>
      <c r="CX71" s="49">
        <f ca="1">IFERROR(__xludf.DUMMYFUNCTION("""COMPUTED_VALUE"""),66)</f>
        <v>66</v>
      </c>
      <c r="CY71" s="49">
        <v>33</v>
      </c>
      <c r="CZ71" s="49" t="str">
        <v xml:space="preserve"> </v>
      </c>
      <c r="DA71" s="98">
        <f t="array" ref="DA71">IF(CY71&lt;CZ71,CY71,"")</f>
        <v>33</v>
      </c>
      <c r="DB71" s="49">
        <v>33</v>
      </c>
      <c r="DC71" s="49">
        <f ca="1">IFERROR(__xludf.DUMMYFUNCTION("""COMPUTED_VALUE"""),66)</f>
        <v>66</v>
      </c>
      <c r="DD71" s="49">
        <v>33</v>
      </c>
      <c r="DE71" s="49"/>
      <c r="DF71" s="49"/>
      <c r="DG71" s="49"/>
      <c r="DH71" s="49"/>
    </row>
    <row r="72" spans="1:112" ht="13.5" hidden="1" customHeight="1">
      <c r="A72" s="78"/>
      <c r="B72" s="269"/>
      <c r="C72" s="269"/>
      <c r="D72" s="269"/>
      <c r="E72" s="269"/>
      <c r="F72" s="274"/>
      <c r="G72" s="106"/>
      <c r="H72" s="267"/>
      <c r="I72" s="106"/>
      <c r="J72" s="267"/>
      <c r="K72" s="106"/>
      <c r="L72" s="267"/>
      <c r="M72" s="106"/>
      <c r="N72" s="267"/>
      <c r="O72" s="106"/>
      <c r="P72" s="267"/>
      <c r="Q72" s="106"/>
      <c r="R72" s="267"/>
      <c r="S72" s="106"/>
      <c r="T72" s="267"/>
      <c r="U72" s="107"/>
      <c r="V72" s="267"/>
      <c r="W72" s="107"/>
      <c r="X72" s="267"/>
      <c r="Y72" s="106"/>
      <c r="Z72" s="267"/>
      <c r="AA72" s="106"/>
      <c r="AB72" s="274"/>
      <c r="AC72" s="269"/>
      <c r="AD72" s="267"/>
      <c r="AE72" s="279"/>
      <c r="AF72" s="281"/>
      <c r="AG72" s="283"/>
      <c r="AH72" s="283"/>
      <c r="AI72" s="283"/>
      <c r="AJ72" s="283"/>
      <c r="AK72" s="283"/>
      <c r="AL72" s="283"/>
      <c r="AM72" s="283"/>
      <c r="AN72" s="283"/>
      <c r="AO72" s="283"/>
      <c r="AP72" s="283"/>
      <c r="AQ72" s="283"/>
      <c r="AR72" s="283"/>
      <c r="AS72" s="283"/>
      <c r="AT72" s="283"/>
      <c r="AU72" s="283"/>
      <c r="AV72" s="283"/>
      <c r="AW72" s="283"/>
      <c r="AX72" s="264"/>
      <c r="AY72" s="92" t="str">
        <f ca="1"/>
        <v/>
      </c>
      <c r="AZ72" s="92"/>
      <c r="BA72" s="92" t="str">
        <f ca="1"/>
        <v/>
      </c>
      <c r="BB72" s="92"/>
      <c r="BC72" s="49" t="str">
        <f ca="1"/>
        <v/>
      </c>
      <c r="BD72" s="144">
        <f ca="1"/>
        <v>0</v>
      </c>
      <c r="BE72" s="49" t="str">
        <f ca="1"/>
        <v/>
      </c>
      <c r="BF72" s="143">
        <f ca="1"/>
        <v>0</v>
      </c>
      <c r="BG72" s="49" t="str">
        <f ca="1"/>
        <v/>
      </c>
      <c r="BH72" s="49" t="str">
        <f ca="1"/>
        <v/>
      </c>
      <c r="BI72" s="49"/>
      <c r="BJ72" s="49"/>
      <c r="BK72" s="49"/>
      <c r="BL72" s="49"/>
      <c r="BM72" s="285" t="str">
        <v/>
      </c>
      <c r="BN72" s="264">
        <v>0</v>
      </c>
      <c r="BO72" s="109" t="str">
        <f>IF(BO71="","",BN71)</f>
        <v/>
      </c>
      <c r="BP72" s="109" t="str">
        <v/>
      </c>
      <c r="BQ72" s="125"/>
      <c r="BR72" s="264" t="str">
        <v/>
      </c>
      <c r="BS72" s="264">
        <v>0</v>
      </c>
      <c r="BT72" s="109" t="str">
        <f>IF(BT71="","",BS71)</f>
        <v/>
      </c>
      <c r="BU72" s="109" t="str">
        <v/>
      </c>
      <c r="BV72" s="124"/>
      <c r="BW72" s="285" t="str">
        <v/>
      </c>
      <c r="BX72" s="264">
        <v>0</v>
      </c>
      <c r="BY72" s="102" t="str">
        <f>IF(BY71="","",BX71)</f>
        <v xml:space="preserve"> </v>
      </c>
      <c r="BZ72" s="102" t="str">
        <f t="shared" si="17"/>
        <v xml:space="preserve"> </v>
      </c>
      <c r="CA72" s="128">
        <f ca="1">IFERROR(__xludf.DUMMYFUNCTION("""COMPUTED_VALUE"""),67)</f>
        <v>67</v>
      </c>
      <c r="CB72" s="63">
        <f t="shared" ca="1" si="18"/>
        <v>67</v>
      </c>
      <c r="CC72" s="128"/>
      <c r="CD72" s="159"/>
      <c r="CE72" s="264" t="str">
        <v/>
      </c>
      <c r="CF72" s="264">
        <v>0</v>
      </c>
      <c r="CG72" s="113" t="str">
        <f>IF(CG71="","",CF71)</f>
        <v xml:space="preserve"> </v>
      </c>
      <c r="CH72" s="128" t="str">
        <v xml:space="preserve"> </v>
      </c>
      <c r="CI72" s="115">
        <f ca="1">IFERROR(__xludf.DUMMYFUNCTION("""COMPUTED_VALUE"""),67)</f>
        <v>67</v>
      </c>
      <c r="CJ72" s="49" t="str">
        <v/>
      </c>
      <c r="CK72" s="153">
        <v>0</v>
      </c>
      <c r="CL72" s="113" t="str">
        <f>IF(CL71="","",CK71)</f>
        <v xml:space="preserve"> </v>
      </c>
      <c r="CM72" s="49" t="str">
        <v xml:space="preserve"> </v>
      </c>
      <c r="CN72" s="49">
        <f ca="1">IFERROR(__xludf.DUMMYFUNCTION("""COMPUTED_VALUE"""),67)</f>
        <v>67</v>
      </c>
      <c r="CO72" s="264" t="str">
        <v/>
      </c>
      <c r="CP72" s="264">
        <v>0</v>
      </c>
      <c r="CQ72" s="113" t="str">
        <f>IF(CQ71="","",CP71)</f>
        <v xml:space="preserve"> </v>
      </c>
      <c r="CR72" s="49" t="str">
        <v xml:space="preserve"> </v>
      </c>
      <c r="CS72" s="152">
        <f ca="1">IFERROR(__xludf.DUMMYFUNCTION("""COMPUTED_VALUE"""),67)</f>
        <v>67</v>
      </c>
      <c r="CT72" s="264" t="str">
        <v/>
      </c>
      <c r="CU72" s="264">
        <v>0</v>
      </c>
      <c r="CV72" s="113" t="str">
        <f>IF(CV71="","",CU71)</f>
        <v xml:space="preserve"> </v>
      </c>
      <c r="CW72" s="49" t="str">
        <v xml:space="preserve"> </v>
      </c>
      <c r="CX72" s="49">
        <f ca="1">IFERROR(__xludf.DUMMYFUNCTION("""COMPUTED_VALUE"""),67)</f>
        <v>67</v>
      </c>
      <c r="CY72" s="49" t="str">
        <v/>
      </c>
      <c r="CZ72" s="49">
        <v>0</v>
      </c>
      <c r="DA72" s="113" t="str">
        <f>IF(DA71="","",CZ71)</f>
        <v xml:space="preserve"> </v>
      </c>
      <c r="DB72" s="49" t="str">
        <v xml:space="preserve"> </v>
      </c>
      <c r="DC72" s="49">
        <f ca="1">IFERROR(__xludf.DUMMYFUNCTION("""COMPUTED_VALUE"""),67)</f>
        <v>67</v>
      </c>
      <c r="DD72" s="49" t="str">
        <v/>
      </c>
      <c r="DE72" s="49"/>
      <c r="DF72" s="49"/>
      <c r="DG72" s="49"/>
      <c r="DH72" s="49"/>
    </row>
    <row r="73" spans="1:112" ht="13.5" hidden="1" customHeight="1">
      <c r="A73" s="54"/>
      <c r="B73" s="268">
        <v>34</v>
      </c>
      <c r="C73" s="270" t="e">
        <f>(VLOOKUP($B73,Пр.взв!$D$6:$J$63,2,0))</f>
        <v>#N/A</v>
      </c>
      <c r="D73" s="271" t="e">
        <f>(VLOOKUP($B73,Пр.взв!$D$6:$J$63,5,0))</f>
        <v>#N/A</v>
      </c>
      <c r="E73" s="272" t="e">
        <f>(VLOOKUP($B73,Пр.взв!$D$6:$M$63,8,0))</f>
        <v>#N/A</v>
      </c>
      <c r="F73" s="273"/>
      <c r="G73" s="87"/>
      <c r="H73" s="266"/>
      <c r="I73" s="89"/>
      <c r="J73" s="266" t="str">
        <f>IF(H73="Х","Х",IF($AC73&lt;6," ","Х"))</f>
        <v xml:space="preserve"> </v>
      </c>
      <c r="K73" s="87"/>
      <c r="L73" s="266" t="str">
        <f>IF(J73="Х","Х",IF(K73&lt;3," ",IF($AC73&lt;6," ","Х")))</f>
        <v xml:space="preserve"> </v>
      </c>
      <c r="M73" s="87"/>
      <c r="N73" s="266" t="str">
        <f>IF(L73="Х","Х",IF(M73&lt;3," ",IF($AC73&lt;6," ","Х")))</f>
        <v xml:space="preserve"> </v>
      </c>
      <c r="O73" s="87"/>
      <c r="P73" s="266" t="str">
        <f>IF(N73="Х","Х",IF(O73&lt;3," ",IF($AC73&lt;6," ","Х")))</f>
        <v xml:space="preserve"> </v>
      </c>
      <c r="Q73" s="87"/>
      <c r="R73" s="266" t="str">
        <f>IF(P73="Х","Х",IF(Q73&lt;3," ",IF($AC73&lt;6," ","Х")))</f>
        <v xml:space="preserve"> </v>
      </c>
      <c r="S73" s="87"/>
      <c r="T73" s="266" t="str">
        <f>IF(R73="Х","Х",IF(S73&lt;3," ",IF($AC73&lt;6," ","Х")))</f>
        <v xml:space="preserve"> </v>
      </c>
      <c r="U73" s="88"/>
      <c r="V73" s="266" t="str">
        <f>IF(T73="Х","Х",IF(U73&lt;3," ",IF($AC73&lt;6," ","Х")))</f>
        <v xml:space="preserve"> </v>
      </c>
      <c r="W73" s="88"/>
      <c r="X73" s="266" t="str">
        <f>IF(V73="А1",$AZ$7,IF(V73="Б2",$AZ$6,IF(V73="Б1",$BA$7,IF(V73="А2",$BA$6,IF(V73="Х","Х",IF(V73&lt;6," "," "))))))</f>
        <v xml:space="preserve"> </v>
      </c>
      <c r="Y73" s="89"/>
      <c r="Z73" s="266" t="str">
        <f>IF(V73="Х","Х",IF(ISBLANK(Y73),"",IF(Y73&gt;2.5," ",IF(B73=BB$6,BB$7,BB$6))))</f>
        <v/>
      </c>
      <c r="AA73" s="89"/>
      <c r="AB73" s="290" t="str">
        <f>IF(H73="Х",F$5,IF(J73="Х",H$5,IF(L73="Х",J$5,IF(N73="Х",L$5,IF(P73="Х",N$5,IF(R73="Х",P$5,IF(T73="Х",R$5,IF(X73="Х",T$5,""))))))))</f>
        <v/>
      </c>
      <c r="AC73" s="276">
        <f>SUM(G73+I73+K73+M73+O73+Q73+S73+U73+Y73+AA73)</f>
        <v>0</v>
      </c>
      <c r="AD73" s="291" t="str">
        <f>AF73</f>
        <v>27-71</v>
      </c>
      <c r="AE73" s="278" t="str">
        <f>AD73</f>
        <v>27-71</v>
      </c>
      <c r="AF73" s="280" t="str">
        <f>COUNTIF(AG$6:AG$148,"&gt;"&amp;AG$6:AG$148)+1&amp;REPT("-"&amp;COUNTIF(AG$6:AG$148,"&gt;="&amp;AG$6:AG$148),COUNTIF(AG$6:AG$148,AG73)&gt;1)</f>
        <v>27-71</v>
      </c>
      <c r="AG73" s="282">
        <f>(AR73*100)+(AP73*10)-AC73</f>
        <v>80</v>
      </c>
      <c r="AH73" s="288" t="str">
        <f>IF(OR(F73="Х",F73="св")," ",IF(AND(G73&gt;=0,G73&lt;3),"1"," "))</f>
        <v>1</v>
      </c>
      <c r="AI73" s="289" t="str">
        <f>IF(OR(H73="Х",H73="св")," ",IF(AND(I73&gt;=0,I73&lt;3),"1"," "))</f>
        <v>1</v>
      </c>
      <c r="AJ73" s="289" t="str">
        <f>IF(OR(J73="Х",J73="св")," ",IF(AND(K73&gt;=0,K73&lt;3),"1"," "))</f>
        <v>1</v>
      </c>
      <c r="AK73" s="289" t="str">
        <f>IF(OR(L73="Х",L73="св")," ",IF(AND(M73&gt;=0,M73&lt;3),"1"," "))</f>
        <v>1</v>
      </c>
      <c r="AL73" s="289" t="str">
        <f>IF(OR(N73="Х",N73="св")," ",IF(AND(O73&gt;=0,O73&lt;3),"1"," "))</f>
        <v>1</v>
      </c>
      <c r="AM73" s="289" t="str">
        <f>IF(OR(P73="Х",P73="св")," ",IF(AND(Q73&gt;=0,Q73&lt;3),"1"," "))</f>
        <v>1</v>
      </c>
      <c r="AN73" s="289" t="str">
        <f>IF(OR(R73="Х",R73="св")," ",IF(AND(S73&gt;=0,S73&lt;3),"1"," "))</f>
        <v>1</v>
      </c>
      <c r="AO73" s="289" t="str">
        <f>IF(OR(T73="Х",T73="св")," ",IF(AND(U73&gt;=0,U73&lt;3),"1"," "))</f>
        <v>1</v>
      </c>
      <c r="AP73" s="289">
        <f>COUNTIF(AH73:AO74,1)</f>
        <v>8</v>
      </c>
      <c r="AQ73" s="289">
        <f>AG73-AC73</f>
        <v>80</v>
      </c>
      <c r="AR73" s="292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289" t="str">
        <f>COUNTIF(AG$6:AG$134,"&gt;"&amp;AG$6:AG$134)+1&amp;REPT("-"&amp;COUNTIF(AG$6:AG$134,"&gt;="&amp;AG$6:AG$134),COUNTIF(AG$6:AG$134,AG73)&gt;1)</f>
        <v>27-64</v>
      </c>
      <c r="AT73" s="288" t="str">
        <f t="shared" ref="AT73:AW73" si="38">COUNTIF(AU$6:AU$134,"&gt;"&amp;AU$6:AU$134)+1&amp;REPT("-"&amp;COUNTIF(AU$6:AU$134,"&gt;="&amp;AU$6:AU$134),COUNTIF(AU$6:AU$134,AU73)&gt;1)</f>
        <v>1-64</v>
      </c>
      <c r="AU73" s="288" t="str">
        <f t="shared" si="38"/>
        <v>1-0</v>
      </c>
      <c r="AV73" s="288" t="str">
        <f t="shared" si="38"/>
        <v>1</v>
      </c>
      <c r="AW73" s="288" t="str">
        <f t="shared" si="38"/>
        <v>31</v>
      </c>
      <c r="AX73" s="293">
        <f>IF(X73="Х","Х",IF(Y73&lt;3,B73,"Х"))</f>
        <v>34</v>
      </c>
      <c r="AY73" s="92" t="str">
        <f ca="1"/>
        <v/>
      </c>
      <c r="AZ73" s="92"/>
      <c r="BA73" s="92" t="str">
        <f ca="1"/>
        <v/>
      </c>
      <c r="BB73" s="92"/>
      <c r="BC73" s="49" t="str">
        <f ca="1"/>
        <v/>
      </c>
      <c r="BD73" s="144">
        <f ca="1"/>
        <v>0</v>
      </c>
      <c r="BE73" s="49" t="str">
        <f ca="1"/>
        <v/>
      </c>
      <c r="BF73" s="143">
        <f ca="1"/>
        <v>0</v>
      </c>
      <c r="BG73" s="49" t="str">
        <f ca="1"/>
        <v/>
      </c>
      <c r="BH73" s="49" t="str">
        <f ca="1"/>
        <v/>
      </c>
      <c r="BI73" s="49"/>
      <c r="BJ73" s="49"/>
      <c r="BK73" s="49"/>
      <c r="BL73" s="49"/>
      <c r="BM73" s="294">
        <v>34</v>
      </c>
      <c r="BN73" s="287">
        <v>0</v>
      </c>
      <c r="BO73" s="98" t="str">
        <f>IF(BM73&lt;BN73,BM73,"")</f>
        <v/>
      </c>
      <c r="BP73" s="124" t="str">
        <v/>
      </c>
      <c r="BQ73" s="125"/>
      <c r="BR73" s="295" t="str">
        <v/>
      </c>
      <c r="BS73" s="287">
        <v>0</v>
      </c>
      <c r="BT73" s="109" t="str">
        <f>IF(BR73&lt;BS73,BR73,"")</f>
        <v/>
      </c>
      <c r="BU73" s="124" t="str">
        <v/>
      </c>
      <c r="BV73" s="124"/>
      <c r="BW73" s="284">
        <v>34</v>
      </c>
      <c r="BX73" s="286" t="str">
        <v xml:space="preserve"> </v>
      </c>
      <c r="BY73" s="102">
        <f t="array" ref="BY73">IF(BW73&lt;BX73,BW73,"")</f>
        <v>34</v>
      </c>
      <c r="BZ73" s="102">
        <f t="shared" si="17"/>
        <v>34</v>
      </c>
      <c r="CA73" s="63">
        <f ca="1">IFERROR(__xludf.DUMMYFUNCTION("""COMPUTED_VALUE"""),68)</f>
        <v>68</v>
      </c>
      <c r="CB73" s="63">
        <f t="shared" ca="1" si="18"/>
        <v>68</v>
      </c>
      <c r="CC73" s="128"/>
      <c r="CD73" s="159"/>
      <c r="CE73" s="286">
        <v>34</v>
      </c>
      <c r="CF73" s="296" t="str">
        <v xml:space="preserve"> </v>
      </c>
      <c r="CG73" s="98">
        <f t="array" ref="CG73">IF(CE73&lt;CF73,CE73,"")</f>
        <v>34</v>
      </c>
      <c r="CH73" s="63">
        <v>34</v>
      </c>
      <c r="CI73" s="115">
        <f ca="1">IFERROR(__xludf.DUMMYFUNCTION("""COMPUTED_VALUE"""),68)</f>
        <v>68</v>
      </c>
      <c r="CJ73" s="65">
        <v>34</v>
      </c>
      <c r="CK73" s="151" t="str">
        <v xml:space="preserve"> </v>
      </c>
      <c r="CL73" s="98">
        <f t="array" ref="CL73">IF(CJ73&lt;CK73,CJ73,"")</f>
        <v>34</v>
      </c>
      <c r="CM73" s="49">
        <v>34</v>
      </c>
      <c r="CN73" s="49">
        <f ca="1">IFERROR(__xludf.DUMMYFUNCTION("""COMPUTED_VALUE"""),68)</f>
        <v>68</v>
      </c>
      <c r="CO73" s="286">
        <v>34</v>
      </c>
      <c r="CP73" s="286" t="str">
        <v xml:space="preserve"> </v>
      </c>
      <c r="CQ73" s="98">
        <f t="array" ref="CQ73">IF(CO73&lt;CP73,CO73,"")</f>
        <v>34</v>
      </c>
      <c r="CR73" s="65">
        <v>34</v>
      </c>
      <c r="CS73" s="152">
        <f ca="1">IFERROR(__xludf.DUMMYFUNCTION("""COMPUTED_VALUE"""),68)</f>
        <v>68</v>
      </c>
      <c r="CT73" s="286">
        <v>34</v>
      </c>
      <c r="CU73" s="286" t="str">
        <v xml:space="preserve"> </v>
      </c>
      <c r="CV73" s="98">
        <f t="array" ref="CV73">IF(CT73&lt;CU73,CT73,"")</f>
        <v>34</v>
      </c>
      <c r="CW73" s="49">
        <v>34</v>
      </c>
      <c r="CX73" s="49">
        <f ca="1">IFERROR(__xludf.DUMMYFUNCTION("""COMPUTED_VALUE"""),68)</f>
        <v>68</v>
      </c>
      <c r="CY73" s="49">
        <v>34</v>
      </c>
      <c r="CZ73" s="49" t="str">
        <v xml:space="preserve"> </v>
      </c>
      <c r="DA73" s="98">
        <f t="array" ref="DA73">IF(CY73&lt;CZ73,CY73,"")</f>
        <v>34</v>
      </c>
      <c r="DB73" s="49">
        <v>34</v>
      </c>
      <c r="DC73" s="49">
        <f ca="1">IFERROR(__xludf.DUMMYFUNCTION("""COMPUTED_VALUE"""),68)</f>
        <v>68</v>
      </c>
      <c r="DD73" s="49">
        <v>34</v>
      </c>
      <c r="DE73" s="49"/>
      <c r="DF73" s="49"/>
      <c r="DG73" s="49"/>
      <c r="DH73" s="49"/>
    </row>
    <row r="74" spans="1:112" ht="13.5" hidden="1" customHeight="1">
      <c r="A74" s="54"/>
      <c r="B74" s="269"/>
      <c r="C74" s="269"/>
      <c r="D74" s="269"/>
      <c r="E74" s="269"/>
      <c r="F74" s="274"/>
      <c r="G74" s="106"/>
      <c r="H74" s="267"/>
      <c r="I74" s="106"/>
      <c r="J74" s="267"/>
      <c r="K74" s="106"/>
      <c r="L74" s="267"/>
      <c r="M74" s="106"/>
      <c r="N74" s="267"/>
      <c r="O74" s="106"/>
      <c r="P74" s="267"/>
      <c r="Q74" s="106"/>
      <c r="R74" s="267"/>
      <c r="S74" s="106"/>
      <c r="T74" s="267"/>
      <c r="U74" s="107"/>
      <c r="V74" s="267"/>
      <c r="W74" s="107"/>
      <c r="X74" s="267"/>
      <c r="Y74" s="106"/>
      <c r="Z74" s="267"/>
      <c r="AA74" s="106"/>
      <c r="AB74" s="274"/>
      <c r="AC74" s="269"/>
      <c r="AD74" s="267"/>
      <c r="AE74" s="279"/>
      <c r="AF74" s="281"/>
      <c r="AG74" s="283"/>
      <c r="AH74" s="283"/>
      <c r="AI74" s="283"/>
      <c r="AJ74" s="283"/>
      <c r="AK74" s="283"/>
      <c r="AL74" s="283"/>
      <c r="AM74" s="283"/>
      <c r="AN74" s="283"/>
      <c r="AO74" s="283"/>
      <c r="AP74" s="283"/>
      <c r="AQ74" s="283"/>
      <c r="AR74" s="283"/>
      <c r="AS74" s="283"/>
      <c r="AT74" s="283"/>
      <c r="AU74" s="283"/>
      <c r="AV74" s="283"/>
      <c r="AW74" s="283"/>
      <c r="AX74" s="264"/>
      <c r="AY74" s="92" t="str">
        <f ca="1"/>
        <v/>
      </c>
      <c r="AZ74" s="92"/>
      <c r="BA74" s="92" t="str">
        <f ca="1"/>
        <v/>
      </c>
      <c r="BB74" s="92"/>
      <c r="BC74" s="49" t="str">
        <f ca="1"/>
        <v/>
      </c>
      <c r="BD74" s="144">
        <f ca="1"/>
        <v>0</v>
      </c>
      <c r="BE74" s="49" t="str">
        <f ca="1"/>
        <v/>
      </c>
      <c r="BF74" s="143">
        <f ca="1"/>
        <v>0</v>
      </c>
      <c r="BG74" s="49" t="str">
        <f ca="1"/>
        <v/>
      </c>
      <c r="BH74" s="49" t="str">
        <f ca="1"/>
        <v/>
      </c>
      <c r="BI74" s="49"/>
      <c r="BJ74" s="49"/>
      <c r="BK74" s="49"/>
      <c r="BL74" s="49"/>
      <c r="BM74" s="285" t="str">
        <v/>
      </c>
      <c r="BN74" s="264">
        <v>0</v>
      </c>
      <c r="BO74" s="109" t="str">
        <f>IF(BO73="","",BN73)</f>
        <v/>
      </c>
      <c r="BP74" s="109" t="str">
        <v/>
      </c>
      <c r="BQ74" s="125"/>
      <c r="BR74" s="264" t="str">
        <v/>
      </c>
      <c r="BS74" s="264">
        <v>0</v>
      </c>
      <c r="BT74" s="109" t="str">
        <f>IF(BT73="","",BS73)</f>
        <v/>
      </c>
      <c r="BU74" s="109" t="str">
        <v/>
      </c>
      <c r="BV74" s="124"/>
      <c r="BW74" s="285" t="str">
        <v/>
      </c>
      <c r="BX74" s="264">
        <v>0</v>
      </c>
      <c r="BY74" s="102" t="str">
        <f>IF(BY73="","",BX73)</f>
        <v xml:space="preserve"> </v>
      </c>
      <c r="BZ74" s="102" t="str">
        <f t="shared" si="17"/>
        <v xml:space="preserve"> </v>
      </c>
      <c r="CA74" s="128">
        <f ca="1">IFERROR(__xludf.DUMMYFUNCTION("""COMPUTED_VALUE"""),69)</f>
        <v>69</v>
      </c>
      <c r="CB74" s="63">
        <f t="shared" ca="1" si="18"/>
        <v>69</v>
      </c>
      <c r="CC74" s="128"/>
      <c r="CD74" s="159"/>
      <c r="CE74" s="264" t="str">
        <v/>
      </c>
      <c r="CF74" s="264">
        <v>0</v>
      </c>
      <c r="CG74" s="113" t="str">
        <f>IF(CG73="","",CF73)</f>
        <v xml:space="preserve"> </v>
      </c>
      <c r="CH74" s="128" t="str">
        <v xml:space="preserve"> </v>
      </c>
      <c r="CI74" s="115">
        <f ca="1">IFERROR(__xludf.DUMMYFUNCTION("""COMPUTED_VALUE"""),69)</f>
        <v>69</v>
      </c>
      <c r="CJ74" s="49" t="str">
        <v/>
      </c>
      <c r="CK74" s="153">
        <v>0</v>
      </c>
      <c r="CL74" s="113" t="str">
        <f>IF(CL73="","",CK73)</f>
        <v xml:space="preserve"> </v>
      </c>
      <c r="CM74" s="49" t="str">
        <v xml:space="preserve"> </v>
      </c>
      <c r="CN74" s="49">
        <f ca="1">IFERROR(__xludf.DUMMYFUNCTION("""COMPUTED_VALUE"""),69)</f>
        <v>69</v>
      </c>
      <c r="CO74" s="264" t="str">
        <v/>
      </c>
      <c r="CP74" s="264">
        <v>0</v>
      </c>
      <c r="CQ74" s="113" t="str">
        <f>IF(CQ73="","",CP73)</f>
        <v xml:space="preserve"> </v>
      </c>
      <c r="CR74" s="49" t="str">
        <v xml:space="preserve"> </v>
      </c>
      <c r="CS74" s="152">
        <f ca="1">IFERROR(__xludf.DUMMYFUNCTION("""COMPUTED_VALUE"""),69)</f>
        <v>69</v>
      </c>
      <c r="CT74" s="264" t="str">
        <v/>
      </c>
      <c r="CU74" s="264">
        <v>0</v>
      </c>
      <c r="CV74" s="113" t="str">
        <f>IF(CV73="","",CU73)</f>
        <v xml:space="preserve"> </v>
      </c>
      <c r="CW74" s="49" t="str">
        <v xml:space="preserve"> </v>
      </c>
      <c r="CX74" s="49">
        <f ca="1">IFERROR(__xludf.DUMMYFUNCTION("""COMPUTED_VALUE"""),69)</f>
        <v>69</v>
      </c>
      <c r="CY74" s="49" t="str">
        <v/>
      </c>
      <c r="CZ74" s="49">
        <v>0</v>
      </c>
      <c r="DA74" s="113" t="str">
        <f>IF(DA73="","",CZ73)</f>
        <v xml:space="preserve"> </v>
      </c>
      <c r="DB74" s="49" t="str">
        <v xml:space="preserve"> </v>
      </c>
      <c r="DC74" s="49">
        <f ca="1">IFERROR(__xludf.DUMMYFUNCTION("""COMPUTED_VALUE"""),69)</f>
        <v>69</v>
      </c>
      <c r="DD74" s="49" t="str">
        <v/>
      </c>
      <c r="DE74" s="49"/>
      <c r="DF74" s="49"/>
      <c r="DG74" s="49"/>
      <c r="DH74" s="49"/>
    </row>
    <row r="75" spans="1:112" ht="13.5" hidden="1" customHeight="1">
      <c r="A75" s="54"/>
      <c r="B75" s="268">
        <v>35</v>
      </c>
      <c r="C75" s="270" t="e">
        <f>(VLOOKUP($B75,Пр.взв!$D$6:$J$63,2,0))</f>
        <v>#N/A</v>
      </c>
      <c r="D75" s="271" t="e">
        <f>(VLOOKUP($B75,Пр.взв!$D$6:$J$63,5,0))</f>
        <v>#N/A</v>
      </c>
      <c r="E75" s="272" t="e">
        <f>(VLOOKUP($B75,Пр.взв!$D$6:$M$63,8,0))</f>
        <v>#N/A</v>
      </c>
      <c r="F75" s="273"/>
      <c r="G75" s="169"/>
      <c r="H75" s="266"/>
      <c r="I75" s="169"/>
      <c r="J75" s="266" t="str">
        <f>IF(H75="Х","Х",IF($AC75&lt;6," ","Х"))</f>
        <v xml:space="preserve"> </v>
      </c>
      <c r="K75" s="87"/>
      <c r="L75" s="266" t="str">
        <f>IF(J75="Х","Х",IF(K75&lt;3," ",IF($AC75&lt;6," ","Х")))</f>
        <v xml:space="preserve"> </v>
      </c>
      <c r="M75" s="87"/>
      <c r="N75" s="266" t="str">
        <f>IF(L75="Х","Х",IF(M75&lt;3," ",IF($AC75&lt;6," ","Х")))</f>
        <v xml:space="preserve"> </v>
      </c>
      <c r="O75" s="87"/>
      <c r="P75" s="266" t="str">
        <f>IF(N75="Х","Х",IF(O75&lt;3," ",IF($AC75&lt;6," ","Х")))</f>
        <v xml:space="preserve"> </v>
      </c>
      <c r="Q75" s="87"/>
      <c r="R75" s="266" t="str">
        <f>IF(P75="Х","Х",IF(Q75&lt;3," ",IF($AC75&lt;6," ","Х")))</f>
        <v xml:space="preserve"> </v>
      </c>
      <c r="S75" s="87"/>
      <c r="T75" s="266" t="str">
        <f>IF(R75="Х","Х",IF(S75&lt;3," ",IF($AC75&lt;6," ","Х")))</f>
        <v xml:space="preserve"> </v>
      </c>
      <c r="U75" s="88"/>
      <c r="V75" s="266" t="str">
        <f>IF(T75="Х","Х",IF(U75&lt;3," ",IF($AC75&lt;6," ","Х")))</f>
        <v xml:space="preserve"> </v>
      </c>
      <c r="W75" s="88"/>
      <c r="X75" s="266" t="str">
        <f>IF(V75="А1",$AZ$7,IF(V75="Б2",$AZ$6,IF(V75="Б1",$BA$7,IF(V75="А2",$BA$6,IF(V75="Х","Х",IF(V75&lt;6," "," "))))))</f>
        <v xml:space="preserve"> </v>
      </c>
      <c r="Y75" s="89"/>
      <c r="Z75" s="266" t="str">
        <f>IF(V75="Х","Х",IF(ISBLANK(Y75),"",IF(Y75&gt;2.5," ",IF(B75=BB$6,BB$7,BB$6))))</f>
        <v/>
      </c>
      <c r="AA75" s="89"/>
      <c r="AB75" s="290" t="str">
        <f>IF(H75="Х",F$5,IF(J75="Х",H$5,IF(L75="Х",J$5,IF(N75="Х",L$5,IF(P75="Х",N$5,IF(R75="Х",P$5,IF(T75="Х",R$5,IF(X75="Х",T$5,""))))))))</f>
        <v/>
      </c>
      <c r="AC75" s="276">
        <f>SUM(G75+I75+K75+M75+O75+Q75+S75+U75+Y75+AA75)</f>
        <v>0</v>
      </c>
      <c r="AD75" s="291" t="str">
        <f>AF75</f>
        <v>27-71</v>
      </c>
      <c r="AE75" s="278" t="str">
        <f>AD75</f>
        <v>27-71</v>
      </c>
      <c r="AF75" s="280" t="str">
        <f>COUNTIF(AG$6:AG$148,"&gt;"&amp;AG$6:AG$148)+1&amp;REPT("-"&amp;COUNTIF(AG$6:AG$148,"&gt;="&amp;AG$6:AG$148),COUNTIF(AG$6:AG$148,AG75)&gt;1)</f>
        <v>27-71</v>
      </c>
      <c r="AG75" s="282">
        <f>(AR75*100)+(AP75*10)-AC75</f>
        <v>80</v>
      </c>
      <c r="AH75" s="288" t="str">
        <f>IF(OR(F75="Х",F75="св")," ",IF(AND(G75&gt;=0,G75&lt;3),"1"," "))</f>
        <v>1</v>
      </c>
      <c r="AI75" s="289" t="str">
        <f>IF(OR(H75="Х",H75="св")," ",IF(AND(I75&gt;=0,I75&lt;3),"1"," "))</f>
        <v>1</v>
      </c>
      <c r="AJ75" s="289" t="str">
        <f>IF(OR(J75="Х",J75="св")," ",IF(AND(K75&gt;=0,K75&lt;3),"1"," "))</f>
        <v>1</v>
      </c>
      <c r="AK75" s="289" t="str">
        <f>IF(OR(L75="Х",L75="св")," ",IF(AND(M75&gt;=0,M75&lt;3),"1"," "))</f>
        <v>1</v>
      </c>
      <c r="AL75" s="289" t="str">
        <f>IF(OR(N75="Х",N75="св")," ",IF(AND(O75&gt;=0,O75&lt;3),"1"," "))</f>
        <v>1</v>
      </c>
      <c r="AM75" s="289" t="str">
        <f>IF(OR(P75="Х",P75="св")," ",IF(AND(Q75&gt;=0,Q75&lt;3),"1"," "))</f>
        <v>1</v>
      </c>
      <c r="AN75" s="289" t="str">
        <f>IF(OR(R75="Х",R75="св")," ",IF(AND(S75&gt;=0,S75&lt;3),"1"," "))</f>
        <v>1</v>
      </c>
      <c r="AO75" s="289" t="str">
        <f>IF(OR(T75="Х",T75="св")," ",IF(AND(U75&gt;=0,U75&lt;3),"1"," "))</f>
        <v>1</v>
      </c>
      <c r="AP75" s="289">
        <f>COUNTIF(AH75:AO76,1)</f>
        <v>8</v>
      </c>
      <c r="AQ75" s="289">
        <f>AG75-AC75</f>
        <v>80</v>
      </c>
      <c r="AR75" s="292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289" t="str">
        <f>COUNTIF(AG$6:AG$134,"&gt;"&amp;AG$6:AG$134)+1&amp;REPT("-"&amp;COUNTIF(AG$6:AG$134,"&gt;="&amp;AG$6:AG$134),COUNTIF(AG$6:AG$134,AG75)&gt;1)</f>
        <v>27-64</v>
      </c>
      <c r="AT75" s="288" t="str">
        <f t="shared" ref="AT75:AW75" si="39">COUNTIF(AU$6:AU$134,"&gt;"&amp;AU$6:AU$134)+1&amp;REPT("-"&amp;COUNTIF(AU$6:AU$134,"&gt;="&amp;AU$6:AU$134),COUNTIF(AU$6:AU$134,AU75)&gt;1)</f>
        <v>1-64</v>
      </c>
      <c r="AU75" s="288" t="str">
        <f t="shared" si="39"/>
        <v>1-0</v>
      </c>
      <c r="AV75" s="288" t="str">
        <f t="shared" si="39"/>
        <v>1</v>
      </c>
      <c r="AW75" s="288" t="str">
        <f t="shared" si="39"/>
        <v>30</v>
      </c>
      <c r="AX75" s="293">
        <f>IF(X75="Х","Х",IF(Y75&lt;3,B75,"Х"))</f>
        <v>35</v>
      </c>
      <c r="AY75" s="92" t="str">
        <f ca="1"/>
        <v/>
      </c>
      <c r="AZ75" s="92"/>
      <c r="BA75" s="92" t="str">
        <f ca="1"/>
        <v/>
      </c>
      <c r="BB75" s="92"/>
      <c r="BC75" s="49" t="str">
        <f ca="1"/>
        <v/>
      </c>
      <c r="BD75" s="144">
        <f ca="1"/>
        <v>0</v>
      </c>
      <c r="BE75" s="49" t="str">
        <f ca="1"/>
        <v/>
      </c>
      <c r="BF75" s="143">
        <f ca="1"/>
        <v>0</v>
      </c>
      <c r="BG75" s="49" t="str">
        <f ca="1"/>
        <v/>
      </c>
      <c r="BH75" s="49" t="str">
        <f ca="1"/>
        <v/>
      </c>
      <c r="BI75" s="49"/>
      <c r="BJ75" s="49"/>
      <c r="BK75" s="49"/>
      <c r="BL75" s="49"/>
      <c r="BM75" s="294">
        <v>35</v>
      </c>
      <c r="BN75" s="287">
        <v>0</v>
      </c>
      <c r="BO75" s="98" t="str">
        <f>IF(BM75&lt;BN75,BM75,"")</f>
        <v/>
      </c>
      <c r="BP75" s="124" t="str">
        <v/>
      </c>
      <c r="BQ75" s="125"/>
      <c r="BR75" s="295" t="str">
        <v/>
      </c>
      <c r="BS75" s="287">
        <v>0</v>
      </c>
      <c r="BT75" s="109" t="str">
        <f>IF(BR75&lt;BS75,BR75,"")</f>
        <v/>
      </c>
      <c r="BU75" s="124" t="str">
        <v/>
      </c>
      <c r="BV75" s="124"/>
      <c r="BW75" s="284">
        <v>35</v>
      </c>
      <c r="BX75" s="286" t="str">
        <v xml:space="preserve"> </v>
      </c>
      <c r="BY75" s="102">
        <f t="array" ref="BY75">IF(BW75&lt;BX75,BW75,"")</f>
        <v>35</v>
      </c>
      <c r="BZ75" s="102">
        <f t="shared" si="17"/>
        <v>35</v>
      </c>
      <c r="CA75" s="63">
        <f ca="1">IFERROR(__xludf.DUMMYFUNCTION("""COMPUTED_VALUE"""),70)</f>
        <v>70</v>
      </c>
      <c r="CB75" s="63">
        <f t="shared" ca="1" si="18"/>
        <v>70</v>
      </c>
      <c r="CC75" s="128"/>
      <c r="CD75" s="159"/>
      <c r="CE75" s="286">
        <v>35</v>
      </c>
      <c r="CF75" s="296" t="str">
        <v xml:space="preserve"> </v>
      </c>
      <c r="CG75" s="98">
        <f t="array" ref="CG75">IF(CE75&lt;CF75,CE75,"")</f>
        <v>35</v>
      </c>
      <c r="CH75" s="63">
        <v>35</v>
      </c>
      <c r="CI75" s="115">
        <f ca="1">IFERROR(__xludf.DUMMYFUNCTION("""COMPUTED_VALUE"""),70)</f>
        <v>70</v>
      </c>
      <c r="CJ75" s="65">
        <v>35</v>
      </c>
      <c r="CK75" s="151" t="str">
        <v xml:space="preserve"> </v>
      </c>
      <c r="CL75" s="98">
        <f t="array" ref="CL75">IF(CJ75&lt;CK75,CJ75,"")</f>
        <v>35</v>
      </c>
      <c r="CM75" s="49">
        <v>35</v>
      </c>
      <c r="CN75" s="49">
        <f ca="1">IFERROR(__xludf.DUMMYFUNCTION("""COMPUTED_VALUE"""),70)</f>
        <v>70</v>
      </c>
      <c r="CO75" s="286">
        <v>35</v>
      </c>
      <c r="CP75" s="286" t="str">
        <v xml:space="preserve"> </v>
      </c>
      <c r="CQ75" s="98">
        <f t="array" ref="CQ75">IF(CO75&lt;CP75,CO75,"")</f>
        <v>35</v>
      </c>
      <c r="CR75" s="65">
        <v>35</v>
      </c>
      <c r="CS75" s="152">
        <f ca="1">IFERROR(__xludf.DUMMYFUNCTION("""COMPUTED_VALUE"""),70)</f>
        <v>70</v>
      </c>
      <c r="CT75" s="286">
        <v>35</v>
      </c>
      <c r="CU75" s="286" t="str">
        <v xml:space="preserve"> </v>
      </c>
      <c r="CV75" s="98">
        <f t="array" ref="CV75">IF(CT75&lt;CU75,CT75,"")</f>
        <v>35</v>
      </c>
      <c r="CW75" s="49">
        <v>35</v>
      </c>
      <c r="CX75" s="49">
        <f ca="1">IFERROR(__xludf.DUMMYFUNCTION("""COMPUTED_VALUE"""),70)</f>
        <v>70</v>
      </c>
      <c r="CY75" s="49">
        <v>35</v>
      </c>
      <c r="CZ75" s="49" t="str">
        <v xml:space="preserve"> </v>
      </c>
      <c r="DA75" s="98">
        <f t="array" ref="DA75">IF(CY75&lt;CZ75,CY75,"")</f>
        <v>35</v>
      </c>
      <c r="DB75" s="49">
        <v>35</v>
      </c>
      <c r="DC75" s="49">
        <f ca="1">IFERROR(__xludf.DUMMYFUNCTION("""COMPUTED_VALUE"""),70)</f>
        <v>70</v>
      </c>
      <c r="DD75" s="49">
        <v>35</v>
      </c>
      <c r="DE75" s="49"/>
      <c r="DF75" s="49"/>
      <c r="DG75" s="49"/>
      <c r="DH75" s="49"/>
    </row>
    <row r="76" spans="1:112" ht="13.5" hidden="1" customHeight="1">
      <c r="A76" s="54"/>
      <c r="B76" s="269"/>
      <c r="C76" s="269"/>
      <c r="D76" s="269"/>
      <c r="E76" s="269"/>
      <c r="F76" s="274"/>
      <c r="G76" s="106"/>
      <c r="H76" s="267"/>
      <c r="I76" s="106"/>
      <c r="J76" s="267"/>
      <c r="K76" s="106"/>
      <c r="L76" s="267"/>
      <c r="M76" s="106"/>
      <c r="N76" s="267"/>
      <c r="O76" s="106"/>
      <c r="P76" s="267"/>
      <c r="Q76" s="106"/>
      <c r="R76" s="267"/>
      <c r="S76" s="106"/>
      <c r="T76" s="267"/>
      <c r="U76" s="107"/>
      <c r="V76" s="267"/>
      <c r="W76" s="107"/>
      <c r="X76" s="267"/>
      <c r="Y76" s="106"/>
      <c r="Z76" s="267"/>
      <c r="AA76" s="106"/>
      <c r="AB76" s="274"/>
      <c r="AC76" s="269"/>
      <c r="AD76" s="267"/>
      <c r="AE76" s="279"/>
      <c r="AF76" s="281"/>
      <c r="AG76" s="283"/>
      <c r="AH76" s="283"/>
      <c r="AI76" s="283"/>
      <c r="AJ76" s="283"/>
      <c r="AK76" s="283"/>
      <c r="AL76" s="283"/>
      <c r="AM76" s="283"/>
      <c r="AN76" s="283"/>
      <c r="AO76" s="283"/>
      <c r="AP76" s="283"/>
      <c r="AQ76" s="283"/>
      <c r="AR76" s="283"/>
      <c r="AS76" s="283"/>
      <c r="AT76" s="283"/>
      <c r="AU76" s="283"/>
      <c r="AV76" s="283"/>
      <c r="AW76" s="283"/>
      <c r="AX76" s="264"/>
      <c r="AY76" s="92" t="str">
        <f ca="1"/>
        <v/>
      </c>
      <c r="AZ76" s="92"/>
      <c r="BA76" s="92" t="str">
        <f ca="1"/>
        <v/>
      </c>
      <c r="BB76" s="92"/>
      <c r="BC76" s="49" t="str">
        <f ca="1"/>
        <v/>
      </c>
      <c r="BD76" s="144">
        <f ca="1"/>
        <v>0</v>
      </c>
      <c r="BE76" s="49" t="str">
        <f ca="1"/>
        <v/>
      </c>
      <c r="BF76" s="143">
        <f ca="1"/>
        <v>0</v>
      </c>
      <c r="BG76" s="49" t="str">
        <f ca="1"/>
        <v/>
      </c>
      <c r="BH76" s="49" t="str">
        <f ca="1"/>
        <v/>
      </c>
      <c r="BI76" s="49"/>
      <c r="BJ76" s="49"/>
      <c r="BK76" s="49"/>
      <c r="BL76" s="49"/>
      <c r="BM76" s="285" t="str">
        <v/>
      </c>
      <c r="BN76" s="264">
        <v>0</v>
      </c>
      <c r="BO76" s="109" t="str">
        <f>IF(BO75="","",BN75)</f>
        <v/>
      </c>
      <c r="BP76" s="109" t="str">
        <v/>
      </c>
      <c r="BQ76" s="125"/>
      <c r="BR76" s="264" t="str">
        <v/>
      </c>
      <c r="BS76" s="264">
        <v>0</v>
      </c>
      <c r="BT76" s="109" t="str">
        <f>IF(BT75="","",BS75)</f>
        <v/>
      </c>
      <c r="BU76" s="109" t="str">
        <v/>
      </c>
      <c r="BV76" s="124"/>
      <c r="BW76" s="285" t="str">
        <v/>
      </c>
      <c r="BX76" s="264">
        <v>0</v>
      </c>
      <c r="BY76" s="102" t="str">
        <f>IF(BY75="","",BX75)</f>
        <v xml:space="preserve"> </v>
      </c>
      <c r="BZ76" s="102" t="str">
        <f t="shared" si="17"/>
        <v xml:space="preserve"> </v>
      </c>
      <c r="CA76" s="128">
        <f ca="1">IFERROR(__xludf.DUMMYFUNCTION("""COMPUTED_VALUE"""),71)</f>
        <v>71</v>
      </c>
      <c r="CB76" s="63">
        <f t="shared" ca="1" si="18"/>
        <v>71</v>
      </c>
      <c r="CC76" s="128"/>
      <c r="CD76" s="159"/>
      <c r="CE76" s="264" t="str">
        <v/>
      </c>
      <c r="CF76" s="264">
        <v>0</v>
      </c>
      <c r="CG76" s="113" t="str">
        <f>IF(CG75="","",CF75)</f>
        <v xml:space="preserve"> </v>
      </c>
      <c r="CH76" s="128" t="str">
        <v xml:space="preserve"> </v>
      </c>
      <c r="CI76" s="115">
        <f ca="1">IFERROR(__xludf.DUMMYFUNCTION("""COMPUTED_VALUE"""),71)</f>
        <v>71</v>
      </c>
      <c r="CJ76" s="49" t="str">
        <v/>
      </c>
      <c r="CK76" s="153">
        <v>0</v>
      </c>
      <c r="CL76" s="113" t="str">
        <f>IF(CL75="","",CK75)</f>
        <v xml:space="preserve"> </v>
      </c>
      <c r="CM76" s="49" t="str">
        <v xml:space="preserve"> </v>
      </c>
      <c r="CN76" s="49">
        <f ca="1">IFERROR(__xludf.DUMMYFUNCTION("""COMPUTED_VALUE"""),71)</f>
        <v>71</v>
      </c>
      <c r="CO76" s="264" t="str">
        <v/>
      </c>
      <c r="CP76" s="264">
        <v>0</v>
      </c>
      <c r="CQ76" s="113" t="str">
        <f>IF(CQ75="","",CP75)</f>
        <v xml:space="preserve"> </v>
      </c>
      <c r="CR76" s="49" t="str">
        <v xml:space="preserve"> </v>
      </c>
      <c r="CS76" s="152">
        <f ca="1">IFERROR(__xludf.DUMMYFUNCTION("""COMPUTED_VALUE"""),71)</f>
        <v>71</v>
      </c>
      <c r="CT76" s="264" t="str">
        <v/>
      </c>
      <c r="CU76" s="264">
        <v>0</v>
      </c>
      <c r="CV76" s="113" t="str">
        <f>IF(CV75="","",CU75)</f>
        <v xml:space="preserve"> </v>
      </c>
      <c r="CW76" s="49" t="str">
        <v xml:space="preserve"> </v>
      </c>
      <c r="CX76" s="49">
        <f ca="1">IFERROR(__xludf.DUMMYFUNCTION("""COMPUTED_VALUE"""),71)</f>
        <v>71</v>
      </c>
      <c r="CY76" s="49" t="str">
        <v/>
      </c>
      <c r="CZ76" s="49">
        <v>0</v>
      </c>
      <c r="DA76" s="113" t="str">
        <f>IF(DA75="","",CZ75)</f>
        <v xml:space="preserve"> </v>
      </c>
      <c r="DB76" s="49" t="str">
        <v xml:space="preserve"> </v>
      </c>
      <c r="DC76" s="49">
        <f ca="1">IFERROR(__xludf.DUMMYFUNCTION("""COMPUTED_VALUE"""),71)</f>
        <v>71</v>
      </c>
      <c r="DD76" s="49" t="str">
        <v/>
      </c>
      <c r="DE76" s="49"/>
      <c r="DF76" s="49"/>
      <c r="DG76" s="49"/>
      <c r="DH76" s="49"/>
    </row>
    <row r="77" spans="1:112" ht="13.5" hidden="1" customHeight="1">
      <c r="A77" s="54"/>
      <c r="B77" s="268">
        <v>36</v>
      </c>
      <c r="C77" s="270" t="e">
        <f>(VLOOKUP($B77,Пр.взв!$D$6:$J$63,2,0))</f>
        <v>#N/A</v>
      </c>
      <c r="D77" s="271" t="e">
        <f>(VLOOKUP($B77,Пр.взв!$D$6:$J$63,5,0))</f>
        <v>#N/A</v>
      </c>
      <c r="E77" s="272" t="e">
        <f>(VLOOKUP($B77,Пр.взв!$D$6:$M$63,8,0))</f>
        <v>#N/A</v>
      </c>
      <c r="F77" s="273"/>
      <c r="G77" s="87"/>
      <c r="H77" s="266"/>
      <c r="I77" s="89"/>
      <c r="J77" s="266" t="str">
        <f>IF(H77="Х","Х",IF($AC77&lt;6," ","Х"))</f>
        <v xml:space="preserve"> </v>
      </c>
      <c r="K77" s="87"/>
      <c r="L77" s="266" t="str">
        <f>IF(J77="Х","Х",IF(K77&lt;3," ",IF($AC77&lt;6," ","Х")))</f>
        <v xml:space="preserve"> </v>
      </c>
      <c r="M77" s="87"/>
      <c r="N77" s="266" t="str">
        <f>IF(L77="Х","Х",IF(M77&lt;3," ",IF($AC77&lt;6," ","Х")))</f>
        <v xml:space="preserve"> </v>
      </c>
      <c r="O77" s="87"/>
      <c r="P77" s="266" t="str">
        <f>IF(N77="Х","Х",IF(O77&lt;3," ",IF($AC77&lt;6," ","Х")))</f>
        <v xml:space="preserve"> </v>
      </c>
      <c r="Q77" s="87"/>
      <c r="R77" s="266" t="str">
        <f>IF(P77="Х","Х",IF(Q77&lt;3," ",IF($AC77&lt;6," ","Х")))</f>
        <v xml:space="preserve"> </v>
      </c>
      <c r="S77" s="87"/>
      <c r="T77" s="266" t="str">
        <f>IF(R77="Х","Х",IF(S77&lt;3," ",IF($AC77&lt;6," ","Х")))</f>
        <v xml:space="preserve"> </v>
      </c>
      <c r="U77" s="88"/>
      <c r="V77" s="266" t="str">
        <f>IF(T77="Х","Х",IF(U77&lt;3," ",IF($AC77&lt;6," ","Х")))</f>
        <v xml:space="preserve"> </v>
      </c>
      <c r="W77" s="88"/>
      <c r="X77" s="266" t="str">
        <f>IF(V77="А1",$AZ$7,IF(V77="Б2",$AZ$6,IF(V77="Б1",$BA$7,IF(V77="А2",$BA$6,IF(V77="Х","Х",IF(V77&lt;6," "," "))))))</f>
        <v xml:space="preserve"> </v>
      </c>
      <c r="Y77" s="89"/>
      <c r="Z77" s="266" t="str">
        <f>IF(V77="Х","Х",IF(ISBLANK(Y77),"",IF(Y77&gt;2.5," ",IF(B77=BB$6,BB$7,BB$6))))</f>
        <v/>
      </c>
      <c r="AA77" s="89"/>
      <c r="AB77" s="290" t="str">
        <f>IF(H77="Х",F$5,IF(J77="Х",H$5,IF(L77="Х",J$5,IF(N77="Х",L$5,IF(P77="Х",N$5,IF(R77="Х",P$5,IF(T77="Х",R$5,IF(X77="Х",T$5,""))))))))</f>
        <v/>
      </c>
      <c r="AC77" s="276">
        <f>SUM(G77+I77+K77+M77+O77+Q77+S77+U77+Y77+AA77)</f>
        <v>0</v>
      </c>
      <c r="AD77" s="291" t="str">
        <f>AF77</f>
        <v>27-71</v>
      </c>
      <c r="AE77" s="278" t="str">
        <f>AD77</f>
        <v>27-71</v>
      </c>
      <c r="AF77" s="280" t="str">
        <f>COUNTIF(AG$6:AG$148,"&gt;"&amp;AG$6:AG$148)+1&amp;REPT("-"&amp;COUNTIF(AG$6:AG$148,"&gt;="&amp;AG$6:AG$148),COUNTIF(AG$6:AG$148,AG77)&gt;1)</f>
        <v>27-71</v>
      </c>
      <c r="AG77" s="282">
        <f>(AR77*100)+(AP77*10)-AC77</f>
        <v>80</v>
      </c>
      <c r="AH77" s="288" t="str">
        <f>IF(OR(F77="Х",F77="св")," ",IF(AND(G77&gt;=0,G77&lt;3),"1"," "))</f>
        <v>1</v>
      </c>
      <c r="AI77" s="289" t="str">
        <f>IF(OR(H77="Х",H77="св")," ",IF(AND(I77&gt;=0,I77&lt;3),"1"," "))</f>
        <v>1</v>
      </c>
      <c r="AJ77" s="289" t="str">
        <f>IF(OR(J77="Х",J77="св")," ",IF(AND(K77&gt;=0,K77&lt;3),"1"," "))</f>
        <v>1</v>
      </c>
      <c r="AK77" s="289" t="str">
        <f>IF(OR(L77="Х",L77="св")," ",IF(AND(M77&gt;=0,M77&lt;3),"1"," "))</f>
        <v>1</v>
      </c>
      <c r="AL77" s="289" t="str">
        <f>IF(OR(N77="Х",N77="св")," ",IF(AND(O77&gt;=0,O77&lt;3),"1"," "))</f>
        <v>1</v>
      </c>
      <c r="AM77" s="289" t="str">
        <f>IF(OR(P77="Х",P77="св")," ",IF(AND(Q77&gt;=0,Q77&lt;3),"1"," "))</f>
        <v>1</v>
      </c>
      <c r="AN77" s="289" t="str">
        <f>IF(OR(R77="Х",R77="св")," ",IF(AND(S77&gt;=0,S77&lt;3),"1"," "))</f>
        <v>1</v>
      </c>
      <c r="AO77" s="289" t="str">
        <f>IF(OR(T77="Х",T77="св")," ",IF(AND(U77&gt;=0,U77&lt;3),"1"," "))</f>
        <v>1</v>
      </c>
      <c r="AP77" s="289">
        <f>COUNTIF(AH77:AO78,1)</f>
        <v>8</v>
      </c>
      <c r="AQ77" s="289">
        <f>AG77-AC77</f>
        <v>80</v>
      </c>
      <c r="AR77" s="292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289" t="str">
        <f>COUNTIF(AG$6:AG$134,"&gt;"&amp;AG$6:AG$134)+1&amp;REPT("-"&amp;COUNTIF(AG$6:AG$134,"&gt;="&amp;AG$6:AG$134),COUNTIF(AG$6:AG$134,AG77)&gt;1)</f>
        <v>27-64</v>
      </c>
      <c r="AT77" s="288" t="str">
        <f t="shared" ref="AT77:AW77" si="40">COUNTIF(AU$6:AU$134,"&gt;"&amp;AU$6:AU$134)+1&amp;REPT("-"&amp;COUNTIF(AU$6:AU$134,"&gt;="&amp;AU$6:AU$134),COUNTIF(AU$6:AU$134,AU77)&gt;1)</f>
        <v>1-64</v>
      </c>
      <c r="AU77" s="288" t="str">
        <f t="shared" si="40"/>
        <v>1-0</v>
      </c>
      <c r="AV77" s="288" t="str">
        <f t="shared" si="40"/>
        <v>1</v>
      </c>
      <c r="AW77" s="288" t="str">
        <f t="shared" si="40"/>
        <v>29</v>
      </c>
      <c r="AX77" s="293">
        <f>IF(X77="Х","Х",IF(Y77&lt;3,B77,"Х"))</f>
        <v>36</v>
      </c>
      <c r="AY77" s="92" t="str">
        <f ca="1"/>
        <v/>
      </c>
      <c r="AZ77" s="92"/>
      <c r="BA77" s="92" t="str">
        <f ca="1"/>
        <v/>
      </c>
      <c r="BB77" s="92"/>
      <c r="BC77" s="49" t="str">
        <f ca="1"/>
        <v/>
      </c>
      <c r="BD77" s="144">
        <f ca="1"/>
        <v>0</v>
      </c>
      <c r="BE77" s="49" t="str">
        <f ca="1"/>
        <v/>
      </c>
      <c r="BF77" s="143">
        <f ca="1"/>
        <v>0</v>
      </c>
      <c r="BG77" s="49" t="str">
        <f ca="1"/>
        <v/>
      </c>
      <c r="BH77" s="49" t="str">
        <f ca="1"/>
        <v/>
      </c>
      <c r="BI77" s="49"/>
      <c r="BJ77" s="49"/>
      <c r="BK77" s="49"/>
      <c r="BL77" s="49"/>
      <c r="BM77" s="294">
        <v>36</v>
      </c>
      <c r="BN77" s="287">
        <v>0</v>
      </c>
      <c r="BO77" s="98" t="str">
        <f>IF(BM77&lt;BN77,BM77,"")</f>
        <v/>
      </c>
      <c r="BP77" s="124" t="str">
        <v/>
      </c>
      <c r="BQ77" s="125"/>
      <c r="BR77" s="295" t="str">
        <v/>
      </c>
      <c r="BS77" s="287">
        <v>0</v>
      </c>
      <c r="BT77" s="109" t="str">
        <f>IF(BR77&lt;BS77,BR77,"")</f>
        <v/>
      </c>
      <c r="BU77" s="124" t="str">
        <v/>
      </c>
      <c r="BV77" s="124"/>
      <c r="BW77" s="284">
        <v>36</v>
      </c>
      <c r="BX77" s="286" t="str">
        <v xml:space="preserve"> </v>
      </c>
      <c r="BY77" s="102">
        <f t="array" ref="BY77">IF(BW77&lt;BX77,BW77,"")</f>
        <v>36</v>
      </c>
      <c r="BZ77" s="102">
        <f t="shared" si="17"/>
        <v>36</v>
      </c>
      <c r="CA77" s="63"/>
      <c r="CB77" s="63" t="str">
        <f t="shared" si="18"/>
        <v>св</v>
      </c>
      <c r="CC77" s="128"/>
      <c r="CD77" s="159"/>
      <c r="CE77" s="286">
        <v>36</v>
      </c>
      <c r="CF77" s="296" t="str">
        <v xml:space="preserve"> </v>
      </c>
      <c r="CG77" s="98">
        <f t="array" ref="CG77">IF(CE77&lt;CF77,CE77,"")</f>
        <v>36</v>
      </c>
      <c r="CH77" s="63">
        <v>36</v>
      </c>
      <c r="CI77" s="115"/>
      <c r="CJ77" s="65">
        <v>36</v>
      </c>
      <c r="CK77" s="151" t="str">
        <v xml:space="preserve"> </v>
      </c>
      <c r="CL77" s="98">
        <f t="array" ref="CL77">IF(CJ77&lt;CK77,CJ77,"")</f>
        <v>36</v>
      </c>
      <c r="CM77" s="49">
        <v>36</v>
      </c>
      <c r="CN77" s="49"/>
      <c r="CO77" s="286">
        <v>36</v>
      </c>
      <c r="CP77" s="286" t="str">
        <v xml:space="preserve"> </v>
      </c>
      <c r="CQ77" s="98">
        <f t="array" ref="CQ77">IF(CO77&lt;CP77,CO77,"")</f>
        <v>36</v>
      </c>
      <c r="CR77" s="65">
        <v>36</v>
      </c>
      <c r="CS77" s="152"/>
      <c r="CT77" s="286">
        <v>36</v>
      </c>
      <c r="CU77" s="286" t="str">
        <v xml:space="preserve"> </v>
      </c>
      <c r="CV77" s="98">
        <f t="array" ref="CV77">IF(CT77&lt;CU77,CT77,"")</f>
        <v>36</v>
      </c>
      <c r="CW77" s="49">
        <v>36</v>
      </c>
      <c r="CX77" s="49"/>
      <c r="CY77" s="49">
        <v>36</v>
      </c>
      <c r="CZ77" s="49" t="str">
        <v xml:space="preserve"> </v>
      </c>
      <c r="DA77" s="98">
        <f t="array" ref="DA77">IF(CY77&lt;CZ77,CY77,"")</f>
        <v>36</v>
      </c>
      <c r="DB77" s="49">
        <v>36</v>
      </c>
      <c r="DC77" s="49"/>
      <c r="DD77" s="49">
        <v>36</v>
      </c>
      <c r="DE77" s="49"/>
      <c r="DF77" s="49"/>
      <c r="DG77" s="49"/>
      <c r="DH77" s="49"/>
    </row>
    <row r="78" spans="1:112" ht="13.5" hidden="1" customHeight="1">
      <c r="A78" s="54"/>
      <c r="B78" s="269"/>
      <c r="C78" s="269"/>
      <c r="D78" s="269"/>
      <c r="E78" s="269"/>
      <c r="F78" s="274"/>
      <c r="G78" s="106"/>
      <c r="H78" s="267"/>
      <c r="I78" s="106"/>
      <c r="J78" s="267"/>
      <c r="K78" s="106"/>
      <c r="L78" s="267"/>
      <c r="M78" s="106"/>
      <c r="N78" s="267"/>
      <c r="O78" s="106"/>
      <c r="P78" s="267"/>
      <c r="Q78" s="106"/>
      <c r="R78" s="267"/>
      <c r="S78" s="106"/>
      <c r="T78" s="267"/>
      <c r="U78" s="107"/>
      <c r="V78" s="267"/>
      <c r="W78" s="107"/>
      <c r="X78" s="267"/>
      <c r="Y78" s="106"/>
      <c r="Z78" s="267"/>
      <c r="AA78" s="106"/>
      <c r="AB78" s="274"/>
      <c r="AC78" s="269"/>
      <c r="AD78" s="267"/>
      <c r="AE78" s="279"/>
      <c r="AF78" s="281"/>
      <c r="AG78" s="283"/>
      <c r="AH78" s="283"/>
      <c r="AI78" s="283"/>
      <c r="AJ78" s="283"/>
      <c r="AK78" s="283"/>
      <c r="AL78" s="283"/>
      <c r="AM78" s="283"/>
      <c r="AN78" s="283"/>
      <c r="AO78" s="283"/>
      <c r="AP78" s="283"/>
      <c r="AQ78" s="283"/>
      <c r="AR78" s="283"/>
      <c r="AS78" s="283"/>
      <c r="AT78" s="283"/>
      <c r="AU78" s="283"/>
      <c r="AV78" s="283"/>
      <c r="AW78" s="283"/>
      <c r="AX78" s="264"/>
      <c r="AY78" s="92" t="str">
        <f ca="1"/>
        <v/>
      </c>
      <c r="AZ78" s="92"/>
      <c r="BA78" s="92" t="str">
        <f ca="1"/>
        <v/>
      </c>
      <c r="BB78" s="92"/>
      <c r="BC78" s="49" t="str">
        <f ca="1"/>
        <v/>
      </c>
      <c r="BD78" s="144">
        <f ca="1"/>
        <v>0</v>
      </c>
      <c r="BE78" s="49" t="str">
        <f ca="1"/>
        <v/>
      </c>
      <c r="BF78" s="143">
        <f ca="1"/>
        <v>0</v>
      </c>
      <c r="BG78" s="49" t="str">
        <f ca="1"/>
        <v/>
      </c>
      <c r="BH78" s="49" t="str">
        <f ca="1"/>
        <v/>
      </c>
      <c r="BI78" s="49"/>
      <c r="BJ78" s="49"/>
      <c r="BK78" s="49"/>
      <c r="BL78" s="49"/>
      <c r="BM78" s="285" t="str">
        <v/>
      </c>
      <c r="BN78" s="264">
        <v>0</v>
      </c>
      <c r="BO78" s="109" t="str">
        <f>IF(BO77="","",BN77)</f>
        <v/>
      </c>
      <c r="BP78" s="109" t="str">
        <v/>
      </c>
      <c r="BQ78" s="125"/>
      <c r="BR78" s="264" t="str">
        <v/>
      </c>
      <c r="BS78" s="264">
        <v>0</v>
      </c>
      <c r="BT78" s="109" t="str">
        <f>IF(BT77="","",BS77)</f>
        <v/>
      </c>
      <c r="BU78" s="109" t="str">
        <v/>
      </c>
      <c r="BV78" s="124"/>
      <c r="BW78" s="285" t="str">
        <v/>
      </c>
      <c r="BX78" s="264">
        <v>0</v>
      </c>
      <c r="BY78" s="102" t="str">
        <f>IF(BY77="","",BX77)</f>
        <v xml:space="preserve"> </v>
      </c>
      <c r="BZ78" s="102" t="str">
        <f t="shared" si="17"/>
        <v xml:space="preserve"> </v>
      </c>
      <c r="CA78" s="128"/>
      <c r="CB78" s="63" t="str">
        <f t="shared" si="18"/>
        <v>св</v>
      </c>
      <c r="CC78" s="128"/>
      <c r="CD78" s="159"/>
      <c r="CE78" s="264" t="str">
        <v/>
      </c>
      <c r="CF78" s="264">
        <v>0</v>
      </c>
      <c r="CG78" s="113" t="str">
        <f>IF(CG77="","",CF77)</f>
        <v xml:space="preserve"> </v>
      </c>
      <c r="CH78" s="128" t="str">
        <v xml:space="preserve"> </v>
      </c>
      <c r="CI78" s="115"/>
      <c r="CJ78" s="49" t="str">
        <v/>
      </c>
      <c r="CK78" s="153">
        <v>0</v>
      </c>
      <c r="CL78" s="113" t="str">
        <f>IF(CL77="","",CK77)</f>
        <v xml:space="preserve"> </v>
      </c>
      <c r="CM78" s="49" t="str">
        <v xml:space="preserve"> </v>
      </c>
      <c r="CN78" s="49"/>
      <c r="CO78" s="264" t="str">
        <v/>
      </c>
      <c r="CP78" s="264">
        <v>0</v>
      </c>
      <c r="CQ78" s="113" t="str">
        <f>IF(CQ77="","",CP77)</f>
        <v xml:space="preserve"> </v>
      </c>
      <c r="CR78" s="49" t="str">
        <v xml:space="preserve"> </v>
      </c>
      <c r="CS78" s="152"/>
      <c r="CT78" s="264" t="str">
        <v/>
      </c>
      <c r="CU78" s="264">
        <v>0</v>
      </c>
      <c r="CV78" s="113" t="str">
        <f>IF(CV77="","",CU77)</f>
        <v xml:space="preserve"> </v>
      </c>
      <c r="CW78" s="49" t="str">
        <v xml:space="preserve"> </v>
      </c>
      <c r="CX78" s="49"/>
      <c r="CY78" s="49" t="str">
        <v/>
      </c>
      <c r="CZ78" s="49">
        <v>0</v>
      </c>
      <c r="DA78" s="113" t="str">
        <f>IF(DA77="","",CZ77)</f>
        <v xml:space="preserve"> </v>
      </c>
      <c r="DB78" s="49" t="str">
        <v xml:space="preserve"> </v>
      </c>
      <c r="DC78" s="49"/>
      <c r="DD78" s="49" t="str">
        <v/>
      </c>
      <c r="DE78" s="49"/>
      <c r="DF78" s="49"/>
      <c r="DG78" s="49"/>
      <c r="DH78" s="49"/>
    </row>
    <row r="79" spans="1:112" ht="13.5" hidden="1" customHeight="1">
      <c r="A79" s="54"/>
      <c r="B79" s="268">
        <v>37</v>
      </c>
      <c r="C79" s="270" t="e">
        <f>(VLOOKUP($B79,Пр.взв!$D$6:$J$63,2,0))</f>
        <v>#N/A</v>
      </c>
      <c r="D79" s="271" t="e">
        <f>(VLOOKUP($B79,Пр.взв!$D$6:$J$63,5,0))</f>
        <v>#N/A</v>
      </c>
      <c r="E79" s="272" t="e">
        <f>(VLOOKUP($B79,Пр.взв!$D$6:$M$63,8,0))</f>
        <v>#N/A</v>
      </c>
      <c r="F79" s="273"/>
      <c r="G79" s="169"/>
      <c r="H79" s="266"/>
      <c r="I79" s="169"/>
      <c r="J79" s="266" t="str">
        <f>IF(H79="Х","Х",IF($AC79&lt;6," ","Х"))</f>
        <v xml:space="preserve"> </v>
      </c>
      <c r="K79" s="87"/>
      <c r="L79" s="266" t="str">
        <f>IF(J79="Х","Х",IF(K79&lt;3," ",IF($AC79&lt;6," ","Х")))</f>
        <v xml:space="preserve"> </v>
      </c>
      <c r="M79" s="87"/>
      <c r="N79" s="266" t="str">
        <f>IF(L79="Х","Х",IF(M79&lt;3," ",IF($AC79&lt;6," ","Х")))</f>
        <v xml:space="preserve"> </v>
      </c>
      <c r="O79" s="87"/>
      <c r="P79" s="266" t="str">
        <f>IF(N79="Х","Х",IF(O79&lt;3," ",IF($AC79&lt;6," ","Х")))</f>
        <v xml:space="preserve"> </v>
      </c>
      <c r="Q79" s="87"/>
      <c r="R79" s="266" t="str">
        <f>IF(P79="Х","Х",IF(Q79&lt;3," ",IF($AC79&lt;6," ","Х")))</f>
        <v xml:space="preserve"> </v>
      </c>
      <c r="S79" s="87"/>
      <c r="T79" s="266" t="str">
        <f>IF(R79="Х","Х",IF(S79&lt;3," ",IF($AC79&lt;6," ","Х")))</f>
        <v xml:space="preserve"> </v>
      </c>
      <c r="U79" s="88"/>
      <c r="V79" s="266" t="str">
        <f>IF(T79="Х","Х",IF(U79&lt;3," ",IF($AC79&lt;6," ","Х")))</f>
        <v xml:space="preserve"> </v>
      </c>
      <c r="W79" s="88"/>
      <c r="X79" s="266" t="str">
        <f>IF(V79="А1",$AZ$7,IF(V79="Б2",$AZ$6,IF(V79="Б1",$BA$7,IF(V79="А2",$BA$6,IF(V79="Х","Х",IF(V79&lt;6," "," "))))))</f>
        <v xml:space="preserve"> </v>
      </c>
      <c r="Y79" s="89"/>
      <c r="Z79" s="266" t="str">
        <f>IF(V79="Х","Х",IF(ISBLANK(Y79),"",IF(Y79&gt;2.5," ",IF(B79=BB$6,BB$7,BB$6))))</f>
        <v/>
      </c>
      <c r="AA79" s="89"/>
      <c r="AB79" s="290" t="str">
        <f>IF(H79="Х",F$5,IF(J79="Х",H$5,IF(L79="Х",J$5,IF(N79="Х",L$5,IF(P79="Х",N$5,IF(R79="Х",P$5,IF(T79="Х",R$5,IF(X79="Х",T$5,""))))))))</f>
        <v/>
      </c>
      <c r="AC79" s="276">
        <f>SUM(G79+I79+K79+M79+O79+Q79+S79+U79+Y79+AA79)</f>
        <v>0</v>
      </c>
      <c r="AD79" s="291" t="str">
        <f>AF79</f>
        <v>27-71</v>
      </c>
      <c r="AE79" s="278" t="str">
        <f>AD79</f>
        <v>27-71</v>
      </c>
      <c r="AF79" s="280" t="str">
        <f>COUNTIF(AG$6:AG$148,"&gt;"&amp;AG$6:AG$148)+1&amp;REPT("-"&amp;COUNTIF(AG$6:AG$148,"&gt;="&amp;AG$6:AG$148),COUNTIF(AG$6:AG$148,AG79)&gt;1)</f>
        <v>27-71</v>
      </c>
      <c r="AG79" s="282">
        <f>(AR79*100)+(AP79*10)-AC79</f>
        <v>80</v>
      </c>
      <c r="AH79" s="288" t="str">
        <f>IF(OR(F79="Х",F79="св")," ",IF(AND(G79&gt;=0,G79&lt;3),"1"," "))</f>
        <v>1</v>
      </c>
      <c r="AI79" s="289" t="str">
        <f>IF(OR(H79="Х",H79="св")," ",IF(AND(I79&gt;=0,I79&lt;3),"1"," "))</f>
        <v>1</v>
      </c>
      <c r="AJ79" s="289" t="str">
        <f>IF(OR(J79="Х",J79="св")," ",IF(AND(K79&gt;=0,K79&lt;3),"1"," "))</f>
        <v>1</v>
      </c>
      <c r="AK79" s="289" t="str">
        <f>IF(OR(L79="Х",L79="св")," ",IF(AND(M79&gt;=0,M79&lt;3),"1"," "))</f>
        <v>1</v>
      </c>
      <c r="AL79" s="289" t="str">
        <f>IF(OR(N79="Х",N79="св")," ",IF(AND(O79&gt;=0,O79&lt;3),"1"," "))</f>
        <v>1</v>
      </c>
      <c r="AM79" s="289" t="str">
        <f>IF(OR(P79="Х",P79="св")," ",IF(AND(Q79&gt;=0,Q79&lt;3),"1"," "))</f>
        <v>1</v>
      </c>
      <c r="AN79" s="289" t="str">
        <f>IF(OR(R79="Х",R79="св")," ",IF(AND(S79&gt;=0,S79&lt;3),"1"," "))</f>
        <v>1</v>
      </c>
      <c r="AO79" s="289" t="str">
        <f>IF(OR(T79="Х",T79="св")," ",IF(AND(U79&gt;=0,U79&lt;3),"1"," "))</f>
        <v>1</v>
      </c>
      <c r="AP79" s="289">
        <f>COUNTIF(AH79:AO80,1)</f>
        <v>8</v>
      </c>
      <c r="AQ79" s="289">
        <f>AG79-AC79</f>
        <v>80</v>
      </c>
      <c r="AR79" s="292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289" t="str">
        <f>COUNTIF(AG$6:AG$134,"&gt;"&amp;AG$6:AG$134)+1&amp;REPT("-"&amp;COUNTIF(AG$6:AG$134,"&gt;="&amp;AG$6:AG$134),COUNTIF(AG$6:AG$134,AG79)&gt;1)</f>
        <v>27-64</v>
      </c>
      <c r="AT79" s="288" t="str">
        <f t="shared" ref="AT79:AW79" si="41">COUNTIF(AU$6:AU$134,"&gt;"&amp;AU$6:AU$134)+1&amp;REPT("-"&amp;COUNTIF(AU$6:AU$134,"&gt;="&amp;AU$6:AU$134),COUNTIF(AU$6:AU$134,AU79)&gt;1)</f>
        <v>1-64</v>
      </c>
      <c r="AU79" s="288" t="str">
        <f t="shared" si="41"/>
        <v>1-0</v>
      </c>
      <c r="AV79" s="288" t="str">
        <f t="shared" si="41"/>
        <v>1</v>
      </c>
      <c r="AW79" s="288" t="str">
        <f t="shared" si="41"/>
        <v>28</v>
      </c>
      <c r="AX79" s="293">
        <f>IF(X79="Х","Х",IF(Y79&lt;3,B79,"Х"))</f>
        <v>37</v>
      </c>
      <c r="AY79" s="92" t="str">
        <f ca="1"/>
        <v/>
      </c>
      <c r="AZ79" s="92"/>
      <c r="BA79" s="92" t="str">
        <f ca="1"/>
        <v/>
      </c>
      <c r="BB79" s="92"/>
      <c r="BC79" s="49" t="str">
        <f ca="1"/>
        <v/>
      </c>
      <c r="BD79" s="144">
        <f ca="1"/>
        <v>0</v>
      </c>
      <c r="BE79" s="49" t="str">
        <f ca="1"/>
        <v/>
      </c>
      <c r="BF79" s="143">
        <f ca="1"/>
        <v>0</v>
      </c>
      <c r="BG79" s="49" t="str">
        <f ca="1"/>
        <v/>
      </c>
      <c r="BH79" s="49" t="str">
        <f ca="1"/>
        <v/>
      </c>
      <c r="BI79" s="49"/>
      <c r="BJ79" s="49"/>
      <c r="BK79" s="49"/>
      <c r="BL79" s="49"/>
      <c r="BM79" s="294">
        <v>37</v>
      </c>
      <c r="BN79" s="287">
        <v>0</v>
      </c>
      <c r="BO79" s="98" t="str">
        <f>IF(BM79&lt;BN79,BM79,"")</f>
        <v/>
      </c>
      <c r="BP79" s="124" t="str">
        <v/>
      </c>
      <c r="BQ79" s="125"/>
      <c r="BR79" s="295" t="str">
        <v/>
      </c>
      <c r="BS79" s="287">
        <v>0</v>
      </c>
      <c r="BT79" s="109" t="str">
        <f>IF(BR79&lt;BS79,BR79,"")</f>
        <v/>
      </c>
      <c r="BU79" s="124" t="str">
        <v/>
      </c>
      <c r="BV79" s="124"/>
      <c r="BW79" s="284">
        <v>37</v>
      </c>
      <c r="BX79" s="286" t="str">
        <v xml:space="preserve"> </v>
      </c>
      <c r="BY79" s="102">
        <f t="array" ref="BY79">IF(BW79&lt;BX79,BW79,"")</f>
        <v>37</v>
      </c>
      <c r="BZ79" s="102">
        <f t="shared" si="17"/>
        <v>37</v>
      </c>
      <c r="CA79" s="63"/>
      <c r="CB79" s="63" t="str">
        <f t="shared" si="18"/>
        <v>св</v>
      </c>
      <c r="CC79" s="128"/>
      <c r="CD79" s="159"/>
      <c r="CE79" s="286">
        <v>37</v>
      </c>
      <c r="CF79" s="296" t="str">
        <v xml:space="preserve"> </v>
      </c>
      <c r="CG79" s="98">
        <f t="array" ref="CG79">IF(CE79&lt;CF79,CE79,"")</f>
        <v>37</v>
      </c>
      <c r="CH79" s="63">
        <v>37</v>
      </c>
      <c r="CI79" s="115"/>
      <c r="CJ79" s="65">
        <v>37</v>
      </c>
      <c r="CK79" s="151" t="str">
        <v xml:space="preserve"> </v>
      </c>
      <c r="CL79" s="98">
        <f t="array" ref="CL79">IF(CJ79&lt;CK79,CJ79,"")</f>
        <v>37</v>
      </c>
      <c r="CM79" s="49">
        <v>37</v>
      </c>
      <c r="CN79" s="49"/>
      <c r="CO79" s="286">
        <v>37</v>
      </c>
      <c r="CP79" s="286" t="str">
        <v xml:space="preserve"> </v>
      </c>
      <c r="CQ79" s="98">
        <f t="array" ref="CQ79">IF(CO79&lt;CP79,CO79,"")</f>
        <v>37</v>
      </c>
      <c r="CR79" s="65">
        <v>37</v>
      </c>
      <c r="CS79" s="152"/>
      <c r="CT79" s="286">
        <v>37</v>
      </c>
      <c r="CU79" s="286" t="str">
        <v xml:space="preserve"> </v>
      </c>
      <c r="CV79" s="98">
        <f t="array" ref="CV79">IF(CT79&lt;CU79,CT79,"")</f>
        <v>37</v>
      </c>
      <c r="CW79" s="49">
        <v>37</v>
      </c>
      <c r="CX79" s="49"/>
      <c r="CY79" s="49">
        <v>37</v>
      </c>
      <c r="CZ79" s="49" t="str">
        <v xml:space="preserve"> </v>
      </c>
      <c r="DA79" s="98">
        <f t="array" ref="DA79">IF(CY79&lt;CZ79,CY79,"")</f>
        <v>37</v>
      </c>
      <c r="DB79" s="49">
        <v>37</v>
      </c>
      <c r="DC79" s="49"/>
      <c r="DD79" s="49">
        <v>37</v>
      </c>
      <c r="DE79" s="49"/>
      <c r="DF79" s="49"/>
      <c r="DG79" s="49"/>
      <c r="DH79" s="49"/>
    </row>
    <row r="80" spans="1:112" ht="13.5" hidden="1" customHeight="1">
      <c r="A80" s="54"/>
      <c r="B80" s="269"/>
      <c r="C80" s="269"/>
      <c r="D80" s="269"/>
      <c r="E80" s="269"/>
      <c r="F80" s="274"/>
      <c r="G80" s="106"/>
      <c r="H80" s="267"/>
      <c r="I80" s="106"/>
      <c r="J80" s="267"/>
      <c r="K80" s="106"/>
      <c r="L80" s="267"/>
      <c r="M80" s="106"/>
      <c r="N80" s="267"/>
      <c r="O80" s="106"/>
      <c r="P80" s="267"/>
      <c r="Q80" s="106"/>
      <c r="R80" s="267"/>
      <c r="S80" s="106"/>
      <c r="T80" s="267"/>
      <c r="U80" s="107"/>
      <c r="V80" s="267"/>
      <c r="W80" s="107"/>
      <c r="X80" s="267"/>
      <c r="Y80" s="106"/>
      <c r="Z80" s="267"/>
      <c r="AA80" s="106"/>
      <c r="AB80" s="274"/>
      <c r="AC80" s="269"/>
      <c r="AD80" s="267"/>
      <c r="AE80" s="279"/>
      <c r="AF80" s="281"/>
      <c r="AG80" s="283"/>
      <c r="AH80" s="283"/>
      <c r="AI80" s="283"/>
      <c r="AJ80" s="283"/>
      <c r="AK80" s="283"/>
      <c r="AL80" s="283"/>
      <c r="AM80" s="283"/>
      <c r="AN80" s="283"/>
      <c r="AO80" s="283"/>
      <c r="AP80" s="283"/>
      <c r="AQ80" s="283"/>
      <c r="AR80" s="283"/>
      <c r="AS80" s="283"/>
      <c r="AT80" s="283"/>
      <c r="AU80" s="283"/>
      <c r="AV80" s="283"/>
      <c r="AW80" s="283"/>
      <c r="AX80" s="264"/>
      <c r="AY80" s="92" t="str">
        <f ca="1"/>
        <v/>
      </c>
      <c r="AZ80" s="92"/>
      <c r="BA80" s="92" t="str">
        <f ca="1"/>
        <v/>
      </c>
      <c r="BB80" s="92"/>
      <c r="BC80" s="49" t="str">
        <f ca="1"/>
        <v/>
      </c>
      <c r="BD80" s="144">
        <f ca="1"/>
        <v>0</v>
      </c>
      <c r="BE80" s="49" t="str">
        <f ca="1"/>
        <v/>
      </c>
      <c r="BF80" s="143">
        <f ca="1"/>
        <v>0</v>
      </c>
      <c r="BG80" s="49" t="str">
        <f ca="1"/>
        <v/>
      </c>
      <c r="BH80" s="49" t="str">
        <f ca="1"/>
        <v/>
      </c>
      <c r="BI80" s="49"/>
      <c r="BJ80" s="49"/>
      <c r="BK80" s="49"/>
      <c r="BL80" s="49"/>
      <c r="BM80" s="285" t="str">
        <v/>
      </c>
      <c r="BN80" s="264">
        <v>0</v>
      </c>
      <c r="BO80" s="109" t="str">
        <f>IF(BO79="","",BN79)</f>
        <v/>
      </c>
      <c r="BP80" s="109" t="str">
        <v/>
      </c>
      <c r="BQ80" s="125"/>
      <c r="BR80" s="264" t="str">
        <v/>
      </c>
      <c r="BS80" s="264">
        <v>0</v>
      </c>
      <c r="BT80" s="109" t="str">
        <f>IF(BT79="","",BS79)</f>
        <v/>
      </c>
      <c r="BU80" s="109" t="str">
        <v/>
      </c>
      <c r="BV80" s="124"/>
      <c r="BW80" s="285" t="str">
        <v/>
      </c>
      <c r="BX80" s="264">
        <v>0</v>
      </c>
      <c r="BY80" s="102" t="str">
        <f>IF(BY79="","",BX79)</f>
        <v xml:space="preserve"> </v>
      </c>
      <c r="BZ80" s="102" t="str">
        <f t="shared" si="17"/>
        <v xml:space="preserve"> </v>
      </c>
      <c r="CA80" s="128"/>
      <c r="CB80" s="63" t="str">
        <f t="shared" si="18"/>
        <v>св</v>
      </c>
      <c r="CC80" s="128"/>
      <c r="CD80" s="159"/>
      <c r="CE80" s="264" t="str">
        <v/>
      </c>
      <c r="CF80" s="264">
        <v>0</v>
      </c>
      <c r="CG80" s="113" t="str">
        <f>IF(CG79="","",CF79)</f>
        <v xml:space="preserve"> </v>
      </c>
      <c r="CH80" s="128" t="str">
        <v xml:space="preserve"> </v>
      </c>
      <c r="CI80" s="115"/>
      <c r="CJ80" s="49" t="str">
        <v/>
      </c>
      <c r="CK80" s="153">
        <v>0</v>
      </c>
      <c r="CL80" s="113" t="str">
        <f>IF(CL79="","",CK79)</f>
        <v xml:space="preserve"> </v>
      </c>
      <c r="CM80" s="49" t="str">
        <v xml:space="preserve"> </v>
      </c>
      <c r="CN80" s="49"/>
      <c r="CO80" s="264" t="str">
        <v/>
      </c>
      <c r="CP80" s="264">
        <v>0</v>
      </c>
      <c r="CQ80" s="113" t="str">
        <f>IF(CQ79="","",CP79)</f>
        <v xml:space="preserve"> </v>
      </c>
      <c r="CR80" s="49" t="str">
        <v xml:space="preserve"> </v>
      </c>
      <c r="CS80" s="152"/>
      <c r="CT80" s="264" t="str">
        <v/>
      </c>
      <c r="CU80" s="264">
        <v>0</v>
      </c>
      <c r="CV80" s="113" t="str">
        <f>IF(CV79="","",CU79)</f>
        <v xml:space="preserve"> </v>
      </c>
      <c r="CW80" s="49" t="str">
        <v xml:space="preserve"> </v>
      </c>
      <c r="CX80" s="49"/>
      <c r="CY80" s="49" t="str">
        <v/>
      </c>
      <c r="CZ80" s="49">
        <v>0</v>
      </c>
      <c r="DA80" s="113" t="str">
        <f>IF(DA79="","",CZ79)</f>
        <v xml:space="preserve"> </v>
      </c>
      <c r="DB80" s="49" t="str">
        <v xml:space="preserve"> </v>
      </c>
      <c r="DC80" s="49"/>
      <c r="DD80" s="49" t="str">
        <v/>
      </c>
      <c r="DE80" s="49"/>
      <c r="DF80" s="49"/>
      <c r="DG80" s="49"/>
      <c r="DH80" s="49"/>
    </row>
    <row r="81" spans="1:112" ht="13.5" hidden="1" customHeight="1">
      <c r="A81" s="54"/>
      <c r="B81" s="268">
        <v>38</v>
      </c>
      <c r="C81" s="270" t="e">
        <f>(VLOOKUP($B81,Пр.взв!$D$6:$J$63,2,0))</f>
        <v>#N/A</v>
      </c>
      <c r="D81" s="271" t="e">
        <f>(VLOOKUP($B81,Пр.взв!$D$6:$J$63,5,0))</f>
        <v>#N/A</v>
      </c>
      <c r="E81" s="272" t="e">
        <f>(VLOOKUP($B81,Пр.взв!$D$6:$M$63,8,0))</f>
        <v>#N/A</v>
      </c>
      <c r="F81" s="273"/>
      <c r="G81" s="87"/>
      <c r="H81" s="266"/>
      <c r="I81" s="89"/>
      <c r="J81" s="266" t="str">
        <f>IF(H81="Х","Х",IF($AC81&lt;6," ","Х"))</f>
        <v xml:space="preserve"> </v>
      </c>
      <c r="K81" s="87"/>
      <c r="L81" s="266" t="str">
        <f>IF(J81="Х","Х",IF(K81&lt;3," ",IF($AC81&lt;6," ","Х")))</f>
        <v xml:space="preserve"> </v>
      </c>
      <c r="M81" s="87"/>
      <c r="N81" s="266" t="str">
        <f>IF(L81="Х","Х",IF(M81&lt;3," ",IF($AC81&lt;6," ","Х")))</f>
        <v xml:space="preserve"> </v>
      </c>
      <c r="O81" s="87"/>
      <c r="P81" s="266" t="str">
        <f>IF(N81="Х","Х",IF(O81&lt;3," ",IF($AC81&lt;6," ","Х")))</f>
        <v xml:space="preserve"> </v>
      </c>
      <c r="Q81" s="87"/>
      <c r="R81" s="266" t="str">
        <f>IF(P81="Х","Х",IF(Q81&lt;3," ",IF($AC81&lt;6," ","Х")))</f>
        <v xml:space="preserve"> </v>
      </c>
      <c r="S81" s="87"/>
      <c r="T81" s="266" t="str">
        <f>IF(R81="Х","Х",IF(S81&lt;3," ",IF($AC81&lt;6," ","Х")))</f>
        <v xml:space="preserve"> </v>
      </c>
      <c r="U81" s="88"/>
      <c r="V81" s="266" t="str">
        <f>IF(T81="Х","Х",IF(U81&lt;3," ",IF($AC81&lt;6," ","Х")))</f>
        <v xml:space="preserve"> </v>
      </c>
      <c r="W81" s="88"/>
      <c r="X81" s="266" t="str">
        <f>IF(V81="А1",$AZ$7,IF(V81="Б2",$AZ$6,IF(V81="Б1",$BA$7,IF(V81="А2",$BA$6,IF(V81="Х","Х",IF(V81&lt;6," "," "))))))</f>
        <v xml:space="preserve"> </v>
      </c>
      <c r="Y81" s="89"/>
      <c r="Z81" s="266" t="str">
        <f>IF(V81="Х","Х",IF(ISBLANK(Y81),"",IF(Y81&gt;2.5," ",IF(B81=BB$6,BB$7,BB$6))))</f>
        <v/>
      </c>
      <c r="AA81" s="89"/>
      <c r="AB81" s="290" t="str">
        <f>IF(H81="Х",F$5,IF(J81="Х",H$5,IF(L81="Х",J$5,IF(N81="Х",L$5,IF(P81="Х",N$5,IF(R81="Х",P$5,IF(T81="Х",R$5,IF(X81="Х",T$5,""))))))))</f>
        <v/>
      </c>
      <c r="AC81" s="276">
        <f>SUM(G81+I81+K81+M81+O81+Q81+S81+U81+Y81+AA81)</f>
        <v>0</v>
      </c>
      <c r="AD81" s="291" t="str">
        <f>AF81</f>
        <v>27-71</v>
      </c>
      <c r="AE81" s="278" t="str">
        <f>AD81</f>
        <v>27-71</v>
      </c>
      <c r="AF81" s="280" t="str">
        <f>COUNTIF(AG$6:AG$148,"&gt;"&amp;AG$6:AG$148)+1&amp;REPT("-"&amp;COUNTIF(AG$6:AG$148,"&gt;="&amp;AG$6:AG$148),COUNTIF(AG$6:AG$148,AG81)&gt;1)</f>
        <v>27-71</v>
      </c>
      <c r="AG81" s="282">
        <f>(AR81*100)+(AP81*10)-AC81</f>
        <v>80</v>
      </c>
      <c r="AH81" s="288" t="str">
        <f>IF(OR(F81="Х",F81="св")," ",IF(AND(G81&gt;=0,G81&lt;3),"1"," "))</f>
        <v>1</v>
      </c>
      <c r="AI81" s="289" t="str">
        <f>IF(OR(H81="Х",H81="св")," ",IF(AND(I81&gt;=0,I81&lt;3),"1"," "))</f>
        <v>1</v>
      </c>
      <c r="AJ81" s="289" t="str">
        <f>IF(OR(J81="Х",J81="св")," ",IF(AND(K81&gt;=0,K81&lt;3),"1"," "))</f>
        <v>1</v>
      </c>
      <c r="AK81" s="289" t="str">
        <f>IF(OR(L81="Х",L81="св")," ",IF(AND(M81&gt;=0,M81&lt;3),"1"," "))</f>
        <v>1</v>
      </c>
      <c r="AL81" s="289" t="str">
        <f>IF(OR(N81="Х",N81="св")," ",IF(AND(O81&gt;=0,O81&lt;3),"1"," "))</f>
        <v>1</v>
      </c>
      <c r="AM81" s="289" t="str">
        <f>IF(OR(P81="Х",P81="св")," ",IF(AND(Q81&gt;=0,Q81&lt;3),"1"," "))</f>
        <v>1</v>
      </c>
      <c r="AN81" s="289" t="str">
        <f>IF(OR(R81="Х",R81="св")," ",IF(AND(S81&gt;=0,S81&lt;3),"1"," "))</f>
        <v>1</v>
      </c>
      <c r="AO81" s="289" t="str">
        <f>IF(OR(T81="Х",T81="св")," ",IF(AND(U81&gt;=0,U81&lt;3),"1"," "))</f>
        <v>1</v>
      </c>
      <c r="AP81" s="289">
        <f>COUNTIF(AH81:AO82,1)</f>
        <v>8</v>
      </c>
      <c r="AQ81" s="289">
        <f>AG81-AC81</f>
        <v>80</v>
      </c>
      <c r="AR81" s="292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289" t="str">
        <f>COUNTIF(AG$6:AG$134,"&gt;"&amp;AG$6:AG$134)+1&amp;REPT("-"&amp;COUNTIF(AG$6:AG$134,"&gt;="&amp;AG$6:AG$134),COUNTIF(AG$6:AG$134,AG81)&gt;1)</f>
        <v>27-64</v>
      </c>
      <c r="AT81" s="288" t="str">
        <f t="shared" ref="AT81:AW81" si="42">COUNTIF(AU$6:AU$134,"&gt;"&amp;AU$6:AU$134)+1&amp;REPT("-"&amp;COUNTIF(AU$6:AU$134,"&gt;="&amp;AU$6:AU$134),COUNTIF(AU$6:AU$134,AU81)&gt;1)</f>
        <v>1-64</v>
      </c>
      <c r="AU81" s="288" t="str">
        <f t="shared" si="42"/>
        <v>1-0</v>
      </c>
      <c r="AV81" s="288" t="str">
        <f t="shared" si="42"/>
        <v>1</v>
      </c>
      <c r="AW81" s="288" t="str">
        <f t="shared" si="42"/>
        <v>27</v>
      </c>
      <c r="AX81" s="293">
        <f>IF(X81="Х","Х",IF(Y81&lt;3,B81,"Х"))</f>
        <v>38</v>
      </c>
      <c r="AY81" s="92" t="str">
        <f ca="1"/>
        <v/>
      </c>
      <c r="AZ81" s="92"/>
      <c r="BA81" s="92" t="str">
        <f ca="1"/>
        <v/>
      </c>
      <c r="BB81" s="92"/>
      <c r="BC81" s="49" t="str">
        <f ca="1"/>
        <v/>
      </c>
      <c r="BD81" s="144">
        <f ca="1"/>
        <v>0</v>
      </c>
      <c r="BE81" s="49" t="str">
        <f ca="1"/>
        <v/>
      </c>
      <c r="BF81" s="143">
        <f ca="1"/>
        <v>0</v>
      </c>
      <c r="BG81" s="49" t="str">
        <f ca="1"/>
        <v/>
      </c>
      <c r="BH81" s="49" t="str">
        <f ca="1"/>
        <v/>
      </c>
      <c r="BI81" s="49"/>
      <c r="BJ81" s="49"/>
      <c r="BK81" s="49"/>
      <c r="BL81" s="49"/>
      <c r="BM81" s="294">
        <v>38</v>
      </c>
      <c r="BN81" s="287">
        <v>0</v>
      </c>
      <c r="BO81" s="98" t="str">
        <f>IF(BM81&lt;BN81,BM81,"")</f>
        <v/>
      </c>
      <c r="BP81" s="124" t="str">
        <v/>
      </c>
      <c r="BQ81" s="125"/>
      <c r="BR81" s="295" t="str">
        <v/>
      </c>
      <c r="BS81" s="287">
        <v>0</v>
      </c>
      <c r="BT81" s="109" t="str">
        <f>IF(BR81&lt;BS81,BR81,"")</f>
        <v/>
      </c>
      <c r="BU81" s="124" t="str">
        <v/>
      </c>
      <c r="BV81" s="124"/>
      <c r="BW81" s="284">
        <v>38</v>
      </c>
      <c r="BX81" s="286" t="str">
        <v xml:space="preserve"> </v>
      </c>
      <c r="BY81" s="102">
        <f t="array" ref="BY81">IF(BW81&lt;BX81,BW81,"")</f>
        <v>38</v>
      </c>
      <c r="BZ81" s="102">
        <f t="shared" si="17"/>
        <v>38</v>
      </c>
      <c r="CA81" s="63"/>
      <c r="CB81" s="63" t="str">
        <f t="shared" si="18"/>
        <v>св</v>
      </c>
      <c r="CC81" s="128"/>
      <c r="CD81" s="159"/>
      <c r="CE81" s="286">
        <v>38</v>
      </c>
      <c r="CF81" s="296" t="str">
        <v xml:space="preserve"> </v>
      </c>
      <c r="CG81" s="98">
        <f t="array" ref="CG81">IF(CE81&lt;CF81,CE81,"")</f>
        <v>38</v>
      </c>
      <c r="CH81" s="63">
        <v>38</v>
      </c>
      <c r="CI81" s="115"/>
      <c r="CJ81" s="65">
        <v>38</v>
      </c>
      <c r="CK81" s="151" t="str">
        <v xml:space="preserve"> </v>
      </c>
      <c r="CL81" s="98">
        <f t="array" ref="CL81">IF(CJ81&lt;CK81,CJ81,"")</f>
        <v>38</v>
      </c>
      <c r="CM81" s="49">
        <v>38</v>
      </c>
      <c r="CN81" s="49"/>
      <c r="CO81" s="286">
        <v>38</v>
      </c>
      <c r="CP81" s="286" t="str">
        <v xml:space="preserve"> </v>
      </c>
      <c r="CQ81" s="98">
        <f t="array" ref="CQ81">IF(CO81&lt;CP81,CO81,"")</f>
        <v>38</v>
      </c>
      <c r="CR81" s="65">
        <v>38</v>
      </c>
      <c r="CS81" s="152"/>
      <c r="CT81" s="286">
        <v>38</v>
      </c>
      <c r="CU81" s="286" t="str">
        <v xml:space="preserve"> </v>
      </c>
      <c r="CV81" s="98">
        <f t="array" ref="CV81">IF(CT81&lt;CU81,CT81,"")</f>
        <v>38</v>
      </c>
      <c r="CW81" s="49">
        <v>38</v>
      </c>
      <c r="CX81" s="49"/>
      <c r="CY81" s="49">
        <v>38</v>
      </c>
      <c r="CZ81" s="49" t="str">
        <v xml:space="preserve"> </v>
      </c>
      <c r="DA81" s="98">
        <f t="array" ref="DA81">IF(CY81&lt;CZ81,CY81,"")</f>
        <v>38</v>
      </c>
      <c r="DB81" s="49">
        <v>38</v>
      </c>
      <c r="DC81" s="49"/>
      <c r="DD81" s="49">
        <v>38</v>
      </c>
      <c r="DE81" s="49"/>
      <c r="DF81" s="49"/>
      <c r="DG81" s="49"/>
      <c r="DH81" s="49"/>
    </row>
    <row r="82" spans="1:112" ht="13.5" hidden="1" customHeight="1">
      <c r="A82" s="54"/>
      <c r="B82" s="269"/>
      <c r="C82" s="269"/>
      <c r="D82" s="269"/>
      <c r="E82" s="269"/>
      <c r="F82" s="274"/>
      <c r="G82" s="106"/>
      <c r="H82" s="267"/>
      <c r="I82" s="106"/>
      <c r="J82" s="267"/>
      <c r="K82" s="106"/>
      <c r="L82" s="267"/>
      <c r="M82" s="106"/>
      <c r="N82" s="267"/>
      <c r="O82" s="106"/>
      <c r="P82" s="267"/>
      <c r="Q82" s="106"/>
      <c r="R82" s="267"/>
      <c r="S82" s="106"/>
      <c r="T82" s="267"/>
      <c r="U82" s="107"/>
      <c r="V82" s="267"/>
      <c r="W82" s="107"/>
      <c r="X82" s="267"/>
      <c r="Y82" s="106"/>
      <c r="Z82" s="267"/>
      <c r="AA82" s="106"/>
      <c r="AB82" s="274"/>
      <c r="AC82" s="269"/>
      <c r="AD82" s="267"/>
      <c r="AE82" s="279"/>
      <c r="AF82" s="281"/>
      <c r="AG82" s="283"/>
      <c r="AH82" s="283"/>
      <c r="AI82" s="283"/>
      <c r="AJ82" s="283"/>
      <c r="AK82" s="283"/>
      <c r="AL82" s="283"/>
      <c r="AM82" s="283"/>
      <c r="AN82" s="283"/>
      <c r="AO82" s="283"/>
      <c r="AP82" s="283"/>
      <c r="AQ82" s="283"/>
      <c r="AR82" s="283"/>
      <c r="AS82" s="283"/>
      <c r="AT82" s="283"/>
      <c r="AU82" s="283"/>
      <c r="AV82" s="283"/>
      <c r="AW82" s="283"/>
      <c r="AX82" s="264"/>
      <c r="AY82" s="92">
        <f ca="1"/>
        <v>0</v>
      </c>
      <c r="AZ82" s="92"/>
      <c r="BA82" s="92">
        <f ca="1"/>
        <v>0</v>
      </c>
      <c r="BB82" s="92"/>
      <c r="BC82" s="49">
        <f ca="1"/>
        <v>0</v>
      </c>
      <c r="BD82" s="144">
        <f ca="1"/>
        <v>0</v>
      </c>
      <c r="BE82" s="49">
        <f ca="1"/>
        <v>0</v>
      </c>
      <c r="BF82" s="143">
        <f ca="1"/>
        <v>0</v>
      </c>
      <c r="BG82" s="49">
        <f ca="1"/>
        <v>0</v>
      </c>
      <c r="BH82" s="49">
        <f ca="1"/>
        <v>0</v>
      </c>
      <c r="BI82" s="49"/>
      <c r="BJ82" s="49"/>
      <c r="BK82" s="49"/>
      <c r="BL82" s="49"/>
      <c r="BM82" s="285" t="str">
        <v/>
      </c>
      <c r="BN82" s="264">
        <v>0</v>
      </c>
      <c r="BO82" s="109" t="str">
        <f>IF(BO81="","",BN81)</f>
        <v/>
      </c>
      <c r="BP82" s="109" t="str">
        <v/>
      </c>
      <c r="BQ82" s="125"/>
      <c r="BR82" s="264" t="str">
        <v/>
      </c>
      <c r="BS82" s="264">
        <v>0</v>
      </c>
      <c r="BT82" s="109" t="str">
        <f>IF(BT81="","",BS81)</f>
        <v/>
      </c>
      <c r="BU82" s="109" t="str">
        <v/>
      </c>
      <c r="BV82" s="124"/>
      <c r="BW82" s="285" t="str">
        <v/>
      </c>
      <c r="BX82" s="264">
        <v>0</v>
      </c>
      <c r="BY82" s="102" t="str">
        <f>IF(BY81="","",BX81)</f>
        <v xml:space="preserve"> </v>
      </c>
      <c r="BZ82" s="102" t="str">
        <f t="shared" si="17"/>
        <v xml:space="preserve"> </v>
      </c>
      <c r="CA82" s="128"/>
      <c r="CB82" s="63" t="str">
        <f t="shared" si="18"/>
        <v>св</v>
      </c>
      <c r="CC82" s="128"/>
      <c r="CD82" s="159"/>
      <c r="CE82" s="264" t="str">
        <v/>
      </c>
      <c r="CF82" s="264">
        <v>0</v>
      </c>
      <c r="CG82" s="113" t="str">
        <f>IF(CG81="","",CF81)</f>
        <v xml:space="preserve"> </v>
      </c>
      <c r="CH82" s="128" t="str">
        <v xml:space="preserve"> </v>
      </c>
      <c r="CI82" s="115"/>
      <c r="CJ82" s="49" t="str">
        <v/>
      </c>
      <c r="CK82" s="153">
        <v>0</v>
      </c>
      <c r="CL82" s="113" t="str">
        <f>IF(CL81="","",CK81)</f>
        <v xml:space="preserve"> </v>
      </c>
      <c r="CM82" s="49" t="str">
        <v xml:space="preserve"> </v>
      </c>
      <c r="CN82" s="49"/>
      <c r="CO82" s="264" t="str">
        <v/>
      </c>
      <c r="CP82" s="264">
        <v>0</v>
      </c>
      <c r="CQ82" s="113" t="str">
        <f>IF(CQ81="","",CP81)</f>
        <v xml:space="preserve"> </v>
      </c>
      <c r="CR82" s="49" t="str">
        <v xml:space="preserve"> </v>
      </c>
      <c r="CS82" s="152"/>
      <c r="CT82" s="264" t="str">
        <v/>
      </c>
      <c r="CU82" s="264">
        <v>0</v>
      </c>
      <c r="CV82" s="113" t="str">
        <f>IF(CV81="","",CU81)</f>
        <v xml:space="preserve"> </v>
      </c>
      <c r="CW82" s="49" t="str">
        <v xml:space="preserve"> </v>
      </c>
      <c r="CX82" s="49"/>
      <c r="CY82" s="49" t="str">
        <v/>
      </c>
      <c r="CZ82" s="49">
        <v>0</v>
      </c>
      <c r="DA82" s="113" t="str">
        <f>IF(DA81="","",CZ81)</f>
        <v xml:space="preserve"> </v>
      </c>
      <c r="DB82" s="49" t="str">
        <v xml:space="preserve"> </v>
      </c>
      <c r="DC82" s="49"/>
      <c r="DD82" s="49" t="str">
        <v/>
      </c>
      <c r="DE82" s="49"/>
      <c r="DF82" s="49"/>
      <c r="DG82" s="49"/>
      <c r="DH82" s="49"/>
    </row>
    <row r="83" spans="1:112" ht="13.5" hidden="1" customHeight="1">
      <c r="A83" s="54"/>
      <c r="B83" s="268">
        <v>39</v>
      </c>
      <c r="C83" s="270" t="e">
        <f>(VLOOKUP($B83,Пр.взв!$D$6:$J$63,2,0))</f>
        <v>#N/A</v>
      </c>
      <c r="D83" s="271" t="e">
        <f>(VLOOKUP($B83,Пр.взв!$D$6:$J$63,5,0))</f>
        <v>#N/A</v>
      </c>
      <c r="E83" s="272" t="e">
        <f>(VLOOKUP($B83,Пр.взв!$D$6:$M$63,8,0))</f>
        <v>#N/A</v>
      </c>
      <c r="F83" s="273"/>
      <c r="G83" s="169"/>
      <c r="H83" s="266"/>
      <c r="I83" s="169"/>
      <c r="J83" s="266" t="str">
        <f>IF(H83="Х","Х",IF($AC83&lt;6," ","Х"))</f>
        <v xml:space="preserve"> </v>
      </c>
      <c r="K83" s="87"/>
      <c r="L83" s="266" t="str">
        <f>IF(J83="Х","Х",IF(K83&lt;3," ",IF($AC83&lt;6," ","Х")))</f>
        <v xml:space="preserve"> </v>
      </c>
      <c r="M83" s="87"/>
      <c r="N83" s="266" t="str">
        <f>IF(L83="Х","Х",IF(M83&lt;3," ",IF($AC83&lt;6," ","Х")))</f>
        <v xml:space="preserve"> </v>
      </c>
      <c r="O83" s="87"/>
      <c r="P83" s="266" t="str">
        <f>IF(N83="Х","Х",IF(O83&lt;3," ",IF($AC83&lt;6," ","Х")))</f>
        <v xml:space="preserve"> </v>
      </c>
      <c r="Q83" s="87"/>
      <c r="R83" s="266" t="str">
        <f>IF(P83="Х","Х",IF(Q83&lt;3," ",IF($AC83&lt;6," ","Х")))</f>
        <v xml:space="preserve"> </v>
      </c>
      <c r="S83" s="87"/>
      <c r="T83" s="266" t="str">
        <f>IF(R83="Х","Х",IF(S83&lt;3," ",IF($AC83&lt;6," ","Х")))</f>
        <v xml:space="preserve"> </v>
      </c>
      <c r="U83" s="88"/>
      <c r="V83" s="266" t="str">
        <f>IF(T83="Х","Х",IF(U83&lt;3," ",IF($AC83&lt;6," ","Х")))</f>
        <v xml:space="preserve"> </v>
      </c>
      <c r="W83" s="88"/>
      <c r="X83" s="266" t="str">
        <f>IF(V83="А1",$AZ$7,IF(V83="Б2",$AZ$6,IF(V83="Б1",$BA$7,IF(V83="А2",$BA$6,IF(V83="Х","Х",IF(V83&lt;6," "," "))))))</f>
        <v xml:space="preserve"> </v>
      </c>
      <c r="Y83" s="89"/>
      <c r="Z83" s="266" t="str">
        <f>IF(V83="Х","Х",IF(ISBLANK(Y83),"",IF(Y83&gt;2.5," ",IF(B83=BB$6,BB$7,BB$6))))</f>
        <v/>
      </c>
      <c r="AA83" s="89"/>
      <c r="AB83" s="290" t="str">
        <f>IF(H83="Х",F$5,IF(J83="Х",H$5,IF(L83="Х",J$5,IF(N83="Х",L$5,IF(P83="Х",N$5,IF(R83="Х",P$5,IF(T83="Х",R$5,IF(X83="Х",T$5,""))))))))</f>
        <v/>
      </c>
      <c r="AC83" s="276">
        <f>SUM(G83+I83+K83+M83+O83+Q83+S83+U83+Y83+AA83)</f>
        <v>0</v>
      </c>
      <c r="AD83" s="291" t="str">
        <f>AF83</f>
        <v>27-71</v>
      </c>
      <c r="AE83" s="278" t="str">
        <f>AD83</f>
        <v>27-71</v>
      </c>
      <c r="AF83" s="280" t="str">
        <f>COUNTIF(AG$6:AG$148,"&gt;"&amp;AG$6:AG$148)+1&amp;REPT("-"&amp;COUNTIF(AG$6:AG$148,"&gt;="&amp;AG$6:AG$148),COUNTIF(AG$6:AG$148,AG83)&gt;1)</f>
        <v>27-71</v>
      </c>
      <c r="AG83" s="282">
        <f>(AR83*100)+(AP83*10)-AC83</f>
        <v>80</v>
      </c>
      <c r="AH83" s="288" t="str">
        <f>IF(OR(F83="Х",F83="св")," ",IF(AND(G83&gt;=0,G83&lt;3),"1"," "))</f>
        <v>1</v>
      </c>
      <c r="AI83" s="289" t="str">
        <f>IF(OR(H83="Х",H83="св")," ",IF(AND(I83&gt;=0,I83&lt;3),"1"," "))</f>
        <v>1</v>
      </c>
      <c r="AJ83" s="289" t="str">
        <f>IF(OR(J83="Х",J83="св")," ",IF(AND(K83&gt;=0,K83&lt;3),"1"," "))</f>
        <v>1</v>
      </c>
      <c r="AK83" s="289" t="str">
        <f>IF(OR(L83="Х",L83="св")," ",IF(AND(M83&gt;=0,M83&lt;3),"1"," "))</f>
        <v>1</v>
      </c>
      <c r="AL83" s="289" t="str">
        <f>IF(OR(N83="Х",N83="св")," ",IF(AND(O83&gt;=0,O83&lt;3),"1"," "))</f>
        <v>1</v>
      </c>
      <c r="AM83" s="289" t="str">
        <f>IF(OR(P83="Х",P83="св")," ",IF(AND(Q83&gt;=0,Q83&lt;3),"1"," "))</f>
        <v>1</v>
      </c>
      <c r="AN83" s="289" t="str">
        <f>IF(OR(R83="Х",R83="св")," ",IF(AND(S83&gt;=0,S83&lt;3),"1"," "))</f>
        <v>1</v>
      </c>
      <c r="AO83" s="289" t="str">
        <f>IF(OR(T83="Х",T83="св")," ",IF(AND(U83&gt;=0,U83&lt;3),"1"," "))</f>
        <v>1</v>
      </c>
      <c r="AP83" s="289">
        <f>COUNTIF(AH83:AO84,1)</f>
        <v>8</v>
      </c>
      <c r="AQ83" s="289">
        <f>AG83-AC83</f>
        <v>80</v>
      </c>
      <c r="AR83" s="292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289" t="str">
        <f>COUNTIF(AG$6:AG$134,"&gt;"&amp;AG$6:AG$134)+1&amp;REPT("-"&amp;COUNTIF(AG$6:AG$134,"&gt;="&amp;AG$6:AG$134),COUNTIF(AG$6:AG$134,AG83)&gt;1)</f>
        <v>27-64</v>
      </c>
      <c r="AT83" s="288" t="str">
        <f t="shared" ref="AT83:AW83" si="43">COUNTIF(AU$6:AU$134,"&gt;"&amp;AU$6:AU$134)+1&amp;REPT("-"&amp;COUNTIF(AU$6:AU$134,"&gt;="&amp;AU$6:AU$134),COUNTIF(AU$6:AU$134,AU83)&gt;1)</f>
        <v>1-64</v>
      </c>
      <c r="AU83" s="288" t="str">
        <f t="shared" si="43"/>
        <v>1-0</v>
      </c>
      <c r="AV83" s="288" t="str">
        <f t="shared" si="43"/>
        <v>1</v>
      </c>
      <c r="AW83" s="288" t="str">
        <f t="shared" si="43"/>
        <v>26</v>
      </c>
      <c r="AX83" s="293">
        <f>IF(X83="Х","Х",IF(Y83&lt;3,B83,"Х"))</f>
        <v>39</v>
      </c>
      <c r="AY83" s="92">
        <f ca="1"/>
        <v>0</v>
      </c>
      <c r="AZ83" s="92"/>
      <c r="BA83" s="92">
        <f ca="1"/>
        <v>0</v>
      </c>
      <c r="BB83" s="92"/>
      <c r="BC83" s="49">
        <f ca="1"/>
        <v>0</v>
      </c>
      <c r="BD83" s="144">
        <f ca="1"/>
        <v>0</v>
      </c>
      <c r="BE83" s="49">
        <f ca="1"/>
        <v>0</v>
      </c>
      <c r="BF83" s="143">
        <f ca="1"/>
        <v>0</v>
      </c>
      <c r="BG83" s="49">
        <f ca="1"/>
        <v>0</v>
      </c>
      <c r="BH83" s="49">
        <f ca="1"/>
        <v>0</v>
      </c>
      <c r="BI83" s="49"/>
      <c r="BJ83" s="49"/>
      <c r="BK83" s="49"/>
      <c r="BL83" s="49"/>
      <c r="BM83" s="294">
        <v>39</v>
      </c>
      <c r="BN83" s="287">
        <v>0</v>
      </c>
      <c r="BO83" s="98" t="str">
        <f>IF(BM83&lt;BN83,BM83,"")</f>
        <v/>
      </c>
      <c r="BP83" s="124" t="str">
        <v/>
      </c>
      <c r="BQ83" s="125"/>
      <c r="BR83" s="295" t="str">
        <v/>
      </c>
      <c r="BS83" s="287">
        <v>0</v>
      </c>
      <c r="BT83" s="109" t="str">
        <f>IF(BR83&lt;BS83,BR83,"")</f>
        <v/>
      </c>
      <c r="BU83" s="124" t="str">
        <v/>
      </c>
      <c r="BV83" s="124"/>
      <c r="BW83" s="284">
        <v>39</v>
      </c>
      <c r="BX83" s="286" t="str">
        <v xml:space="preserve"> </v>
      </c>
      <c r="BY83" s="102">
        <f t="array" ref="BY83">IF(BW83&lt;BX83,BW83,"")</f>
        <v>39</v>
      </c>
      <c r="BZ83" s="102">
        <f t="shared" si="17"/>
        <v>39</v>
      </c>
      <c r="CA83" s="63"/>
      <c r="CB83" s="63" t="str">
        <f t="shared" si="18"/>
        <v>св</v>
      </c>
      <c r="CC83" s="128"/>
      <c r="CD83" s="159"/>
      <c r="CE83" s="286">
        <v>39</v>
      </c>
      <c r="CF83" s="296" t="str">
        <v xml:space="preserve"> </v>
      </c>
      <c r="CG83" s="98">
        <f t="array" ref="CG83">IF(CE83&lt;CF83,CE83,"")</f>
        <v>39</v>
      </c>
      <c r="CH83" s="63">
        <v>39</v>
      </c>
      <c r="CI83" s="115"/>
      <c r="CJ83" s="65">
        <v>39</v>
      </c>
      <c r="CK83" s="151" t="str">
        <v xml:space="preserve"> </v>
      </c>
      <c r="CL83" s="98">
        <f t="array" ref="CL83">IF(CJ83&lt;CK83,CJ83,"")</f>
        <v>39</v>
      </c>
      <c r="CM83" s="49">
        <v>39</v>
      </c>
      <c r="CN83" s="49"/>
      <c r="CO83" s="286">
        <v>39</v>
      </c>
      <c r="CP83" s="286" t="str">
        <v xml:space="preserve"> </v>
      </c>
      <c r="CQ83" s="98">
        <f t="array" ref="CQ83">IF(CO83&lt;CP83,CO83,"")</f>
        <v>39</v>
      </c>
      <c r="CR83" s="65">
        <v>39</v>
      </c>
      <c r="CS83" s="152"/>
      <c r="CT83" s="286">
        <v>39</v>
      </c>
      <c r="CU83" s="286" t="str">
        <v xml:space="preserve"> </v>
      </c>
      <c r="CV83" s="98">
        <f t="array" ref="CV83">IF(CT83&lt;CU83,CT83,"")</f>
        <v>39</v>
      </c>
      <c r="CW83" s="49">
        <v>39</v>
      </c>
      <c r="CX83" s="49"/>
      <c r="CY83" s="49">
        <v>39</v>
      </c>
      <c r="CZ83" s="49" t="str">
        <v xml:space="preserve"> </v>
      </c>
      <c r="DA83" s="98">
        <f t="array" ref="DA83">IF(CY83&lt;CZ83,CY83,"")</f>
        <v>39</v>
      </c>
      <c r="DB83" s="49">
        <v>39</v>
      </c>
      <c r="DC83" s="49"/>
      <c r="DD83" s="49">
        <v>39</v>
      </c>
      <c r="DE83" s="49"/>
      <c r="DF83" s="49"/>
      <c r="DG83" s="49"/>
      <c r="DH83" s="49"/>
    </row>
    <row r="84" spans="1:112" ht="13.5" hidden="1" customHeight="1">
      <c r="A84" s="54"/>
      <c r="B84" s="269"/>
      <c r="C84" s="269"/>
      <c r="D84" s="269"/>
      <c r="E84" s="269"/>
      <c r="F84" s="274"/>
      <c r="G84" s="106"/>
      <c r="H84" s="267"/>
      <c r="I84" s="106"/>
      <c r="J84" s="267"/>
      <c r="K84" s="106"/>
      <c r="L84" s="267"/>
      <c r="M84" s="106"/>
      <c r="N84" s="267"/>
      <c r="O84" s="106"/>
      <c r="P84" s="267"/>
      <c r="Q84" s="106"/>
      <c r="R84" s="267"/>
      <c r="S84" s="106"/>
      <c r="T84" s="267"/>
      <c r="U84" s="107"/>
      <c r="V84" s="267"/>
      <c r="W84" s="107"/>
      <c r="X84" s="267"/>
      <c r="Y84" s="106"/>
      <c r="Z84" s="267"/>
      <c r="AA84" s="106"/>
      <c r="AB84" s="274"/>
      <c r="AC84" s="269"/>
      <c r="AD84" s="267"/>
      <c r="AE84" s="279"/>
      <c r="AF84" s="281"/>
      <c r="AG84" s="283"/>
      <c r="AH84" s="283"/>
      <c r="AI84" s="283"/>
      <c r="AJ84" s="283"/>
      <c r="AK84" s="283"/>
      <c r="AL84" s="283"/>
      <c r="AM84" s="283"/>
      <c r="AN84" s="283"/>
      <c r="AO84" s="283"/>
      <c r="AP84" s="283"/>
      <c r="AQ84" s="283"/>
      <c r="AR84" s="283"/>
      <c r="AS84" s="283"/>
      <c r="AT84" s="283"/>
      <c r="AU84" s="283"/>
      <c r="AV84" s="283"/>
      <c r="AW84" s="283"/>
      <c r="AX84" s="264"/>
      <c r="AY84" s="92">
        <f ca="1"/>
        <v>0</v>
      </c>
      <c r="AZ84" s="92"/>
      <c r="BA84" s="92">
        <f ca="1"/>
        <v>0</v>
      </c>
      <c r="BB84" s="92"/>
      <c r="BC84" s="49">
        <f ca="1"/>
        <v>0</v>
      </c>
      <c r="BD84" s="144">
        <f ca="1"/>
        <v>0</v>
      </c>
      <c r="BE84" s="49">
        <f ca="1"/>
        <v>0</v>
      </c>
      <c r="BF84" s="143">
        <f ca="1"/>
        <v>0</v>
      </c>
      <c r="BG84" s="49">
        <f ca="1"/>
        <v>0</v>
      </c>
      <c r="BH84" s="49">
        <f ca="1"/>
        <v>0</v>
      </c>
      <c r="BI84" s="49"/>
      <c r="BJ84" s="49"/>
      <c r="BK84" s="49"/>
      <c r="BL84" s="49"/>
      <c r="BM84" s="285" t="str">
        <v/>
      </c>
      <c r="BN84" s="264">
        <v>0</v>
      </c>
      <c r="BO84" s="109" t="str">
        <f>IF(BO83="","",BN83)</f>
        <v/>
      </c>
      <c r="BP84" s="109" t="str">
        <v/>
      </c>
      <c r="BQ84" s="125"/>
      <c r="BR84" s="264" t="str">
        <v/>
      </c>
      <c r="BS84" s="264">
        <v>0</v>
      </c>
      <c r="BT84" s="109" t="str">
        <f>IF(BT83="","",BS83)</f>
        <v/>
      </c>
      <c r="BU84" s="109" t="str">
        <v/>
      </c>
      <c r="BV84" s="124"/>
      <c r="BW84" s="285" t="str">
        <v/>
      </c>
      <c r="BX84" s="264">
        <v>0</v>
      </c>
      <c r="BY84" s="102" t="str">
        <f>IF(BY83="","",BX83)</f>
        <v xml:space="preserve"> </v>
      </c>
      <c r="BZ84" s="102" t="str">
        <f t="shared" si="17"/>
        <v xml:space="preserve"> </v>
      </c>
      <c r="CA84" s="128"/>
      <c r="CB84" s="63" t="str">
        <f t="shared" si="18"/>
        <v>св</v>
      </c>
      <c r="CC84" s="128"/>
      <c r="CD84" s="159"/>
      <c r="CE84" s="264" t="str">
        <v/>
      </c>
      <c r="CF84" s="264">
        <v>0</v>
      </c>
      <c r="CG84" s="113" t="str">
        <f>IF(CG83="","",CF83)</f>
        <v xml:space="preserve"> </v>
      </c>
      <c r="CH84" s="128" t="str">
        <v xml:space="preserve"> </v>
      </c>
      <c r="CI84" s="115"/>
      <c r="CJ84" s="49" t="str">
        <v/>
      </c>
      <c r="CK84" s="153">
        <v>0</v>
      </c>
      <c r="CL84" s="113" t="str">
        <f>IF(CL83="","",CK83)</f>
        <v xml:space="preserve"> </v>
      </c>
      <c r="CM84" s="49" t="str">
        <v xml:space="preserve"> </v>
      </c>
      <c r="CN84" s="49"/>
      <c r="CO84" s="264" t="str">
        <v/>
      </c>
      <c r="CP84" s="264">
        <v>0</v>
      </c>
      <c r="CQ84" s="113" t="str">
        <f>IF(CQ83="","",CP83)</f>
        <v xml:space="preserve"> </v>
      </c>
      <c r="CR84" s="49" t="str">
        <v xml:space="preserve"> </v>
      </c>
      <c r="CS84" s="152"/>
      <c r="CT84" s="264" t="str">
        <v/>
      </c>
      <c r="CU84" s="264">
        <v>0</v>
      </c>
      <c r="CV84" s="113" t="str">
        <f>IF(CV83="","",CU83)</f>
        <v xml:space="preserve"> </v>
      </c>
      <c r="CW84" s="49" t="str">
        <v xml:space="preserve"> </v>
      </c>
      <c r="CX84" s="49"/>
      <c r="CY84" s="49" t="str">
        <v/>
      </c>
      <c r="CZ84" s="49">
        <v>0</v>
      </c>
      <c r="DA84" s="113" t="str">
        <f>IF(DA83="","",CZ83)</f>
        <v xml:space="preserve"> </v>
      </c>
      <c r="DB84" s="49" t="str">
        <v xml:space="preserve"> </v>
      </c>
      <c r="DC84" s="49"/>
      <c r="DD84" s="49" t="str">
        <v/>
      </c>
      <c r="DE84" s="49"/>
      <c r="DF84" s="49"/>
      <c r="DG84" s="49"/>
      <c r="DH84" s="49"/>
    </row>
    <row r="85" spans="1:112" ht="13.5" hidden="1" customHeight="1">
      <c r="A85" s="54"/>
      <c r="B85" s="268">
        <v>40</v>
      </c>
      <c r="C85" s="270" t="e">
        <f>(VLOOKUP($B85,Пр.взв!$D$6:$J$63,2,0))</f>
        <v>#N/A</v>
      </c>
      <c r="D85" s="271" t="e">
        <f>(VLOOKUP($B85,Пр.взв!$D$6:$J$63,5,0))</f>
        <v>#N/A</v>
      </c>
      <c r="E85" s="272" t="e">
        <f>(VLOOKUP($B85,Пр.взв!$D$6:$M$63,8,0))</f>
        <v>#N/A</v>
      </c>
      <c r="F85" s="273"/>
      <c r="G85" s="87"/>
      <c r="H85" s="266"/>
      <c r="I85" s="89"/>
      <c r="J85" s="266" t="str">
        <f>IF(H85="Х","Х",IF($AC85&lt;6," ","Х"))</f>
        <v xml:space="preserve"> </v>
      </c>
      <c r="K85" s="87"/>
      <c r="L85" s="266" t="str">
        <f>IF(J85="Х","Х",IF(K85&lt;3," ",IF($AC85&lt;6," ","Х")))</f>
        <v xml:space="preserve"> </v>
      </c>
      <c r="M85" s="87"/>
      <c r="N85" s="266" t="str">
        <f>IF(L85="Х","Х",IF(M85&lt;3," ",IF($AC85&lt;6," ","Х")))</f>
        <v xml:space="preserve"> </v>
      </c>
      <c r="O85" s="87"/>
      <c r="P85" s="266" t="str">
        <f>IF(N85="Х","Х",IF(O85&lt;3," ",IF($AC85&lt;6," ","Х")))</f>
        <v xml:space="preserve"> </v>
      </c>
      <c r="Q85" s="87"/>
      <c r="R85" s="266" t="str">
        <f>IF(P85="Х","Х",IF(Q85&lt;3," ",IF($AC85&lt;6," ","Х")))</f>
        <v xml:space="preserve"> </v>
      </c>
      <c r="S85" s="87"/>
      <c r="T85" s="266" t="str">
        <f>IF(R85="Х","Х",IF(S85&lt;3," ",IF($AC85&lt;6," ","Х")))</f>
        <v xml:space="preserve"> </v>
      </c>
      <c r="U85" s="88"/>
      <c r="V85" s="266" t="str">
        <f>IF(T85="Х","Х",IF(U85&lt;3," ",IF($AC85&lt;6," ","Х")))</f>
        <v xml:space="preserve"> </v>
      </c>
      <c r="W85" s="88"/>
      <c r="X85" s="266" t="str">
        <f>IF(V85="А1",$AZ$7,IF(V85="Б2",$AZ$6,IF(V85="Б1",$BA$7,IF(V85="А2",$BA$6,IF(V85="Х","Х",IF(V85&lt;6," "," "))))))</f>
        <v xml:space="preserve"> </v>
      </c>
      <c r="Y85" s="89"/>
      <c r="Z85" s="266" t="str">
        <f>IF(V85="Х","Х",IF(ISBLANK(Y85),"",IF(Y85&gt;2.5," ",IF(B85=BB$6,BB$7,BB$6))))</f>
        <v/>
      </c>
      <c r="AA85" s="89"/>
      <c r="AB85" s="290" t="str">
        <f>IF(H85="Х",F$5,IF(J85="Х",H$5,IF(L85="Х",J$5,IF(N85="Х",L$5,IF(P85="Х",N$5,IF(R85="Х",P$5,IF(T85="Х",R$5,IF(X85="Х",T$5,""))))))))</f>
        <v/>
      </c>
      <c r="AC85" s="276">
        <f>SUM(G85+I85+K85+M85+O85+Q85+S85+U85+Y85+AA85)</f>
        <v>0</v>
      </c>
      <c r="AD85" s="291" t="str">
        <f>AF85</f>
        <v>27-71</v>
      </c>
      <c r="AE85" s="278" t="str">
        <f>AD85</f>
        <v>27-71</v>
      </c>
      <c r="AF85" s="280" t="str">
        <f>COUNTIF(AG$6:AG$148,"&gt;"&amp;AG$6:AG$148)+1&amp;REPT("-"&amp;COUNTIF(AG$6:AG$148,"&gt;="&amp;AG$6:AG$148),COUNTIF(AG$6:AG$148,AG85)&gt;1)</f>
        <v>27-71</v>
      </c>
      <c r="AG85" s="282">
        <f>(AR85*100)+(AP85*10)-AC85</f>
        <v>80</v>
      </c>
      <c r="AH85" s="288" t="str">
        <f>IF(OR(F85="Х",F85="св")," ",IF(AND(G85&gt;=0,G85&lt;3),"1"," "))</f>
        <v>1</v>
      </c>
      <c r="AI85" s="289" t="str">
        <f>IF(OR(H85="Х",H85="св")," ",IF(AND(I85&gt;=0,I85&lt;3),"1"," "))</f>
        <v>1</v>
      </c>
      <c r="AJ85" s="289" t="str">
        <f>IF(OR(J85="Х",J85="св")," ",IF(AND(K85&gt;=0,K85&lt;3),"1"," "))</f>
        <v>1</v>
      </c>
      <c r="AK85" s="289" t="str">
        <f>IF(OR(L85="Х",L85="св")," ",IF(AND(M85&gt;=0,M85&lt;3),"1"," "))</f>
        <v>1</v>
      </c>
      <c r="AL85" s="289" t="str">
        <f>IF(OR(N85="Х",N85="св")," ",IF(AND(O85&gt;=0,O85&lt;3),"1"," "))</f>
        <v>1</v>
      </c>
      <c r="AM85" s="289" t="str">
        <f>IF(OR(P85="Х",P85="св")," ",IF(AND(Q85&gt;=0,Q85&lt;3),"1"," "))</f>
        <v>1</v>
      </c>
      <c r="AN85" s="289" t="str">
        <f>IF(OR(R85="Х",R85="св")," ",IF(AND(S85&gt;=0,S85&lt;3),"1"," "))</f>
        <v>1</v>
      </c>
      <c r="AO85" s="289" t="str">
        <f>IF(OR(T85="Х",T85="св")," ",IF(AND(U85&gt;=0,U85&lt;3),"1"," "))</f>
        <v>1</v>
      </c>
      <c r="AP85" s="289">
        <f>COUNTIF(AH85:AO86,1)</f>
        <v>8</v>
      </c>
      <c r="AQ85" s="289">
        <f>AG85-AC85</f>
        <v>80</v>
      </c>
      <c r="AR85" s="292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289" t="str">
        <f>COUNTIF(AG$6:AG$134,"&gt;"&amp;AG$6:AG$134)+1&amp;REPT("-"&amp;COUNTIF(AG$6:AG$134,"&gt;="&amp;AG$6:AG$134),COUNTIF(AG$6:AG$134,AG85)&gt;1)</f>
        <v>27-64</v>
      </c>
      <c r="AT85" s="288" t="str">
        <f t="shared" ref="AT85:AW85" si="44">COUNTIF(AU$6:AU$134,"&gt;"&amp;AU$6:AU$134)+1&amp;REPT("-"&amp;COUNTIF(AU$6:AU$134,"&gt;="&amp;AU$6:AU$134),COUNTIF(AU$6:AU$134,AU85)&gt;1)</f>
        <v>1-64</v>
      </c>
      <c r="AU85" s="288" t="str">
        <f t="shared" si="44"/>
        <v>1-0</v>
      </c>
      <c r="AV85" s="288" t="str">
        <f t="shared" si="44"/>
        <v>1</v>
      </c>
      <c r="AW85" s="288" t="str">
        <f t="shared" si="44"/>
        <v>25</v>
      </c>
      <c r="AX85" s="293">
        <f>IF(X85="Х","Х",IF(Y85&lt;3,B85,"Х"))</f>
        <v>40</v>
      </c>
      <c r="AY85" s="92">
        <f ca="1"/>
        <v>0</v>
      </c>
      <c r="AZ85" s="92"/>
      <c r="BA85" s="92">
        <f ca="1"/>
        <v>0</v>
      </c>
      <c r="BB85" s="92"/>
      <c r="BC85" s="49">
        <f ca="1"/>
        <v>0</v>
      </c>
      <c r="BD85" s="144">
        <f ca="1"/>
        <v>0</v>
      </c>
      <c r="BE85" s="49">
        <f ca="1"/>
        <v>0</v>
      </c>
      <c r="BF85" s="143">
        <f ca="1"/>
        <v>0</v>
      </c>
      <c r="BG85" s="49">
        <f ca="1"/>
        <v>0</v>
      </c>
      <c r="BH85" s="49">
        <f ca="1"/>
        <v>0</v>
      </c>
      <c r="BI85" s="49"/>
      <c r="BJ85" s="49"/>
      <c r="BK85" s="49"/>
      <c r="BL85" s="49"/>
      <c r="BM85" s="294">
        <v>40</v>
      </c>
      <c r="BN85" s="287">
        <v>0</v>
      </c>
      <c r="BO85" s="98" t="str">
        <f>IF(BM85&lt;BN85,BM85,"")</f>
        <v/>
      </c>
      <c r="BP85" s="124" t="str">
        <v/>
      </c>
      <c r="BQ85" s="125"/>
      <c r="BR85" s="295" t="str">
        <v/>
      </c>
      <c r="BS85" s="287">
        <v>0</v>
      </c>
      <c r="BT85" s="109" t="str">
        <f>IF(BR85&lt;BS85,BR85,"")</f>
        <v/>
      </c>
      <c r="BU85" s="124" t="str">
        <v/>
      </c>
      <c r="BV85" s="124"/>
      <c r="BW85" s="284">
        <v>40</v>
      </c>
      <c r="BX85" s="286" t="str">
        <v xml:space="preserve"> </v>
      </c>
      <c r="BY85" s="102">
        <f t="array" ref="BY85">IF(BW85&lt;BX85,BW85,"")</f>
        <v>40</v>
      </c>
      <c r="BZ85" s="102">
        <f t="shared" si="17"/>
        <v>40</v>
      </c>
      <c r="CA85" s="63"/>
      <c r="CB85" s="63" t="str">
        <f t="shared" si="18"/>
        <v>св</v>
      </c>
      <c r="CC85" s="128"/>
      <c r="CD85" s="159"/>
      <c r="CE85" s="286">
        <v>40</v>
      </c>
      <c r="CF85" s="296" t="str">
        <v xml:space="preserve"> </v>
      </c>
      <c r="CG85" s="98">
        <f t="array" ref="CG85">IF(CE85&lt;CF85,CE85,"")</f>
        <v>40</v>
      </c>
      <c r="CH85" s="63">
        <v>40</v>
      </c>
      <c r="CI85" s="115"/>
      <c r="CJ85" s="65">
        <v>40</v>
      </c>
      <c r="CK85" s="151" t="str">
        <v xml:space="preserve"> </v>
      </c>
      <c r="CL85" s="98">
        <f t="array" ref="CL85">IF(CJ85&lt;CK85,CJ85,"")</f>
        <v>40</v>
      </c>
      <c r="CM85" s="49">
        <v>40</v>
      </c>
      <c r="CN85" s="49"/>
      <c r="CO85" s="286">
        <v>40</v>
      </c>
      <c r="CP85" s="286" t="str">
        <v xml:space="preserve"> </v>
      </c>
      <c r="CQ85" s="98">
        <f t="array" ref="CQ85">IF(CO85&lt;CP85,CO85,"")</f>
        <v>40</v>
      </c>
      <c r="CR85" s="65">
        <v>40</v>
      </c>
      <c r="CS85" s="152"/>
      <c r="CT85" s="286">
        <v>40</v>
      </c>
      <c r="CU85" s="286" t="str">
        <v xml:space="preserve"> </v>
      </c>
      <c r="CV85" s="98">
        <f t="array" ref="CV85">IF(CT85&lt;CU85,CT85,"")</f>
        <v>40</v>
      </c>
      <c r="CW85" s="49">
        <v>40</v>
      </c>
      <c r="CX85" s="49"/>
      <c r="CY85" s="49">
        <v>40</v>
      </c>
      <c r="CZ85" s="49" t="str">
        <v xml:space="preserve"> </v>
      </c>
      <c r="DA85" s="98">
        <f t="array" ref="DA85">IF(CY85&lt;CZ85,CY85,"")</f>
        <v>40</v>
      </c>
      <c r="DB85" s="49">
        <v>40</v>
      </c>
      <c r="DC85" s="49"/>
      <c r="DD85" s="49">
        <v>40</v>
      </c>
      <c r="DE85" s="49"/>
      <c r="DF85" s="49"/>
      <c r="DG85" s="49"/>
      <c r="DH85" s="49"/>
    </row>
    <row r="86" spans="1:112" ht="13.5" hidden="1" customHeight="1">
      <c r="A86" s="54"/>
      <c r="B86" s="269"/>
      <c r="C86" s="269"/>
      <c r="D86" s="269"/>
      <c r="E86" s="269"/>
      <c r="F86" s="274"/>
      <c r="G86" s="106"/>
      <c r="H86" s="267"/>
      <c r="I86" s="170"/>
      <c r="J86" s="267"/>
      <c r="K86" s="106"/>
      <c r="L86" s="267"/>
      <c r="M86" s="106"/>
      <c r="N86" s="267"/>
      <c r="O86" s="106"/>
      <c r="P86" s="267"/>
      <c r="Q86" s="106"/>
      <c r="R86" s="267"/>
      <c r="S86" s="106"/>
      <c r="T86" s="267"/>
      <c r="U86" s="107"/>
      <c r="V86" s="267"/>
      <c r="W86" s="107"/>
      <c r="X86" s="267"/>
      <c r="Y86" s="106"/>
      <c r="Z86" s="267"/>
      <c r="AA86" s="106"/>
      <c r="AB86" s="274"/>
      <c r="AC86" s="269"/>
      <c r="AD86" s="267"/>
      <c r="AE86" s="279"/>
      <c r="AF86" s="281"/>
      <c r="AG86" s="283"/>
      <c r="AH86" s="283"/>
      <c r="AI86" s="283"/>
      <c r="AJ86" s="283"/>
      <c r="AK86" s="283"/>
      <c r="AL86" s="283"/>
      <c r="AM86" s="283"/>
      <c r="AN86" s="283"/>
      <c r="AO86" s="283"/>
      <c r="AP86" s="283"/>
      <c r="AQ86" s="283"/>
      <c r="AR86" s="283"/>
      <c r="AS86" s="283"/>
      <c r="AT86" s="283"/>
      <c r="AU86" s="283"/>
      <c r="AV86" s="283"/>
      <c r="AW86" s="283"/>
      <c r="AX86" s="264"/>
      <c r="AY86" s="92">
        <f ca="1"/>
        <v>0</v>
      </c>
      <c r="AZ86" s="92"/>
      <c r="BA86" s="92">
        <f ca="1"/>
        <v>0</v>
      </c>
      <c r="BB86" s="92"/>
      <c r="BC86" s="49">
        <f ca="1"/>
        <v>0</v>
      </c>
      <c r="BD86" s="144">
        <f ca="1"/>
        <v>0</v>
      </c>
      <c r="BE86" s="49">
        <f ca="1"/>
        <v>0</v>
      </c>
      <c r="BF86" s="143">
        <f ca="1"/>
        <v>0</v>
      </c>
      <c r="BG86" s="49">
        <f ca="1"/>
        <v>0</v>
      </c>
      <c r="BH86" s="49">
        <f ca="1"/>
        <v>0</v>
      </c>
      <c r="BI86" s="49"/>
      <c r="BJ86" s="49"/>
      <c r="BK86" s="49"/>
      <c r="BL86" s="49"/>
      <c r="BM86" s="285" t="str">
        <v/>
      </c>
      <c r="BN86" s="264">
        <v>0</v>
      </c>
      <c r="BO86" s="109" t="str">
        <f>IF(BO85="","",BN85)</f>
        <v/>
      </c>
      <c r="BP86" s="109" t="str">
        <v/>
      </c>
      <c r="BQ86" s="125"/>
      <c r="BR86" s="264" t="str">
        <v/>
      </c>
      <c r="BS86" s="264">
        <v>0</v>
      </c>
      <c r="BT86" s="109" t="str">
        <f>IF(BT85="","",BS85)</f>
        <v/>
      </c>
      <c r="BU86" s="109" t="str">
        <v/>
      </c>
      <c r="BV86" s="124"/>
      <c r="BW86" s="285" t="str">
        <v/>
      </c>
      <c r="BX86" s="264">
        <v>0</v>
      </c>
      <c r="BY86" s="102" t="str">
        <f>IF(BY85="","",BX85)</f>
        <v xml:space="preserve"> </v>
      </c>
      <c r="BZ86" s="102" t="str">
        <f t="shared" si="17"/>
        <v xml:space="preserve"> </v>
      </c>
      <c r="CA86" s="128"/>
      <c r="CB86" s="63" t="str">
        <f t="shared" si="18"/>
        <v>св</v>
      </c>
      <c r="CC86" s="128"/>
      <c r="CD86" s="159"/>
      <c r="CE86" s="264" t="str">
        <v/>
      </c>
      <c r="CF86" s="264">
        <v>0</v>
      </c>
      <c r="CG86" s="113" t="str">
        <f>IF(CG85="","",CF85)</f>
        <v xml:space="preserve"> </v>
      </c>
      <c r="CH86" s="128" t="str">
        <v xml:space="preserve"> </v>
      </c>
      <c r="CI86" s="115"/>
      <c r="CJ86" s="49" t="str">
        <v/>
      </c>
      <c r="CK86" s="153">
        <v>0</v>
      </c>
      <c r="CL86" s="113" t="str">
        <f>IF(CL85="","",CK85)</f>
        <v xml:space="preserve"> </v>
      </c>
      <c r="CM86" s="49" t="str">
        <v xml:space="preserve"> </v>
      </c>
      <c r="CN86" s="49"/>
      <c r="CO86" s="264" t="str">
        <v/>
      </c>
      <c r="CP86" s="264">
        <v>0</v>
      </c>
      <c r="CQ86" s="113" t="str">
        <f>IF(CQ85="","",CP85)</f>
        <v xml:space="preserve"> </v>
      </c>
      <c r="CR86" s="49" t="str">
        <v xml:space="preserve"> </v>
      </c>
      <c r="CS86" s="152"/>
      <c r="CT86" s="264" t="str">
        <v/>
      </c>
      <c r="CU86" s="264">
        <v>0</v>
      </c>
      <c r="CV86" s="113" t="str">
        <f>IF(CV85="","",CU85)</f>
        <v xml:space="preserve"> </v>
      </c>
      <c r="CW86" s="49" t="str">
        <v xml:space="preserve"> </v>
      </c>
      <c r="CX86" s="49"/>
      <c r="CY86" s="49" t="str">
        <v/>
      </c>
      <c r="CZ86" s="49">
        <v>0</v>
      </c>
      <c r="DA86" s="113" t="str">
        <f>IF(DA85="","",CZ85)</f>
        <v xml:space="preserve"> </v>
      </c>
      <c r="DB86" s="49" t="str">
        <v xml:space="preserve"> </v>
      </c>
      <c r="DC86" s="49"/>
      <c r="DD86" s="49" t="str">
        <v/>
      </c>
      <c r="DE86" s="49"/>
      <c r="DF86" s="49"/>
      <c r="DG86" s="49"/>
      <c r="DH86" s="49"/>
    </row>
    <row r="87" spans="1:112" ht="13.5" hidden="1" customHeight="1">
      <c r="A87" s="54"/>
      <c r="B87" s="268">
        <v>41</v>
      </c>
      <c r="C87" s="270" t="e">
        <f>(VLOOKUP($B87,Пр.взв!$D$6:$J$63,2,0))</f>
        <v>#N/A</v>
      </c>
      <c r="D87" s="271" t="e">
        <f>(VLOOKUP($B87,Пр.взв!$D$6:$J$63,5,0))</f>
        <v>#N/A</v>
      </c>
      <c r="E87" s="272" t="e">
        <f>(VLOOKUP($B87,Пр.взв!$D$6:$M$63,8,0))</f>
        <v>#N/A</v>
      </c>
      <c r="F87" s="273"/>
      <c r="G87" s="169"/>
      <c r="H87" s="266"/>
      <c r="I87" s="169"/>
      <c r="J87" s="266" t="str">
        <f>IF(H87="Х","Х",IF($AC87&lt;6," ","Х"))</f>
        <v xml:space="preserve"> </v>
      </c>
      <c r="K87" s="87"/>
      <c r="L87" s="266" t="str">
        <f>IF(J87="Х","Х",IF(K87&lt;3," ",IF($AC87&lt;6," ","Х")))</f>
        <v xml:space="preserve"> </v>
      </c>
      <c r="M87" s="87"/>
      <c r="N87" s="266" t="str">
        <f>IF(L87="Х","Х",IF(M87&lt;3," ",IF($AC87&lt;6," ","Х")))</f>
        <v xml:space="preserve"> </v>
      </c>
      <c r="O87" s="87"/>
      <c r="P87" s="266" t="str">
        <f>IF(N87="Х","Х",IF(O87&lt;3," ",IF($AC87&lt;6," ","Х")))</f>
        <v xml:space="preserve"> </v>
      </c>
      <c r="Q87" s="87"/>
      <c r="R87" s="266" t="str">
        <f>IF(P87="Х","Х",IF(Q87&lt;3," ",IF($AC87&lt;6," ","Х")))</f>
        <v xml:space="preserve"> </v>
      </c>
      <c r="S87" s="87"/>
      <c r="T87" s="266" t="str">
        <f>IF(R87="Х","Х",IF(S87&lt;3," ",IF($AC87&lt;6," ","Х")))</f>
        <v xml:space="preserve"> </v>
      </c>
      <c r="U87" s="88"/>
      <c r="V87" s="266" t="str">
        <f>IF(T87="Х","Х",IF(U87&lt;3," ",IF($AC87&lt;6," ","Х")))</f>
        <v xml:space="preserve"> </v>
      </c>
      <c r="W87" s="88"/>
      <c r="X87" s="266" t="str">
        <f>IF(V87="А1",$AZ$7,IF(V87="Б2",$AZ$6,IF(V87="Б1",$BA$7,IF(V87="А2",$BA$6,IF(V87="Х","Х",IF(V87&lt;6," "," "))))))</f>
        <v xml:space="preserve"> </v>
      </c>
      <c r="Y87" s="89"/>
      <c r="Z87" s="266" t="str">
        <f>IF(V87="Х","Х",IF(ISBLANK(Y87),"",IF(Y87&gt;2.5," ",IF(B87=BB$6,BB$7,BB$6))))</f>
        <v/>
      </c>
      <c r="AA87" s="89"/>
      <c r="AB87" s="290" t="str">
        <f>IF(H87="Х",F$5,IF(J87="Х",H$5,IF(L87="Х",J$5,IF(N87="Х",L$5,IF(P87="Х",N$5,IF(R87="Х",P$5,IF(T87="Х",R$5,IF(X87="Х",T$5,""))))))))</f>
        <v/>
      </c>
      <c r="AC87" s="276">
        <f>SUM(G87+I87+K87+M87+O87+Q87+S87+U87+Y87+AA87)</f>
        <v>0</v>
      </c>
      <c r="AD87" s="291" t="str">
        <f>AF87</f>
        <v>27-71</v>
      </c>
      <c r="AE87" s="278" t="str">
        <f>AD87</f>
        <v>27-71</v>
      </c>
      <c r="AF87" s="280" t="str">
        <f>COUNTIF(AG$6:AG$148,"&gt;"&amp;AG$6:AG$148)+1&amp;REPT("-"&amp;COUNTIF(AG$6:AG$148,"&gt;="&amp;AG$6:AG$148),COUNTIF(AG$6:AG$148,AG87)&gt;1)</f>
        <v>27-71</v>
      </c>
      <c r="AG87" s="282">
        <f>(AR87*100)+(AP87*10)-AC87</f>
        <v>80</v>
      </c>
      <c r="AH87" s="288" t="str">
        <f>IF(OR(F87="Х",F87="св")," ",IF(AND(G87&gt;=0,G87&lt;3),"1"," "))</f>
        <v>1</v>
      </c>
      <c r="AI87" s="289" t="str">
        <f>IF(OR(H87="Х",H87="св")," ",IF(AND(I87&gt;=0,I87&lt;3),"1"," "))</f>
        <v>1</v>
      </c>
      <c r="AJ87" s="289" t="str">
        <f>IF(OR(J87="Х",J87="св")," ",IF(AND(K87&gt;=0,K87&lt;3),"1"," "))</f>
        <v>1</v>
      </c>
      <c r="AK87" s="289" t="str">
        <f>IF(OR(L87="Х",L87="св")," ",IF(AND(M87&gt;=0,M87&lt;3),"1"," "))</f>
        <v>1</v>
      </c>
      <c r="AL87" s="289" t="str">
        <f>IF(OR(N87="Х",N87="св")," ",IF(AND(O87&gt;=0,O87&lt;3),"1"," "))</f>
        <v>1</v>
      </c>
      <c r="AM87" s="289" t="str">
        <f>IF(OR(P87="Х",P87="св")," ",IF(AND(Q87&gt;=0,Q87&lt;3),"1"," "))</f>
        <v>1</v>
      </c>
      <c r="AN87" s="289" t="str">
        <f>IF(OR(R87="Х",R87="св")," ",IF(AND(S87&gt;=0,S87&lt;3),"1"," "))</f>
        <v>1</v>
      </c>
      <c r="AO87" s="289" t="str">
        <f>IF(OR(T87="Х",T87="св")," ",IF(AND(U87&gt;=0,U87&lt;3),"1"," "))</f>
        <v>1</v>
      </c>
      <c r="AP87" s="289">
        <f>COUNTIF(AH87:AO88,1)</f>
        <v>8</v>
      </c>
      <c r="AQ87" s="289">
        <f>AG87-AC87</f>
        <v>80</v>
      </c>
      <c r="AR87" s="292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289" t="str">
        <f>COUNTIF(AG$6:AG$134,"&gt;"&amp;AG$6:AG$134)+1&amp;REPT("-"&amp;COUNTIF(AG$6:AG$134,"&gt;="&amp;AG$6:AG$134),COUNTIF(AG$6:AG$134,AG87)&gt;1)</f>
        <v>27-64</v>
      </c>
      <c r="AT87" s="288" t="str">
        <f t="shared" ref="AT87:AW87" si="45">COUNTIF(AU$6:AU$134,"&gt;"&amp;AU$6:AU$134)+1&amp;REPT("-"&amp;COUNTIF(AU$6:AU$134,"&gt;="&amp;AU$6:AU$134),COUNTIF(AU$6:AU$134,AU87)&gt;1)</f>
        <v>1-64</v>
      </c>
      <c r="AU87" s="288" t="str">
        <f t="shared" si="45"/>
        <v>1-0</v>
      </c>
      <c r="AV87" s="288" t="str">
        <f t="shared" si="45"/>
        <v>1</v>
      </c>
      <c r="AW87" s="288" t="str">
        <f t="shared" si="45"/>
        <v>24</v>
      </c>
      <c r="AX87" s="293">
        <f>IF(X87="Х","Х",IF(Y87&lt;3,B87,"Х"))</f>
        <v>41</v>
      </c>
      <c r="AY87" s="92">
        <f ca="1"/>
        <v>0</v>
      </c>
      <c r="AZ87" s="92"/>
      <c r="BA87" s="92">
        <f ca="1"/>
        <v>0</v>
      </c>
      <c r="BB87" s="92"/>
      <c r="BC87" s="49">
        <f ca="1"/>
        <v>0</v>
      </c>
      <c r="BD87" s="144">
        <f ca="1"/>
        <v>0</v>
      </c>
      <c r="BE87" s="49">
        <f ca="1"/>
        <v>0</v>
      </c>
      <c r="BF87" s="143">
        <f ca="1"/>
        <v>0</v>
      </c>
      <c r="BG87" s="49">
        <f ca="1"/>
        <v>0</v>
      </c>
      <c r="BH87" s="49">
        <f ca="1"/>
        <v>0</v>
      </c>
      <c r="BI87" s="49"/>
      <c r="BJ87" s="49"/>
      <c r="BK87" s="49"/>
      <c r="BL87" s="49"/>
      <c r="BM87" s="294">
        <v>41</v>
      </c>
      <c r="BN87" s="287">
        <v>0</v>
      </c>
      <c r="BO87" s="98" t="str">
        <f>IF(BM87&lt;BN87,BM87,"")</f>
        <v/>
      </c>
      <c r="BP87" s="124" t="str">
        <v/>
      </c>
      <c r="BQ87" s="125"/>
      <c r="BR87" s="295" t="str">
        <v/>
      </c>
      <c r="BS87" s="287">
        <v>0</v>
      </c>
      <c r="BT87" s="109" t="str">
        <f>IF(BR87&lt;BS87,BR87,"")</f>
        <v/>
      </c>
      <c r="BU87" s="124" t="str">
        <v/>
      </c>
      <c r="BV87" s="124"/>
      <c r="BW87" s="284">
        <v>41</v>
      </c>
      <c r="BX87" s="286" t="str">
        <v xml:space="preserve"> </v>
      </c>
      <c r="BY87" s="102">
        <f t="array" ref="BY87">IF(BW87&lt;BX87,BW87,"")</f>
        <v>41</v>
      </c>
      <c r="BZ87" s="102">
        <f t="shared" si="17"/>
        <v>41</v>
      </c>
      <c r="CA87" s="63"/>
      <c r="CB87" s="63" t="str">
        <f t="shared" si="18"/>
        <v>св</v>
      </c>
      <c r="CC87" s="128"/>
      <c r="CD87" s="159"/>
      <c r="CE87" s="286">
        <v>41</v>
      </c>
      <c r="CF87" s="296" t="str">
        <v xml:space="preserve"> </v>
      </c>
      <c r="CG87" s="98">
        <f t="array" ref="CG87">IF(CE87&lt;CF87,CE87,"")</f>
        <v>41</v>
      </c>
      <c r="CH87" s="63">
        <v>41</v>
      </c>
      <c r="CI87" s="115"/>
      <c r="CJ87" s="65">
        <v>41</v>
      </c>
      <c r="CK87" s="151" t="str">
        <v xml:space="preserve"> </v>
      </c>
      <c r="CL87" s="98">
        <f t="array" ref="CL87">IF(CJ87&lt;CK87,CJ87,"")</f>
        <v>41</v>
      </c>
      <c r="CM87" s="49">
        <v>41</v>
      </c>
      <c r="CN87" s="49"/>
      <c r="CO87" s="286">
        <v>41</v>
      </c>
      <c r="CP87" s="286" t="str">
        <v xml:space="preserve"> </v>
      </c>
      <c r="CQ87" s="98">
        <f t="array" ref="CQ87">IF(CO87&lt;CP87,CO87,"")</f>
        <v>41</v>
      </c>
      <c r="CR87" s="65">
        <v>41</v>
      </c>
      <c r="CS87" s="152"/>
      <c r="CT87" s="286">
        <v>41</v>
      </c>
      <c r="CU87" s="286" t="str">
        <v xml:space="preserve"> </v>
      </c>
      <c r="CV87" s="98">
        <f t="array" ref="CV87">IF(CT87&lt;CU87,CT87,"")</f>
        <v>41</v>
      </c>
      <c r="CW87" s="49">
        <v>41</v>
      </c>
      <c r="CX87" s="49"/>
      <c r="CY87" s="49">
        <v>41</v>
      </c>
      <c r="CZ87" s="49" t="str">
        <v xml:space="preserve"> </v>
      </c>
      <c r="DA87" s="98">
        <f t="array" ref="DA87">IF(CY87&lt;CZ87,CY87,"")</f>
        <v>41</v>
      </c>
      <c r="DB87" s="49">
        <v>41</v>
      </c>
      <c r="DC87" s="49"/>
      <c r="DD87" s="49">
        <v>41</v>
      </c>
      <c r="DE87" s="49"/>
      <c r="DF87" s="49"/>
      <c r="DG87" s="49"/>
      <c r="DH87" s="49"/>
    </row>
    <row r="88" spans="1:112" ht="13.5" hidden="1" customHeight="1">
      <c r="A88" s="54"/>
      <c r="B88" s="269"/>
      <c r="C88" s="269"/>
      <c r="D88" s="269"/>
      <c r="E88" s="269"/>
      <c r="F88" s="274"/>
      <c r="G88" s="106"/>
      <c r="H88" s="267"/>
      <c r="I88" s="106"/>
      <c r="J88" s="267"/>
      <c r="K88" s="106"/>
      <c r="L88" s="267"/>
      <c r="M88" s="106"/>
      <c r="N88" s="267"/>
      <c r="O88" s="106"/>
      <c r="P88" s="267"/>
      <c r="Q88" s="106"/>
      <c r="R88" s="267"/>
      <c r="S88" s="106"/>
      <c r="T88" s="267"/>
      <c r="U88" s="107"/>
      <c r="V88" s="267"/>
      <c r="W88" s="107"/>
      <c r="X88" s="267"/>
      <c r="Y88" s="106"/>
      <c r="Z88" s="267"/>
      <c r="AA88" s="106"/>
      <c r="AB88" s="274"/>
      <c r="AC88" s="269"/>
      <c r="AD88" s="267"/>
      <c r="AE88" s="279"/>
      <c r="AF88" s="281"/>
      <c r="AG88" s="283"/>
      <c r="AH88" s="283"/>
      <c r="AI88" s="283"/>
      <c r="AJ88" s="283"/>
      <c r="AK88" s="283"/>
      <c r="AL88" s="283"/>
      <c r="AM88" s="283"/>
      <c r="AN88" s="283"/>
      <c r="AO88" s="283"/>
      <c r="AP88" s="283"/>
      <c r="AQ88" s="283"/>
      <c r="AR88" s="283"/>
      <c r="AS88" s="283"/>
      <c r="AT88" s="283"/>
      <c r="AU88" s="283"/>
      <c r="AV88" s="283"/>
      <c r="AW88" s="283"/>
      <c r="AX88" s="264"/>
      <c r="AY88" s="92">
        <f ca="1"/>
        <v>0</v>
      </c>
      <c r="AZ88" s="92"/>
      <c r="BA88" s="92">
        <f ca="1"/>
        <v>0</v>
      </c>
      <c r="BB88" s="92"/>
      <c r="BC88" s="49">
        <f ca="1"/>
        <v>0</v>
      </c>
      <c r="BD88" s="144">
        <f ca="1"/>
        <v>0</v>
      </c>
      <c r="BE88" s="49">
        <f ca="1"/>
        <v>0</v>
      </c>
      <c r="BF88" s="143">
        <f ca="1"/>
        <v>0</v>
      </c>
      <c r="BG88" s="49">
        <f ca="1"/>
        <v>0</v>
      </c>
      <c r="BH88" s="49">
        <f ca="1"/>
        <v>0</v>
      </c>
      <c r="BI88" s="49"/>
      <c r="BJ88" s="49"/>
      <c r="BK88" s="49"/>
      <c r="BL88" s="49"/>
      <c r="BM88" s="285" t="str">
        <v/>
      </c>
      <c r="BN88" s="264">
        <v>0</v>
      </c>
      <c r="BO88" s="109" t="str">
        <f>IF(BO87="","",BN87)</f>
        <v/>
      </c>
      <c r="BP88" s="109" t="str">
        <v/>
      </c>
      <c r="BQ88" s="125"/>
      <c r="BR88" s="264" t="str">
        <v/>
      </c>
      <c r="BS88" s="264">
        <v>0</v>
      </c>
      <c r="BT88" s="109" t="str">
        <f>IF(BT87="","",BS87)</f>
        <v/>
      </c>
      <c r="BU88" s="109" t="str">
        <v/>
      </c>
      <c r="BV88" s="124"/>
      <c r="BW88" s="285" t="str">
        <v/>
      </c>
      <c r="BX88" s="264">
        <v>0</v>
      </c>
      <c r="BY88" s="102" t="str">
        <f>IF(BY87="","",BX87)</f>
        <v xml:space="preserve"> </v>
      </c>
      <c r="BZ88" s="102" t="str">
        <f t="shared" si="17"/>
        <v xml:space="preserve"> </v>
      </c>
      <c r="CA88" s="128"/>
      <c r="CB88" s="63" t="str">
        <f t="shared" si="18"/>
        <v>св</v>
      </c>
      <c r="CC88" s="128"/>
      <c r="CD88" s="159"/>
      <c r="CE88" s="264" t="str">
        <v/>
      </c>
      <c r="CF88" s="264">
        <v>0</v>
      </c>
      <c r="CG88" s="113" t="str">
        <f>IF(CG87="","",CF87)</f>
        <v xml:space="preserve"> </v>
      </c>
      <c r="CH88" s="128" t="str">
        <v xml:space="preserve"> </v>
      </c>
      <c r="CI88" s="115"/>
      <c r="CJ88" s="49" t="str">
        <v/>
      </c>
      <c r="CK88" s="153">
        <v>0</v>
      </c>
      <c r="CL88" s="113" t="str">
        <f>IF(CL87="","",CK87)</f>
        <v xml:space="preserve"> </v>
      </c>
      <c r="CM88" s="49" t="str">
        <v xml:space="preserve"> </v>
      </c>
      <c r="CN88" s="49"/>
      <c r="CO88" s="264" t="str">
        <v/>
      </c>
      <c r="CP88" s="264">
        <v>0</v>
      </c>
      <c r="CQ88" s="113" t="str">
        <f>IF(CQ87="","",CP87)</f>
        <v xml:space="preserve"> </v>
      </c>
      <c r="CR88" s="49" t="str">
        <v xml:space="preserve"> </v>
      </c>
      <c r="CS88" s="152"/>
      <c r="CT88" s="264" t="str">
        <v/>
      </c>
      <c r="CU88" s="264">
        <v>0</v>
      </c>
      <c r="CV88" s="113" t="str">
        <f>IF(CV87="","",CU87)</f>
        <v xml:space="preserve"> </v>
      </c>
      <c r="CW88" s="49" t="str">
        <v xml:space="preserve"> </v>
      </c>
      <c r="CX88" s="49"/>
      <c r="CY88" s="49" t="str">
        <v/>
      </c>
      <c r="CZ88" s="49">
        <v>0</v>
      </c>
      <c r="DA88" s="113" t="str">
        <f>IF(DA87="","",CZ87)</f>
        <v xml:space="preserve"> </v>
      </c>
      <c r="DB88" s="49" t="str">
        <v xml:space="preserve"> </v>
      </c>
      <c r="DC88" s="49"/>
      <c r="DD88" s="49" t="str">
        <v/>
      </c>
      <c r="DE88" s="49"/>
      <c r="DF88" s="49"/>
      <c r="DG88" s="49"/>
      <c r="DH88" s="49"/>
    </row>
    <row r="89" spans="1:112" ht="13.5" hidden="1" customHeight="1">
      <c r="A89" s="54"/>
      <c r="B89" s="268">
        <v>42</v>
      </c>
      <c r="C89" s="270" t="e">
        <f>(VLOOKUP($B89,Пр.взв!$D$6:$J$63,2,0))</f>
        <v>#N/A</v>
      </c>
      <c r="D89" s="271" t="e">
        <f>(VLOOKUP($B89,Пр.взв!$D$6:$J$63,5,0))</f>
        <v>#N/A</v>
      </c>
      <c r="E89" s="272" t="e">
        <f>(VLOOKUP($B89,Пр.взв!$D$6:$M$63,8,0))</f>
        <v>#N/A</v>
      </c>
      <c r="F89" s="273"/>
      <c r="G89" s="87"/>
      <c r="H89" s="266"/>
      <c r="I89" s="89"/>
      <c r="J89" s="266" t="str">
        <f>IF(H89="Х","Х",IF($AC89&lt;6," ","Х"))</f>
        <v xml:space="preserve"> </v>
      </c>
      <c r="K89" s="87"/>
      <c r="L89" s="266" t="str">
        <f>IF(J89="Х","Х",IF(K89&lt;3," ",IF($AC89&lt;6," ","Х")))</f>
        <v xml:space="preserve"> </v>
      </c>
      <c r="M89" s="87"/>
      <c r="N89" s="266" t="str">
        <f>IF(L89="Х","Х",IF(M89&lt;3," ",IF($AC89&lt;6," ","Х")))</f>
        <v xml:space="preserve"> </v>
      </c>
      <c r="O89" s="87"/>
      <c r="P89" s="266" t="str">
        <f>IF(N89="Х","Х",IF(O89&lt;3," ",IF($AC89&lt;6," ","Х")))</f>
        <v xml:space="preserve"> </v>
      </c>
      <c r="Q89" s="87"/>
      <c r="R89" s="266" t="str">
        <f>IF(P89="Х","Х",IF(Q89&lt;3," ",IF($AC89&lt;6," ","Х")))</f>
        <v xml:space="preserve"> </v>
      </c>
      <c r="S89" s="87"/>
      <c r="T89" s="266" t="str">
        <f>IF(R89="Х","Х",IF(S89&lt;3," ",IF($AC89&lt;6," ","Х")))</f>
        <v xml:space="preserve"> </v>
      </c>
      <c r="U89" s="88"/>
      <c r="V89" s="266" t="str">
        <f>IF(T89="Х","Х",IF(U89&lt;3," ",IF($AC89&lt;6," ","Х")))</f>
        <v xml:space="preserve"> </v>
      </c>
      <c r="W89" s="88"/>
      <c r="X89" s="266" t="str">
        <f>IF(V89="А1",$AZ$7,IF(V89="Б2",$AZ$6,IF(V89="Б1",$BA$7,IF(V89="А2",$BA$6,IF(V89="Х","Х",IF(V89&lt;6," "," "))))))</f>
        <v xml:space="preserve"> </v>
      </c>
      <c r="Y89" s="89"/>
      <c r="Z89" s="266" t="str">
        <f>IF(V89="Х","Х",IF(ISBLANK(Y89),"",IF(Y89&gt;2.5," ",IF(B89=BB$6,BB$7,BB$6))))</f>
        <v/>
      </c>
      <c r="AA89" s="89"/>
      <c r="AB89" s="290" t="str">
        <f>IF(H89="Х",F$5,IF(J89="Х",H$5,IF(L89="Х",J$5,IF(N89="Х",L$5,IF(P89="Х",N$5,IF(R89="Х",P$5,IF(T89="Х",R$5,IF(X89="Х",T$5,""))))))))</f>
        <v/>
      </c>
      <c r="AC89" s="276">
        <f>SUM(G89+I89+K89+M89+O89+Q89+S89+U89+Y89+AA89)</f>
        <v>0</v>
      </c>
      <c r="AD89" s="291" t="str">
        <f>AF89</f>
        <v>27-71</v>
      </c>
      <c r="AE89" s="278" t="str">
        <f>AD89</f>
        <v>27-71</v>
      </c>
      <c r="AF89" s="280" t="str">
        <f>COUNTIF(AG$6:AG$148,"&gt;"&amp;AG$6:AG$148)+1&amp;REPT("-"&amp;COUNTIF(AG$6:AG$148,"&gt;="&amp;AG$6:AG$148),COUNTIF(AG$6:AG$148,AG89)&gt;1)</f>
        <v>27-71</v>
      </c>
      <c r="AG89" s="282">
        <f>(AR89*100)+(AP89*10)-AC89</f>
        <v>80</v>
      </c>
      <c r="AH89" s="288" t="str">
        <f>IF(OR(F89="Х",F89="св")," ",IF(AND(G89&gt;=0,G89&lt;3),"1"," "))</f>
        <v>1</v>
      </c>
      <c r="AI89" s="289" t="str">
        <f>IF(OR(H89="Х",H89="св")," ",IF(AND(I89&gt;=0,I89&lt;3),"1"," "))</f>
        <v>1</v>
      </c>
      <c r="AJ89" s="289" t="str">
        <f>IF(OR(J89="Х",J89="св")," ",IF(AND(K89&gt;=0,K89&lt;3),"1"," "))</f>
        <v>1</v>
      </c>
      <c r="AK89" s="289" t="str">
        <f>IF(OR(L89="Х",L89="св")," ",IF(AND(M89&gt;=0,M89&lt;3),"1"," "))</f>
        <v>1</v>
      </c>
      <c r="AL89" s="289" t="str">
        <f>IF(OR(N89="Х",N89="св")," ",IF(AND(O89&gt;=0,O89&lt;3),"1"," "))</f>
        <v>1</v>
      </c>
      <c r="AM89" s="289" t="str">
        <f>IF(OR(P89="Х",P89="св")," ",IF(AND(Q89&gt;=0,Q89&lt;3),"1"," "))</f>
        <v>1</v>
      </c>
      <c r="AN89" s="289" t="str">
        <f>IF(OR(R89="Х",R89="св")," ",IF(AND(S89&gt;=0,S89&lt;3),"1"," "))</f>
        <v>1</v>
      </c>
      <c r="AO89" s="289" t="str">
        <f>IF(OR(T89="Х",T89="св")," ",IF(AND(U89&gt;=0,U89&lt;3),"1"," "))</f>
        <v>1</v>
      </c>
      <c r="AP89" s="289">
        <f>COUNTIF(AH89:AO90,1)</f>
        <v>8</v>
      </c>
      <c r="AQ89" s="289">
        <f>AG89-AC89</f>
        <v>80</v>
      </c>
      <c r="AR89" s="292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289" t="str">
        <f>COUNTIF(AG$6:AG$134,"&gt;"&amp;AG$6:AG$134)+1&amp;REPT("-"&amp;COUNTIF(AG$6:AG$134,"&gt;="&amp;AG$6:AG$134),COUNTIF(AG$6:AG$134,AG89)&gt;1)</f>
        <v>27-64</v>
      </c>
      <c r="AT89" s="288" t="str">
        <f t="shared" ref="AT89:AW89" si="46">COUNTIF(AU$6:AU$134,"&gt;"&amp;AU$6:AU$134)+1&amp;REPT("-"&amp;COUNTIF(AU$6:AU$134,"&gt;="&amp;AU$6:AU$134),COUNTIF(AU$6:AU$134,AU89)&gt;1)</f>
        <v>1-64</v>
      </c>
      <c r="AU89" s="288" t="str">
        <f t="shared" si="46"/>
        <v>1-0</v>
      </c>
      <c r="AV89" s="288" t="str">
        <f t="shared" si="46"/>
        <v>1</v>
      </c>
      <c r="AW89" s="288" t="str">
        <f t="shared" si="46"/>
        <v>23</v>
      </c>
      <c r="AX89" s="293">
        <f>IF(X89="Х","Х",IF(Y89&lt;3,B89,"Х"))</f>
        <v>42</v>
      </c>
      <c r="AY89" s="92">
        <f ca="1"/>
        <v>0</v>
      </c>
      <c r="AZ89" s="92"/>
      <c r="BA89" s="92">
        <f ca="1"/>
        <v>0</v>
      </c>
      <c r="BB89" s="92"/>
      <c r="BC89" s="49">
        <f ca="1"/>
        <v>0</v>
      </c>
      <c r="BD89" s="144">
        <f ca="1"/>
        <v>0</v>
      </c>
      <c r="BE89" s="49">
        <f ca="1"/>
        <v>0</v>
      </c>
      <c r="BF89" s="143">
        <f ca="1"/>
        <v>0</v>
      </c>
      <c r="BG89" s="49">
        <f ca="1"/>
        <v>0</v>
      </c>
      <c r="BH89" s="49">
        <f ca="1"/>
        <v>0</v>
      </c>
      <c r="BI89" s="49"/>
      <c r="BJ89" s="49"/>
      <c r="BK89" s="49"/>
      <c r="BL89" s="49"/>
      <c r="BM89" s="294">
        <v>42</v>
      </c>
      <c r="BN89" s="287">
        <v>0</v>
      </c>
      <c r="BO89" s="98" t="str">
        <f>IF(BM89&lt;BN89,BM89,"")</f>
        <v/>
      </c>
      <c r="BP89" s="124" t="str">
        <v/>
      </c>
      <c r="BQ89" s="125"/>
      <c r="BR89" s="295" t="str">
        <v/>
      </c>
      <c r="BS89" s="287">
        <v>0</v>
      </c>
      <c r="BT89" s="109" t="str">
        <f>IF(BR89&lt;BS89,BR89,"")</f>
        <v/>
      </c>
      <c r="BU89" s="124" t="str">
        <v/>
      </c>
      <c r="BV89" s="124"/>
      <c r="BW89" s="284">
        <v>42</v>
      </c>
      <c r="BX89" s="286" t="str">
        <v xml:space="preserve"> </v>
      </c>
      <c r="BY89" s="102">
        <f t="array" ref="BY89">IF(BW89&lt;BX89,BW89,"")</f>
        <v>42</v>
      </c>
      <c r="BZ89" s="102">
        <f t="shared" si="17"/>
        <v>42</v>
      </c>
      <c r="CA89" s="63"/>
      <c r="CB89" s="63" t="str">
        <f t="shared" si="18"/>
        <v>св</v>
      </c>
      <c r="CC89" s="128"/>
      <c r="CD89" s="159"/>
      <c r="CE89" s="286">
        <v>42</v>
      </c>
      <c r="CF89" s="296" t="str">
        <v xml:space="preserve"> </v>
      </c>
      <c r="CG89" s="98">
        <f t="array" ref="CG89">IF(CE89&lt;CF89,CE89,"")</f>
        <v>42</v>
      </c>
      <c r="CH89" s="63">
        <v>42</v>
      </c>
      <c r="CI89" s="115"/>
      <c r="CJ89" s="65">
        <v>42</v>
      </c>
      <c r="CK89" s="151" t="str">
        <v xml:space="preserve"> </v>
      </c>
      <c r="CL89" s="98">
        <f t="array" ref="CL89">IF(CJ89&lt;CK89,CJ89,"")</f>
        <v>42</v>
      </c>
      <c r="CM89" s="49">
        <v>42</v>
      </c>
      <c r="CN89" s="49"/>
      <c r="CO89" s="286">
        <v>42</v>
      </c>
      <c r="CP89" s="286" t="str">
        <v xml:space="preserve"> </v>
      </c>
      <c r="CQ89" s="98">
        <f t="array" ref="CQ89">IF(CO89&lt;CP89,CO89,"")</f>
        <v>42</v>
      </c>
      <c r="CR89" s="65">
        <v>42</v>
      </c>
      <c r="CS89" s="152"/>
      <c r="CT89" s="286">
        <v>42</v>
      </c>
      <c r="CU89" s="286" t="str">
        <v xml:space="preserve"> </v>
      </c>
      <c r="CV89" s="98">
        <f t="array" ref="CV89">IF(CT89&lt;CU89,CT89,"")</f>
        <v>42</v>
      </c>
      <c r="CW89" s="49">
        <v>42</v>
      </c>
      <c r="CX89" s="49"/>
      <c r="CY89" s="49">
        <v>42</v>
      </c>
      <c r="CZ89" s="49" t="str">
        <v xml:space="preserve"> </v>
      </c>
      <c r="DA89" s="98">
        <f t="array" ref="DA89">IF(CY89&lt;CZ89,CY89,"")</f>
        <v>42</v>
      </c>
      <c r="DB89" s="49">
        <v>42</v>
      </c>
      <c r="DC89" s="49"/>
      <c r="DD89" s="49">
        <v>42</v>
      </c>
      <c r="DE89" s="49"/>
      <c r="DF89" s="49"/>
      <c r="DG89" s="49"/>
      <c r="DH89" s="49"/>
    </row>
    <row r="90" spans="1:112" ht="13.5" hidden="1" customHeight="1">
      <c r="A90" s="54"/>
      <c r="B90" s="269"/>
      <c r="C90" s="269"/>
      <c r="D90" s="269"/>
      <c r="E90" s="269"/>
      <c r="F90" s="274"/>
      <c r="G90" s="106"/>
      <c r="H90" s="267"/>
      <c r="I90" s="106"/>
      <c r="J90" s="267"/>
      <c r="K90" s="106"/>
      <c r="L90" s="267"/>
      <c r="M90" s="106"/>
      <c r="N90" s="267"/>
      <c r="O90" s="106"/>
      <c r="P90" s="267"/>
      <c r="Q90" s="106"/>
      <c r="R90" s="267"/>
      <c r="S90" s="106"/>
      <c r="T90" s="267"/>
      <c r="U90" s="107"/>
      <c r="V90" s="267"/>
      <c r="W90" s="107"/>
      <c r="X90" s="267"/>
      <c r="Y90" s="106"/>
      <c r="Z90" s="267"/>
      <c r="AA90" s="106"/>
      <c r="AB90" s="274"/>
      <c r="AC90" s="269"/>
      <c r="AD90" s="267"/>
      <c r="AE90" s="279"/>
      <c r="AF90" s="281"/>
      <c r="AG90" s="283"/>
      <c r="AH90" s="283"/>
      <c r="AI90" s="283"/>
      <c r="AJ90" s="283"/>
      <c r="AK90" s="283"/>
      <c r="AL90" s="283"/>
      <c r="AM90" s="283"/>
      <c r="AN90" s="283"/>
      <c r="AO90" s="283"/>
      <c r="AP90" s="283"/>
      <c r="AQ90" s="283"/>
      <c r="AR90" s="283"/>
      <c r="AS90" s="283"/>
      <c r="AT90" s="283"/>
      <c r="AU90" s="283"/>
      <c r="AV90" s="283"/>
      <c r="AW90" s="283"/>
      <c r="AX90" s="264"/>
      <c r="AY90" s="92">
        <f ca="1"/>
        <v>0</v>
      </c>
      <c r="AZ90" s="92"/>
      <c r="BA90" s="92">
        <f ca="1"/>
        <v>0</v>
      </c>
      <c r="BB90" s="92"/>
      <c r="BC90" s="49">
        <f ca="1"/>
        <v>0</v>
      </c>
      <c r="BD90" s="49">
        <f ca="1"/>
        <v>0</v>
      </c>
      <c r="BE90" s="49">
        <f ca="1"/>
        <v>0</v>
      </c>
      <c r="BF90" s="49">
        <f ca="1"/>
        <v>0</v>
      </c>
      <c r="BG90" s="49">
        <f ca="1"/>
        <v>0</v>
      </c>
      <c r="BH90" s="49">
        <f ca="1"/>
        <v>0</v>
      </c>
      <c r="BI90" s="49"/>
      <c r="BJ90" s="49"/>
      <c r="BK90" s="49"/>
      <c r="BL90" s="49"/>
      <c r="BM90" s="285" t="str">
        <v/>
      </c>
      <c r="BN90" s="264">
        <v>0</v>
      </c>
      <c r="BO90" s="109" t="str">
        <f>IF(BO89="","",BN89)</f>
        <v/>
      </c>
      <c r="BP90" s="109" t="str">
        <v/>
      </c>
      <c r="BQ90" s="125"/>
      <c r="BR90" s="264" t="str">
        <v/>
      </c>
      <c r="BS90" s="264">
        <v>0</v>
      </c>
      <c r="BT90" s="109" t="str">
        <f>IF(BT89="","",BS89)</f>
        <v/>
      </c>
      <c r="BU90" s="109" t="str">
        <v/>
      </c>
      <c r="BV90" s="124"/>
      <c r="BW90" s="285" t="str">
        <v/>
      </c>
      <c r="BX90" s="264">
        <v>0</v>
      </c>
      <c r="BY90" s="102" t="str">
        <f>IF(BY89="","",BX89)</f>
        <v xml:space="preserve"> </v>
      </c>
      <c r="BZ90" s="102" t="str">
        <f t="shared" si="17"/>
        <v xml:space="preserve"> </v>
      </c>
      <c r="CA90" s="128"/>
      <c r="CB90" s="63" t="str">
        <f t="shared" si="18"/>
        <v>св</v>
      </c>
      <c r="CC90" s="128"/>
      <c r="CD90" s="159"/>
      <c r="CE90" s="264" t="str">
        <v/>
      </c>
      <c r="CF90" s="264">
        <v>0</v>
      </c>
      <c r="CG90" s="113" t="str">
        <f>IF(CG89="","",CF89)</f>
        <v xml:space="preserve"> </v>
      </c>
      <c r="CH90" s="128" t="str">
        <v xml:space="preserve"> </v>
      </c>
      <c r="CI90" s="115"/>
      <c r="CJ90" s="49" t="str">
        <v/>
      </c>
      <c r="CK90" s="153">
        <v>0</v>
      </c>
      <c r="CL90" s="113" t="str">
        <f>IF(CL89="","",CK89)</f>
        <v xml:space="preserve"> </v>
      </c>
      <c r="CM90" s="49" t="str">
        <v xml:space="preserve"> </v>
      </c>
      <c r="CN90" s="49"/>
      <c r="CO90" s="264" t="str">
        <v/>
      </c>
      <c r="CP90" s="264">
        <v>0</v>
      </c>
      <c r="CQ90" s="113" t="str">
        <f>IF(CQ89="","",CP89)</f>
        <v xml:space="preserve"> </v>
      </c>
      <c r="CR90" s="49" t="str">
        <v xml:space="preserve"> </v>
      </c>
      <c r="CS90" s="152"/>
      <c r="CT90" s="264" t="str">
        <v/>
      </c>
      <c r="CU90" s="264">
        <v>0</v>
      </c>
      <c r="CV90" s="113" t="str">
        <f>IF(CV89="","",CU89)</f>
        <v xml:space="preserve"> </v>
      </c>
      <c r="CW90" s="49" t="str">
        <v xml:space="preserve"> </v>
      </c>
      <c r="CX90" s="49"/>
      <c r="CY90" s="49" t="str">
        <v/>
      </c>
      <c r="CZ90" s="49">
        <v>0</v>
      </c>
      <c r="DA90" s="113" t="str">
        <f>IF(DA89="","",CZ89)</f>
        <v xml:space="preserve"> </v>
      </c>
      <c r="DB90" s="49" t="str">
        <v xml:space="preserve"> </v>
      </c>
      <c r="DC90" s="49"/>
      <c r="DD90" s="49" t="str">
        <v/>
      </c>
      <c r="DE90" s="49"/>
      <c r="DF90" s="49"/>
      <c r="DG90" s="49"/>
      <c r="DH90" s="49"/>
    </row>
    <row r="91" spans="1:112" ht="13.5" hidden="1" customHeight="1">
      <c r="A91" s="54"/>
      <c r="B91" s="268">
        <v>43</v>
      </c>
      <c r="C91" s="270" t="e">
        <f>(VLOOKUP($B91,Пр.взв!$D$6:$J$63,2,0))</f>
        <v>#N/A</v>
      </c>
      <c r="D91" s="271" t="e">
        <f>(VLOOKUP($B91,Пр.взв!$D$6:$J$63,5,0))</f>
        <v>#N/A</v>
      </c>
      <c r="E91" s="272" t="e">
        <f>(VLOOKUP($B91,Пр.взв!$D$6:$M$63,8,0))</f>
        <v>#N/A</v>
      </c>
      <c r="F91" s="273"/>
      <c r="G91" s="169"/>
      <c r="H91" s="266"/>
      <c r="I91" s="169"/>
      <c r="J91" s="266" t="str">
        <f>IF(H91="Х","Х",IF($AC91&lt;6," ","Х"))</f>
        <v xml:space="preserve"> </v>
      </c>
      <c r="K91" s="87"/>
      <c r="L91" s="266" t="str">
        <f>IF(J91="Х","Х",IF(K91&lt;3," ",IF($AC91&lt;6," ","Х")))</f>
        <v xml:space="preserve"> </v>
      </c>
      <c r="M91" s="87"/>
      <c r="N91" s="266" t="str">
        <f>IF(L91="Х","Х",IF(M91&lt;3," ",IF($AC91&lt;6," ","Х")))</f>
        <v xml:space="preserve"> </v>
      </c>
      <c r="O91" s="87"/>
      <c r="P91" s="266" t="str">
        <f>IF(N91="Х","Х",IF(O91&lt;3," ",IF($AC91&lt;6," ","Х")))</f>
        <v xml:space="preserve"> </v>
      </c>
      <c r="Q91" s="87"/>
      <c r="R91" s="266" t="str">
        <f>IF(P91="Х","Х",IF(Q91&lt;3," ",IF($AC91&lt;6," ","Х")))</f>
        <v xml:space="preserve"> </v>
      </c>
      <c r="S91" s="87"/>
      <c r="T91" s="266" t="str">
        <f>IF(R91="Х","Х",IF(S91&lt;3," ",IF($AC91&lt;6," ","Х")))</f>
        <v xml:space="preserve"> </v>
      </c>
      <c r="U91" s="88"/>
      <c r="V91" s="266" t="str">
        <f>IF(T91="Х","Х",IF(U91&lt;3," ",IF($AC91&lt;6," ","Х")))</f>
        <v xml:space="preserve"> </v>
      </c>
      <c r="W91" s="88"/>
      <c r="X91" s="266" t="str">
        <f>IF(V91="А1",$AZ$7,IF(V91="Б2",$AZ$6,IF(V91="Б1",$BA$7,IF(V91="А2",$BA$6,IF(V91="Х","Х",IF(V91&lt;6," "," "))))))</f>
        <v xml:space="preserve"> </v>
      </c>
      <c r="Y91" s="89"/>
      <c r="Z91" s="266" t="str">
        <f>IF(V91="Х","Х",IF(ISBLANK(Y91),"",IF(Y91&gt;2.5," ",IF(B91=BB$6,BB$7,BB$6))))</f>
        <v/>
      </c>
      <c r="AA91" s="89"/>
      <c r="AB91" s="290" t="str">
        <f>IF(H91="Х",F$5,IF(J91="Х",H$5,IF(L91="Х",J$5,IF(N91="Х",L$5,IF(P91="Х",N$5,IF(R91="Х",P$5,IF(T91="Х",R$5,IF(X91="Х",T$5,""))))))))</f>
        <v/>
      </c>
      <c r="AC91" s="276">
        <f>SUM(G91+I91+K91+M91+O91+Q91+S91+U91+Y91+AA91)</f>
        <v>0</v>
      </c>
      <c r="AD91" s="291" t="str">
        <f>AF91</f>
        <v>27-71</v>
      </c>
      <c r="AE91" s="278" t="str">
        <f>AD91</f>
        <v>27-71</v>
      </c>
      <c r="AF91" s="280" t="str">
        <f>COUNTIF(AG$6:AG$148,"&gt;"&amp;AG$6:AG$148)+1&amp;REPT("-"&amp;COUNTIF(AG$6:AG$148,"&gt;="&amp;AG$6:AG$148),COUNTIF(AG$6:AG$148,AG91)&gt;1)</f>
        <v>27-71</v>
      </c>
      <c r="AG91" s="282">
        <f>(AR91*100)+(AP91*10)-AC91</f>
        <v>80</v>
      </c>
      <c r="AH91" s="288" t="str">
        <f>IF(OR(F91="Х",F91="св")," ",IF(AND(G91&gt;=0,G91&lt;3),"1"," "))</f>
        <v>1</v>
      </c>
      <c r="AI91" s="289" t="str">
        <f>IF(OR(H91="Х",H91="св")," ",IF(AND(I91&gt;=0,I91&lt;3),"1"," "))</f>
        <v>1</v>
      </c>
      <c r="AJ91" s="289" t="str">
        <f>IF(OR(J91="Х",J91="св")," ",IF(AND(K91&gt;=0,K91&lt;3),"1"," "))</f>
        <v>1</v>
      </c>
      <c r="AK91" s="289" t="str">
        <f>IF(OR(L91="Х",L91="св")," ",IF(AND(M91&gt;=0,M91&lt;3),"1"," "))</f>
        <v>1</v>
      </c>
      <c r="AL91" s="289" t="str">
        <f>IF(OR(N91="Х",N91="св")," ",IF(AND(O91&gt;=0,O91&lt;3),"1"," "))</f>
        <v>1</v>
      </c>
      <c r="AM91" s="289" t="str">
        <f>IF(OR(P91="Х",P91="св")," ",IF(AND(Q91&gt;=0,Q91&lt;3),"1"," "))</f>
        <v>1</v>
      </c>
      <c r="AN91" s="289" t="str">
        <f>IF(OR(R91="Х",R91="св")," ",IF(AND(S91&gt;=0,S91&lt;3),"1"," "))</f>
        <v>1</v>
      </c>
      <c r="AO91" s="289" t="str">
        <f>IF(OR(T91="Х",T91="св")," ",IF(AND(U91&gt;=0,U91&lt;3),"1"," "))</f>
        <v>1</v>
      </c>
      <c r="AP91" s="289">
        <f>COUNTIF(AH91:AO92,1)</f>
        <v>8</v>
      </c>
      <c r="AQ91" s="289">
        <f>AG91-AC91</f>
        <v>80</v>
      </c>
      <c r="AR91" s="292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289" t="str">
        <f>COUNTIF(AG$6:AG$134,"&gt;"&amp;AG$6:AG$134)+1&amp;REPT("-"&amp;COUNTIF(AG$6:AG$134,"&gt;="&amp;AG$6:AG$134),COUNTIF(AG$6:AG$134,AG91)&gt;1)</f>
        <v>27-64</v>
      </c>
      <c r="AT91" s="288" t="str">
        <f t="shared" ref="AT91:AW91" si="47">COUNTIF(AU$6:AU$134,"&gt;"&amp;AU$6:AU$134)+1&amp;REPT("-"&amp;COUNTIF(AU$6:AU$134,"&gt;="&amp;AU$6:AU$134),COUNTIF(AU$6:AU$134,AU91)&gt;1)</f>
        <v>1-64</v>
      </c>
      <c r="AU91" s="288" t="str">
        <f t="shared" si="47"/>
        <v>1-0</v>
      </c>
      <c r="AV91" s="288" t="str">
        <f t="shared" si="47"/>
        <v>1</v>
      </c>
      <c r="AW91" s="288" t="str">
        <f t="shared" si="47"/>
        <v>22</v>
      </c>
      <c r="AX91" s="293">
        <f>IF(X91="Х","Х",IF(Y91&lt;3,B91,"Х"))</f>
        <v>43</v>
      </c>
      <c r="AY91" s="92">
        <f ca="1"/>
        <v>0</v>
      </c>
      <c r="AZ91" s="92"/>
      <c r="BA91" s="92">
        <f ca="1"/>
        <v>0</v>
      </c>
      <c r="BB91" s="92"/>
      <c r="BC91" s="49">
        <f ca="1"/>
        <v>0</v>
      </c>
      <c r="BD91" s="49">
        <f ca="1"/>
        <v>0</v>
      </c>
      <c r="BE91" s="49">
        <f ca="1"/>
        <v>0</v>
      </c>
      <c r="BF91" s="49">
        <f ca="1"/>
        <v>0</v>
      </c>
      <c r="BG91" s="49">
        <f ca="1"/>
        <v>0</v>
      </c>
      <c r="BH91" s="49">
        <f ca="1"/>
        <v>0</v>
      </c>
      <c r="BI91" s="49"/>
      <c r="BJ91" s="49"/>
      <c r="BK91" s="49"/>
      <c r="BL91" s="49"/>
      <c r="BM91" s="294">
        <v>43</v>
      </c>
      <c r="BN91" s="287">
        <v>0</v>
      </c>
      <c r="BO91" s="98" t="str">
        <f>IF(BM91&lt;BN91,BM91,"")</f>
        <v/>
      </c>
      <c r="BP91" s="124" t="str">
        <v/>
      </c>
      <c r="BQ91" s="125"/>
      <c r="BR91" s="295" t="str">
        <v/>
      </c>
      <c r="BS91" s="287">
        <v>0</v>
      </c>
      <c r="BT91" s="109" t="str">
        <f>IF(BR91&lt;BS91,BR91,"")</f>
        <v/>
      </c>
      <c r="BU91" s="124" t="str">
        <v/>
      </c>
      <c r="BV91" s="124"/>
      <c r="BW91" s="284">
        <v>43</v>
      </c>
      <c r="BX91" s="286" t="str">
        <v xml:space="preserve"> </v>
      </c>
      <c r="BY91" s="102">
        <f t="array" ref="BY91">IF(BW91&lt;BX91,BW91,"")</f>
        <v>43</v>
      </c>
      <c r="BZ91" s="102">
        <f t="shared" si="17"/>
        <v>43</v>
      </c>
      <c r="CA91" s="63"/>
      <c r="CB91" s="63" t="str">
        <f t="shared" si="18"/>
        <v>св</v>
      </c>
      <c r="CC91" s="128"/>
      <c r="CD91" s="159"/>
      <c r="CE91" s="286">
        <v>43</v>
      </c>
      <c r="CF91" s="296" t="str">
        <v xml:space="preserve"> </v>
      </c>
      <c r="CG91" s="98">
        <f t="array" ref="CG91">IF(CE91&lt;CF91,CE91,"")</f>
        <v>43</v>
      </c>
      <c r="CH91" s="63">
        <v>43</v>
      </c>
      <c r="CI91" s="115"/>
      <c r="CJ91" s="65">
        <v>43</v>
      </c>
      <c r="CK91" s="151" t="str">
        <v xml:space="preserve"> </v>
      </c>
      <c r="CL91" s="98">
        <f t="array" ref="CL91">IF(CJ91&lt;CK91,CJ91,"")</f>
        <v>43</v>
      </c>
      <c r="CM91" s="49">
        <v>43</v>
      </c>
      <c r="CN91" s="49"/>
      <c r="CO91" s="286">
        <v>43</v>
      </c>
      <c r="CP91" s="286" t="str">
        <v xml:space="preserve"> </v>
      </c>
      <c r="CQ91" s="98">
        <f t="array" ref="CQ91">IF(CO91&lt;CP91,CO91,"")</f>
        <v>43</v>
      </c>
      <c r="CR91" s="65">
        <v>43</v>
      </c>
      <c r="CS91" s="152"/>
      <c r="CT91" s="286">
        <v>43</v>
      </c>
      <c r="CU91" s="286" t="str">
        <v xml:space="preserve"> </v>
      </c>
      <c r="CV91" s="98">
        <f t="array" ref="CV91">IF(CT91&lt;CU91,CT91,"")</f>
        <v>43</v>
      </c>
      <c r="CW91" s="49">
        <v>43</v>
      </c>
      <c r="CX91" s="49"/>
      <c r="CY91" s="49">
        <v>43</v>
      </c>
      <c r="CZ91" s="49" t="str">
        <v xml:space="preserve"> </v>
      </c>
      <c r="DA91" s="98">
        <f t="array" ref="DA91">IF(CY91&lt;CZ91,CY91,"")</f>
        <v>43</v>
      </c>
      <c r="DB91" s="49">
        <v>43</v>
      </c>
      <c r="DC91" s="49"/>
      <c r="DD91" s="49">
        <v>43</v>
      </c>
      <c r="DE91" s="49"/>
      <c r="DF91" s="49"/>
      <c r="DG91" s="49"/>
      <c r="DH91" s="49"/>
    </row>
    <row r="92" spans="1:112" ht="13.5" hidden="1" customHeight="1">
      <c r="A92" s="54"/>
      <c r="B92" s="269"/>
      <c r="C92" s="269"/>
      <c r="D92" s="269"/>
      <c r="E92" s="269"/>
      <c r="F92" s="274"/>
      <c r="G92" s="106"/>
      <c r="H92" s="267"/>
      <c r="I92" s="106"/>
      <c r="J92" s="267"/>
      <c r="K92" s="106"/>
      <c r="L92" s="267"/>
      <c r="M92" s="106"/>
      <c r="N92" s="267"/>
      <c r="O92" s="106"/>
      <c r="P92" s="267"/>
      <c r="Q92" s="106"/>
      <c r="R92" s="267"/>
      <c r="S92" s="106"/>
      <c r="T92" s="267"/>
      <c r="U92" s="107"/>
      <c r="V92" s="267"/>
      <c r="W92" s="107"/>
      <c r="X92" s="267"/>
      <c r="Y92" s="106"/>
      <c r="Z92" s="267"/>
      <c r="AA92" s="106"/>
      <c r="AB92" s="274"/>
      <c r="AC92" s="269"/>
      <c r="AD92" s="267"/>
      <c r="AE92" s="279"/>
      <c r="AF92" s="281"/>
      <c r="AG92" s="283"/>
      <c r="AH92" s="283"/>
      <c r="AI92" s="283"/>
      <c r="AJ92" s="283"/>
      <c r="AK92" s="283"/>
      <c r="AL92" s="283"/>
      <c r="AM92" s="283"/>
      <c r="AN92" s="283"/>
      <c r="AO92" s="283"/>
      <c r="AP92" s="283"/>
      <c r="AQ92" s="283"/>
      <c r="AR92" s="283"/>
      <c r="AS92" s="283"/>
      <c r="AT92" s="283"/>
      <c r="AU92" s="283"/>
      <c r="AV92" s="283"/>
      <c r="AW92" s="283"/>
      <c r="AX92" s="264"/>
      <c r="AY92" s="92">
        <f ca="1"/>
        <v>0</v>
      </c>
      <c r="AZ92" s="92"/>
      <c r="BA92" s="92">
        <f ca="1"/>
        <v>0</v>
      </c>
      <c r="BB92" s="92"/>
      <c r="BC92" s="49">
        <f ca="1"/>
        <v>0</v>
      </c>
      <c r="BD92" s="49">
        <f ca="1"/>
        <v>0</v>
      </c>
      <c r="BE92" s="49">
        <f ca="1"/>
        <v>0</v>
      </c>
      <c r="BF92" s="49">
        <f ca="1"/>
        <v>0</v>
      </c>
      <c r="BG92" s="49">
        <f ca="1"/>
        <v>0</v>
      </c>
      <c r="BH92" s="49">
        <f ca="1"/>
        <v>0</v>
      </c>
      <c r="BI92" s="49"/>
      <c r="BJ92" s="49"/>
      <c r="BK92" s="49"/>
      <c r="BL92" s="49"/>
      <c r="BM92" s="285" t="str">
        <v/>
      </c>
      <c r="BN92" s="264">
        <v>0</v>
      </c>
      <c r="BO92" s="109" t="str">
        <f>IF(BO91="","",BN91)</f>
        <v/>
      </c>
      <c r="BP92" s="109" t="str">
        <v/>
      </c>
      <c r="BQ92" s="125"/>
      <c r="BR92" s="264" t="str">
        <v/>
      </c>
      <c r="BS92" s="264">
        <v>0</v>
      </c>
      <c r="BT92" s="109" t="str">
        <f>IF(BT91="","",BS91)</f>
        <v/>
      </c>
      <c r="BU92" s="109" t="str">
        <v/>
      </c>
      <c r="BV92" s="124"/>
      <c r="BW92" s="285" t="str">
        <v/>
      </c>
      <c r="BX92" s="264">
        <v>0</v>
      </c>
      <c r="BY92" s="102" t="str">
        <f>IF(BY91="","",BX91)</f>
        <v xml:space="preserve"> </v>
      </c>
      <c r="BZ92" s="102" t="str">
        <f t="shared" si="17"/>
        <v xml:space="preserve"> </v>
      </c>
      <c r="CA92" s="128"/>
      <c r="CB92" s="63" t="str">
        <f t="shared" si="18"/>
        <v>св</v>
      </c>
      <c r="CC92" s="128"/>
      <c r="CD92" s="159"/>
      <c r="CE92" s="264" t="str">
        <v/>
      </c>
      <c r="CF92" s="264">
        <v>0</v>
      </c>
      <c r="CG92" s="113" t="str">
        <f>IF(CG91="","",CF91)</f>
        <v xml:space="preserve"> </v>
      </c>
      <c r="CH92" s="128" t="str">
        <v xml:space="preserve"> </v>
      </c>
      <c r="CI92" s="115"/>
      <c r="CJ92" s="49" t="str">
        <v/>
      </c>
      <c r="CK92" s="153">
        <v>0</v>
      </c>
      <c r="CL92" s="113" t="str">
        <f>IF(CL91="","",CK91)</f>
        <v xml:space="preserve"> </v>
      </c>
      <c r="CM92" s="49" t="str">
        <v xml:space="preserve"> </v>
      </c>
      <c r="CN92" s="49"/>
      <c r="CO92" s="264" t="str">
        <v/>
      </c>
      <c r="CP92" s="264">
        <v>0</v>
      </c>
      <c r="CQ92" s="113" t="str">
        <f>IF(CQ91="","",CP91)</f>
        <v xml:space="preserve"> </v>
      </c>
      <c r="CR92" s="49" t="str">
        <v xml:space="preserve"> </v>
      </c>
      <c r="CS92" s="152"/>
      <c r="CT92" s="264" t="str">
        <v/>
      </c>
      <c r="CU92" s="264">
        <v>0</v>
      </c>
      <c r="CV92" s="113" t="str">
        <f>IF(CV91="","",CU91)</f>
        <v xml:space="preserve"> </v>
      </c>
      <c r="CW92" s="49" t="str">
        <v xml:space="preserve"> </v>
      </c>
      <c r="CX92" s="49"/>
      <c r="CY92" s="49" t="str">
        <v/>
      </c>
      <c r="CZ92" s="49">
        <v>0</v>
      </c>
      <c r="DA92" s="113" t="str">
        <f>IF(DA91="","",CZ91)</f>
        <v xml:space="preserve"> </v>
      </c>
      <c r="DB92" s="49" t="str">
        <v xml:space="preserve"> </v>
      </c>
      <c r="DC92" s="49"/>
      <c r="DD92" s="49" t="str">
        <v/>
      </c>
      <c r="DE92" s="49"/>
      <c r="DF92" s="49"/>
      <c r="DG92" s="49"/>
      <c r="DH92" s="49"/>
    </row>
    <row r="93" spans="1:112" ht="13.5" hidden="1" customHeight="1">
      <c r="A93" s="54"/>
      <c r="B93" s="268">
        <v>44</v>
      </c>
      <c r="C93" s="270" t="e">
        <f>(VLOOKUP($B93,Пр.взв!$D$6:$J$63,2,0))</f>
        <v>#N/A</v>
      </c>
      <c r="D93" s="271" t="e">
        <f>(VLOOKUP($B93,Пр.взв!$D$6:$J$63,5,0))</f>
        <v>#N/A</v>
      </c>
      <c r="E93" s="272" t="e">
        <f>(VLOOKUP($B93,Пр.взв!$D$6:$M$63,8,0))</f>
        <v>#N/A</v>
      </c>
      <c r="F93" s="273"/>
      <c r="G93" s="87"/>
      <c r="H93" s="266"/>
      <c r="I93" s="87"/>
      <c r="J93" s="266" t="str">
        <f>IF(H93="Х","Х",IF($AC93&lt;6," ","Х"))</f>
        <v xml:space="preserve"> </v>
      </c>
      <c r="K93" s="87"/>
      <c r="L93" s="266" t="str">
        <f>IF(J93="Х","Х",IF(K93&lt;3," ",IF($AC93&lt;6," ","Х")))</f>
        <v xml:space="preserve"> </v>
      </c>
      <c r="M93" s="87"/>
      <c r="N93" s="266" t="str">
        <f>IF(L93="Х","Х",IF(M93&lt;3," ",IF($AC93&lt;6," ","Х")))</f>
        <v xml:space="preserve"> </v>
      </c>
      <c r="O93" s="87"/>
      <c r="P93" s="266" t="str">
        <f>IF(N93="Х","Х",IF(O93&lt;3," ",IF($AC93&lt;6," ","Х")))</f>
        <v xml:space="preserve"> </v>
      </c>
      <c r="Q93" s="87"/>
      <c r="R93" s="266" t="str">
        <f>IF(P93="Х","Х",IF(Q93&lt;3," ",IF($AC93&lt;6," ","Х")))</f>
        <v xml:space="preserve"> </v>
      </c>
      <c r="S93" s="87"/>
      <c r="T93" s="266" t="str">
        <f>IF(R93="Х","Х",IF(S93&lt;3," ",IF($AC93&lt;6," ","Х")))</f>
        <v xml:space="preserve"> </v>
      </c>
      <c r="U93" s="88"/>
      <c r="V93" s="266" t="str">
        <f>IF(T93="Х","Х",IF(U93&lt;3," ",IF($AC93&lt;6," ","Х")))</f>
        <v xml:space="preserve"> </v>
      </c>
      <c r="W93" s="88"/>
      <c r="X93" s="266" t="str">
        <f>IF(V93="А1",$AZ$7,IF(V93="Б2",$AZ$6,IF(V93="Б1",$BA$7,IF(V93="А2",$BA$6,IF(V93="Х","Х",IF(V93&lt;6," "," "))))))</f>
        <v xml:space="preserve"> </v>
      </c>
      <c r="Y93" s="89"/>
      <c r="Z93" s="266" t="str">
        <f>IF(V93="Х","Х",IF(ISBLANK(Y93),"",IF(Y93&gt;2.5," ",IF(B93=BB$6,BB$7,BB$6))))</f>
        <v/>
      </c>
      <c r="AA93" s="89"/>
      <c r="AB93" s="290" t="str">
        <f>IF(H93="Х",F$5,IF(J93="Х",H$5,IF(L93="Х",J$5,IF(N93="Х",L$5,IF(P93="Х",N$5,IF(R93="Х",P$5,IF(T93="Х",R$5,IF(X93="Х",T$5,""))))))))</f>
        <v/>
      </c>
      <c r="AC93" s="276">
        <f>SUM(G93+I93+K93+M93+O93+Q93+S93+U93+Y93+AA93)</f>
        <v>0</v>
      </c>
      <c r="AD93" s="291" t="str">
        <f>AF93</f>
        <v>27-71</v>
      </c>
      <c r="AE93" s="278" t="str">
        <f>AD93</f>
        <v>27-71</v>
      </c>
      <c r="AF93" s="280" t="str">
        <f>COUNTIF(AG$6:AG$148,"&gt;"&amp;AG$6:AG$148)+1&amp;REPT("-"&amp;COUNTIF(AG$6:AG$148,"&gt;="&amp;AG$6:AG$148),COUNTIF(AG$6:AG$148,AG93)&gt;1)</f>
        <v>27-71</v>
      </c>
      <c r="AG93" s="282">
        <f>(AR93*100)+(AP93*10)-AC93</f>
        <v>80</v>
      </c>
      <c r="AH93" s="288" t="str">
        <f>IF(OR(F93="Х",F93="св")," ",IF(AND(G93&gt;=0,G93&lt;3),"1"," "))</f>
        <v>1</v>
      </c>
      <c r="AI93" s="289" t="str">
        <f>IF(OR(H93="Х",H93="св")," ",IF(AND(I93&gt;=0,I93&lt;3),"1"," "))</f>
        <v>1</v>
      </c>
      <c r="AJ93" s="289" t="str">
        <f>IF(OR(J93="Х",J93="св")," ",IF(AND(K93&gt;=0,K93&lt;3),"1"," "))</f>
        <v>1</v>
      </c>
      <c r="AK93" s="289" t="str">
        <f>IF(OR(L93="Х",L93="св")," ",IF(AND(M93&gt;=0,M93&lt;3),"1"," "))</f>
        <v>1</v>
      </c>
      <c r="AL93" s="289" t="str">
        <f>IF(OR(N93="Х",N93="св")," ",IF(AND(O93&gt;=0,O93&lt;3),"1"," "))</f>
        <v>1</v>
      </c>
      <c r="AM93" s="289" t="str">
        <f>IF(OR(P93="Х",P93="св")," ",IF(AND(Q93&gt;=0,Q93&lt;3),"1"," "))</f>
        <v>1</v>
      </c>
      <c r="AN93" s="289" t="str">
        <f>IF(OR(R93="Х",R93="св")," ",IF(AND(S93&gt;=0,S93&lt;3),"1"," "))</f>
        <v>1</v>
      </c>
      <c r="AO93" s="289" t="str">
        <f>IF(OR(T93="Х",T93="св")," ",IF(AND(U93&gt;=0,U93&lt;3),"1"," "))</f>
        <v>1</v>
      </c>
      <c r="AP93" s="289">
        <f>COUNTIF(AH93:AO94,1)</f>
        <v>8</v>
      </c>
      <c r="AQ93" s="289">
        <f>AG93-AC93</f>
        <v>80</v>
      </c>
      <c r="AR93" s="292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289" t="str">
        <f>COUNTIF(AG$6:AG$134,"&gt;"&amp;AG$6:AG$134)+1&amp;REPT("-"&amp;COUNTIF(AG$6:AG$134,"&gt;="&amp;AG$6:AG$134),COUNTIF(AG$6:AG$134,AG93)&gt;1)</f>
        <v>27-64</v>
      </c>
      <c r="AT93" s="288" t="str">
        <f t="shared" ref="AT93:AW93" si="48">COUNTIF(AU$6:AU$134,"&gt;"&amp;AU$6:AU$134)+1&amp;REPT("-"&amp;COUNTIF(AU$6:AU$134,"&gt;="&amp;AU$6:AU$134),COUNTIF(AU$6:AU$134,AU93)&gt;1)</f>
        <v>1-64</v>
      </c>
      <c r="AU93" s="288" t="str">
        <f t="shared" si="48"/>
        <v>1-0</v>
      </c>
      <c r="AV93" s="288" t="str">
        <f t="shared" si="48"/>
        <v>1</v>
      </c>
      <c r="AW93" s="288" t="str">
        <f t="shared" si="48"/>
        <v>21</v>
      </c>
      <c r="AX93" s="293">
        <f>IF(X93="Х","Х",IF(Y93&lt;3,B93,"Х"))</f>
        <v>44</v>
      </c>
      <c r="AY93" s="92">
        <f ca="1"/>
        <v>0</v>
      </c>
      <c r="AZ93" s="92"/>
      <c r="BA93" s="92">
        <f ca="1"/>
        <v>0</v>
      </c>
      <c r="BB93" s="92"/>
      <c r="BC93" s="49">
        <f ca="1"/>
        <v>0</v>
      </c>
      <c r="BD93" s="49">
        <f ca="1"/>
        <v>0</v>
      </c>
      <c r="BE93" s="49">
        <f ca="1"/>
        <v>0</v>
      </c>
      <c r="BF93" s="49">
        <f ca="1"/>
        <v>0</v>
      </c>
      <c r="BG93" s="49">
        <f ca="1"/>
        <v>0</v>
      </c>
      <c r="BH93" s="49">
        <f ca="1"/>
        <v>0</v>
      </c>
      <c r="BI93" s="49"/>
      <c r="BJ93" s="49"/>
      <c r="BK93" s="49"/>
      <c r="BL93" s="49"/>
      <c r="BM93" s="294">
        <v>44</v>
      </c>
      <c r="BN93" s="287">
        <v>0</v>
      </c>
      <c r="BO93" s="98" t="str">
        <f>IF(BM93&lt;BN93,BM93,"")</f>
        <v/>
      </c>
      <c r="BP93" s="124" t="str">
        <v/>
      </c>
      <c r="BQ93" s="125"/>
      <c r="BR93" s="295" t="str">
        <v/>
      </c>
      <c r="BS93" s="287">
        <v>0</v>
      </c>
      <c r="BT93" s="109" t="str">
        <f>IF(BR93&lt;BS93,BR93,"")</f>
        <v/>
      </c>
      <c r="BU93" s="124" t="str">
        <v/>
      </c>
      <c r="BV93" s="124"/>
      <c r="BW93" s="284">
        <v>44</v>
      </c>
      <c r="BX93" s="286" t="str">
        <v xml:space="preserve"> </v>
      </c>
      <c r="BY93" s="102">
        <f t="array" ref="BY93">IF(BW93&lt;BX93,BW93,"")</f>
        <v>44</v>
      </c>
      <c r="BZ93" s="102">
        <f t="shared" si="17"/>
        <v>44</v>
      </c>
      <c r="CA93" s="63"/>
      <c r="CB93" s="63" t="str">
        <f t="shared" si="18"/>
        <v>св</v>
      </c>
      <c r="CC93" s="128"/>
      <c r="CD93" s="159"/>
      <c r="CE93" s="286">
        <v>44</v>
      </c>
      <c r="CF93" s="296" t="str">
        <v xml:space="preserve"> </v>
      </c>
      <c r="CG93" s="98">
        <f t="array" ref="CG93">IF(CE93&lt;CF93,CE93,"")</f>
        <v>44</v>
      </c>
      <c r="CH93" s="63">
        <v>44</v>
      </c>
      <c r="CI93" s="115"/>
      <c r="CJ93" s="65">
        <v>44</v>
      </c>
      <c r="CK93" s="151" t="str">
        <v xml:space="preserve"> </v>
      </c>
      <c r="CL93" s="98">
        <f t="array" ref="CL93">IF(CJ93&lt;CK93,CJ93,"")</f>
        <v>44</v>
      </c>
      <c r="CM93" s="49">
        <v>44</v>
      </c>
      <c r="CN93" s="49"/>
      <c r="CO93" s="286">
        <v>44</v>
      </c>
      <c r="CP93" s="286" t="str">
        <v xml:space="preserve"> </v>
      </c>
      <c r="CQ93" s="98">
        <f t="array" ref="CQ93">IF(CO93&lt;CP93,CO93,"")</f>
        <v>44</v>
      </c>
      <c r="CR93" s="65">
        <v>44</v>
      </c>
      <c r="CS93" s="152"/>
      <c r="CT93" s="286">
        <v>44</v>
      </c>
      <c r="CU93" s="286" t="str">
        <v xml:space="preserve"> </v>
      </c>
      <c r="CV93" s="98">
        <f t="array" ref="CV93">IF(CT93&lt;CU93,CT93,"")</f>
        <v>44</v>
      </c>
      <c r="CW93" s="49">
        <v>44</v>
      </c>
      <c r="CX93" s="49"/>
      <c r="CY93" s="49">
        <v>44</v>
      </c>
      <c r="CZ93" s="49" t="str">
        <v xml:space="preserve"> </v>
      </c>
      <c r="DA93" s="98">
        <f t="array" ref="DA93">IF(CY93&lt;CZ93,CY93,"")</f>
        <v>44</v>
      </c>
      <c r="DB93" s="49">
        <v>44</v>
      </c>
      <c r="DC93" s="49"/>
      <c r="DD93" s="49">
        <v>44</v>
      </c>
      <c r="DE93" s="49"/>
      <c r="DF93" s="49"/>
      <c r="DG93" s="49"/>
      <c r="DH93" s="49"/>
    </row>
    <row r="94" spans="1:112" ht="13.5" hidden="1" customHeight="1">
      <c r="A94" s="54"/>
      <c r="B94" s="269"/>
      <c r="C94" s="269"/>
      <c r="D94" s="269"/>
      <c r="E94" s="269"/>
      <c r="F94" s="274"/>
      <c r="G94" s="106"/>
      <c r="H94" s="267"/>
      <c r="I94" s="106"/>
      <c r="J94" s="267"/>
      <c r="K94" s="106"/>
      <c r="L94" s="267"/>
      <c r="M94" s="106"/>
      <c r="N94" s="267"/>
      <c r="O94" s="106"/>
      <c r="P94" s="267"/>
      <c r="Q94" s="106"/>
      <c r="R94" s="267"/>
      <c r="S94" s="106"/>
      <c r="T94" s="267"/>
      <c r="U94" s="107"/>
      <c r="V94" s="267"/>
      <c r="W94" s="107"/>
      <c r="X94" s="267"/>
      <c r="Y94" s="106"/>
      <c r="Z94" s="267"/>
      <c r="AA94" s="106"/>
      <c r="AB94" s="274"/>
      <c r="AC94" s="269"/>
      <c r="AD94" s="267"/>
      <c r="AE94" s="279"/>
      <c r="AF94" s="281"/>
      <c r="AG94" s="283"/>
      <c r="AH94" s="283"/>
      <c r="AI94" s="283"/>
      <c r="AJ94" s="283"/>
      <c r="AK94" s="283"/>
      <c r="AL94" s="283"/>
      <c r="AM94" s="283"/>
      <c r="AN94" s="283"/>
      <c r="AO94" s="283"/>
      <c r="AP94" s="283"/>
      <c r="AQ94" s="283"/>
      <c r="AR94" s="283"/>
      <c r="AS94" s="283"/>
      <c r="AT94" s="283"/>
      <c r="AU94" s="283"/>
      <c r="AV94" s="283"/>
      <c r="AW94" s="283"/>
      <c r="AX94" s="264"/>
      <c r="AY94" s="92">
        <f ca="1"/>
        <v>0</v>
      </c>
      <c r="AZ94" s="92"/>
      <c r="BA94" s="92">
        <f ca="1"/>
        <v>0</v>
      </c>
      <c r="BB94" s="92"/>
      <c r="BC94" s="49">
        <f ca="1"/>
        <v>0</v>
      </c>
      <c r="BD94" s="49">
        <f ca="1"/>
        <v>0</v>
      </c>
      <c r="BE94" s="49">
        <f ca="1"/>
        <v>0</v>
      </c>
      <c r="BF94" s="49">
        <f ca="1"/>
        <v>0</v>
      </c>
      <c r="BG94" s="49">
        <f ca="1"/>
        <v>0</v>
      </c>
      <c r="BH94" s="49">
        <f ca="1"/>
        <v>0</v>
      </c>
      <c r="BI94" s="49"/>
      <c r="BJ94" s="49"/>
      <c r="BK94" s="49"/>
      <c r="BL94" s="49"/>
      <c r="BM94" s="285" t="str">
        <v/>
      </c>
      <c r="BN94" s="264">
        <v>0</v>
      </c>
      <c r="BO94" s="109" t="str">
        <f>IF(BO93="","",BN93)</f>
        <v/>
      </c>
      <c r="BP94" s="109" t="str">
        <v/>
      </c>
      <c r="BQ94" s="125"/>
      <c r="BR94" s="264" t="str">
        <v/>
      </c>
      <c r="BS94" s="264">
        <v>0</v>
      </c>
      <c r="BT94" s="109" t="str">
        <f>IF(BT93="","",BS93)</f>
        <v/>
      </c>
      <c r="BU94" s="109" t="str">
        <v/>
      </c>
      <c r="BV94" s="124"/>
      <c r="BW94" s="285" t="str">
        <v/>
      </c>
      <c r="BX94" s="264">
        <v>0</v>
      </c>
      <c r="BY94" s="102" t="str">
        <f>IF(BY93="","",BX93)</f>
        <v xml:space="preserve"> </v>
      </c>
      <c r="BZ94" s="102" t="str">
        <f t="shared" si="17"/>
        <v xml:space="preserve"> </v>
      </c>
      <c r="CA94" s="128"/>
      <c r="CB94" s="63" t="str">
        <f t="shared" si="18"/>
        <v>св</v>
      </c>
      <c r="CC94" s="128"/>
      <c r="CD94" s="159"/>
      <c r="CE94" s="264" t="str">
        <v/>
      </c>
      <c r="CF94" s="264">
        <v>0</v>
      </c>
      <c r="CG94" s="113" t="str">
        <f>IF(CG93="","",CF93)</f>
        <v xml:space="preserve"> </v>
      </c>
      <c r="CH94" s="128" t="str">
        <v xml:space="preserve"> </v>
      </c>
      <c r="CI94" s="115"/>
      <c r="CJ94" s="49" t="str">
        <v/>
      </c>
      <c r="CK94" s="153">
        <v>0</v>
      </c>
      <c r="CL94" s="113" t="str">
        <f>IF(CL93="","",CK93)</f>
        <v xml:space="preserve"> </v>
      </c>
      <c r="CM94" s="49" t="str">
        <v xml:space="preserve"> </v>
      </c>
      <c r="CN94" s="49"/>
      <c r="CO94" s="264" t="str">
        <v/>
      </c>
      <c r="CP94" s="264">
        <v>0</v>
      </c>
      <c r="CQ94" s="113" t="str">
        <f>IF(CQ93="","",CP93)</f>
        <v xml:space="preserve"> </v>
      </c>
      <c r="CR94" s="49" t="str">
        <v xml:space="preserve"> </v>
      </c>
      <c r="CS94" s="152"/>
      <c r="CT94" s="264" t="str">
        <v/>
      </c>
      <c r="CU94" s="264">
        <v>0</v>
      </c>
      <c r="CV94" s="113" t="str">
        <f>IF(CV93="","",CU93)</f>
        <v xml:space="preserve"> </v>
      </c>
      <c r="CW94" s="49" t="str">
        <v xml:space="preserve"> </v>
      </c>
      <c r="CX94" s="49"/>
      <c r="CY94" s="49" t="str">
        <v/>
      </c>
      <c r="CZ94" s="49">
        <v>0</v>
      </c>
      <c r="DA94" s="113" t="str">
        <f>IF(DA93="","",CZ93)</f>
        <v xml:space="preserve"> </v>
      </c>
      <c r="DB94" s="49" t="str">
        <v xml:space="preserve"> </v>
      </c>
      <c r="DC94" s="49"/>
      <c r="DD94" s="49" t="str">
        <v/>
      </c>
      <c r="DE94" s="49"/>
      <c r="DF94" s="49"/>
      <c r="DG94" s="49"/>
      <c r="DH94" s="49"/>
    </row>
    <row r="95" spans="1:112" ht="13.5" hidden="1" customHeight="1">
      <c r="A95" s="54"/>
      <c r="B95" s="268">
        <v>45</v>
      </c>
      <c r="C95" s="270" t="e">
        <f>(VLOOKUP($B95,Пр.взв!$D$6:$J$63,2,0))</f>
        <v>#N/A</v>
      </c>
      <c r="D95" s="271" t="e">
        <f>(VLOOKUP($B95,Пр.взв!$D$6:$J$63,5,0))</f>
        <v>#N/A</v>
      </c>
      <c r="E95" s="272" t="e">
        <f>(VLOOKUP($B95,Пр.взв!$D$6:$M$63,8,0))</f>
        <v>#N/A</v>
      </c>
      <c r="F95" s="273"/>
      <c r="G95" s="169"/>
      <c r="H95" s="266"/>
      <c r="I95" s="169"/>
      <c r="J95" s="266" t="str">
        <f>IF(H95="Х","Х",IF($AC95&lt;6," ","Х"))</f>
        <v xml:space="preserve"> </v>
      </c>
      <c r="K95" s="87"/>
      <c r="L95" s="266" t="str">
        <f>IF(J95="Х","Х",IF(K95&lt;3," ",IF($AC95&lt;6," ","Х")))</f>
        <v xml:space="preserve"> </v>
      </c>
      <c r="M95" s="87"/>
      <c r="N95" s="266" t="str">
        <f>IF(L95="Х","Х",IF(M95&lt;3," ",IF($AC95&lt;6," ","Х")))</f>
        <v xml:space="preserve"> </v>
      </c>
      <c r="O95" s="87"/>
      <c r="P95" s="266" t="str">
        <f>IF(N95="Х","Х",IF(O95&lt;3," ",IF($AC95&lt;6," ","Х")))</f>
        <v xml:space="preserve"> </v>
      </c>
      <c r="Q95" s="87"/>
      <c r="R95" s="266" t="str">
        <f>IF(P95="Х","Х",IF(Q95&lt;3," ",IF($AC95&lt;6," ","Х")))</f>
        <v xml:space="preserve"> </v>
      </c>
      <c r="S95" s="87"/>
      <c r="T95" s="266" t="str">
        <f>IF(R95="Х","Х",IF(S95&lt;3," ",IF($AC95&lt;6," ","Х")))</f>
        <v xml:space="preserve"> </v>
      </c>
      <c r="U95" s="88"/>
      <c r="V95" s="266" t="str">
        <f>IF(T95="Х","Х",IF(U95&lt;3," ",IF($AC95&lt;6," ","Х")))</f>
        <v xml:space="preserve"> </v>
      </c>
      <c r="W95" s="88"/>
      <c r="X95" s="266" t="str">
        <f>IF(V95="А1",$AZ$7,IF(V95="Б2",$AZ$6,IF(V95="Б1",$BA$7,IF(V95="А2",$BA$6,IF(V95="Х","Х",IF(V95&lt;6," "," "))))))</f>
        <v xml:space="preserve"> </v>
      </c>
      <c r="Y95" s="89"/>
      <c r="Z95" s="266" t="str">
        <f>IF(V95="Х","Х",IF(ISBLANK(Y95),"",IF(Y95&gt;2.5," ",IF(B95=BB$6,BB$7,BB$6))))</f>
        <v/>
      </c>
      <c r="AA95" s="89"/>
      <c r="AB95" s="290" t="str">
        <f>IF(H95="Х",F$5,IF(J95="Х",H$5,IF(L95="Х",J$5,IF(N95="Х",L$5,IF(P95="Х",N$5,IF(R95="Х",P$5,IF(T95="Х",R$5,IF(X95="Х",T$5,""))))))))</f>
        <v/>
      </c>
      <c r="AC95" s="276">
        <f>SUM(G95+I95+K95+M95+O95+Q95+S95+U95+Y95+AA95)</f>
        <v>0</v>
      </c>
      <c r="AD95" s="291" t="str">
        <f>AF95</f>
        <v>27-71</v>
      </c>
      <c r="AE95" s="278" t="str">
        <f>AD95</f>
        <v>27-71</v>
      </c>
      <c r="AF95" s="280" t="str">
        <f>COUNTIF(AG$6:AG$148,"&gt;"&amp;AG$6:AG$148)+1&amp;REPT("-"&amp;COUNTIF(AG$6:AG$148,"&gt;="&amp;AG$6:AG$148),COUNTIF(AG$6:AG$148,AG95)&gt;1)</f>
        <v>27-71</v>
      </c>
      <c r="AG95" s="282">
        <f>(AR95*100)+(AP95*10)-AC95</f>
        <v>80</v>
      </c>
      <c r="AH95" s="288" t="str">
        <f>IF(OR(F95="Х",F95="св")," ",IF(AND(G95&gt;=0,G95&lt;3),"1"," "))</f>
        <v>1</v>
      </c>
      <c r="AI95" s="289" t="str">
        <f>IF(OR(H95="Х",H95="св")," ",IF(AND(I95&gt;=0,I95&lt;3),"1"," "))</f>
        <v>1</v>
      </c>
      <c r="AJ95" s="289" t="str">
        <f>IF(OR(J95="Х",J95="св")," ",IF(AND(K95&gt;=0,K95&lt;3),"1"," "))</f>
        <v>1</v>
      </c>
      <c r="AK95" s="289" t="str">
        <f>IF(OR(L95="Х",L95="св")," ",IF(AND(M95&gt;=0,M95&lt;3),"1"," "))</f>
        <v>1</v>
      </c>
      <c r="AL95" s="289" t="str">
        <f>IF(OR(N95="Х",N95="св")," ",IF(AND(O95&gt;=0,O95&lt;3),"1"," "))</f>
        <v>1</v>
      </c>
      <c r="AM95" s="289" t="str">
        <f>IF(OR(P95="Х",P95="св")," ",IF(AND(Q95&gt;=0,Q95&lt;3),"1"," "))</f>
        <v>1</v>
      </c>
      <c r="AN95" s="289" t="str">
        <f>IF(OR(R95="Х",R95="св")," ",IF(AND(S95&gt;=0,S95&lt;3),"1"," "))</f>
        <v>1</v>
      </c>
      <c r="AO95" s="289" t="str">
        <f>IF(OR(T95="Х",T95="св")," ",IF(AND(U95&gt;=0,U95&lt;3),"1"," "))</f>
        <v>1</v>
      </c>
      <c r="AP95" s="289">
        <f>COUNTIF(AH95:AO96,1)</f>
        <v>8</v>
      </c>
      <c r="AQ95" s="289">
        <f>AG95-AC95</f>
        <v>80</v>
      </c>
      <c r="AR95" s="292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289" t="str">
        <f>COUNTIF(AG$6:AG$134,"&gt;"&amp;AG$6:AG$134)+1&amp;REPT("-"&amp;COUNTIF(AG$6:AG$134,"&gt;="&amp;AG$6:AG$134),COUNTIF(AG$6:AG$134,AG95)&gt;1)</f>
        <v>27-64</v>
      </c>
      <c r="AT95" s="288" t="str">
        <f t="shared" ref="AT95:AW95" si="49">COUNTIF(AU$6:AU$134,"&gt;"&amp;AU$6:AU$134)+1&amp;REPT("-"&amp;COUNTIF(AU$6:AU$134,"&gt;="&amp;AU$6:AU$134),COUNTIF(AU$6:AU$134,AU95)&gt;1)</f>
        <v>1-64</v>
      </c>
      <c r="AU95" s="288" t="str">
        <f t="shared" si="49"/>
        <v>1-0</v>
      </c>
      <c r="AV95" s="288" t="str">
        <f t="shared" si="49"/>
        <v>1</v>
      </c>
      <c r="AW95" s="288" t="str">
        <f t="shared" si="49"/>
        <v>20</v>
      </c>
      <c r="AX95" s="293">
        <f>IF(X95="Х","Х",IF(Y95&lt;3,B95,"Х"))</f>
        <v>45</v>
      </c>
      <c r="AY95" s="92">
        <f ca="1"/>
        <v>0</v>
      </c>
      <c r="AZ95" s="92"/>
      <c r="BA95" s="92">
        <f ca="1"/>
        <v>0</v>
      </c>
      <c r="BB95" s="92"/>
      <c r="BC95" s="49">
        <f ca="1"/>
        <v>0</v>
      </c>
      <c r="BD95" s="49">
        <f ca="1"/>
        <v>0</v>
      </c>
      <c r="BE95" s="49">
        <f ca="1"/>
        <v>0</v>
      </c>
      <c r="BF95" s="49">
        <f ca="1"/>
        <v>0</v>
      </c>
      <c r="BG95" s="49">
        <f ca="1"/>
        <v>0</v>
      </c>
      <c r="BH95" s="49">
        <f ca="1"/>
        <v>0</v>
      </c>
      <c r="BI95" s="49"/>
      <c r="BJ95" s="49"/>
      <c r="BK95" s="49"/>
      <c r="BL95" s="49"/>
      <c r="BM95" s="294">
        <v>45</v>
      </c>
      <c r="BN95" s="287">
        <v>0</v>
      </c>
      <c r="BO95" s="98" t="str">
        <f>IF(BM95&lt;BN95,BM95,"")</f>
        <v/>
      </c>
      <c r="BP95" s="124" t="str">
        <v/>
      </c>
      <c r="BQ95" s="125"/>
      <c r="BR95" s="295" t="str">
        <v/>
      </c>
      <c r="BS95" s="287">
        <v>0</v>
      </c>
      <c r="BT95" s="109" t="str">
        <f>IF(BR95&lt;BS95,BR95,"")</f>
        <v/>
      </c>
      <c r="BU95" s="124" t="str">
        <v/>
      </c>
      <c r="BV95" s="124"/>
      <c r="BW95" s="284">
        <v>45</v>
      </c>
      <c r="BX95" s="286" t="str">
        <v xml:space="preserve"> </v>
      </c>
      <c r="BY95" s="102">
        <f t="array" ref="BY95">IF(BW95&lt;BX95,BW95,"")</f>
        <v>45</v>
      </c>
      <c r="BZ95" s="102">
        <f t="shared" si="17"/>
        <v>45</v>
      </c>
      <c r="CA95" s="63"/>
      <c r="CB95" s="63" t="str">
        <f t="shared" si="18"/>
        <v>св</v>
      </c>
      <c r="CC95" s="128"/>
      <c r="CD95" s="159"/>
      <c r="CE95" s="286">
        <v>45</v>
      </c>
      <c r="CF95" s="296" t="str">
        <v xml:space="preserve"> </v>
      </c>
      <c r="CG95" s="98">
        <f t="array" ref="CG95">IF(CE95&lt;CF95,CE95,"")</f>
        <v>45</v>
      </c>
      <c r="CH95" s="63">
        <v>45</v>
      </c>
      <c r="CI95" s="115"/>
      <c r="CJ95" s="65">
        <v>45</v>
      </c>
      <c r="CK95" s="151" t="str">
        <v xml:space="preserve"> </v>
      </c>
      <c r="CL95" s="98">
        <f t="array" ref="CL95">IF(CJ95&lt;CK95,CJ95,"")</f>
        <v>45</v>
      </c>
      <c r="CM95" s="49">
        <v>45</v>
      </c>
      <c r="CN95" s="49"/>
      <c r="CO95" s="286">
        <v>45</v>
      </c>
      <c r="CP95" s="286" t="str">
        <v xml:space="preserve"> </v>
      </c>
      <c r="CQ95" s="98">
        <f t="array" ref="CQ95">IF(CO95&lt;CP95,CO95,"")</f>
        <v>45</v>
      </c>
      <c r="CR95" s="65">
        <v>45</v>
      </c>
      <c r="CS95" s="152"/>
      <c r="CT95" s="286">
        <v>45</v>
      </c>
      <c r="CU95" s="286" t="str">
        <v xml:space="preserve"> </v>
      </c>
      <c r="CV95" s="98">
        <f t="array" ref="CV95">IF(CT95&lt;CU95,CT95,"")</f>
        <v>45</v>
      </c>
      <c r="CW95" s="49">
        <v>45</v>
      </c>
      <c r="CX95" s="49"/>
      <c r="CY95" s="49">
        <v>45</v>
      </c>
      <c r="CZ95" s="49" t="str">
        <v xml:space="preserve"> </v>
      </c>
      <c r="DA95" s="98">
        <f t="array" ref="DA95">IF(CY95&lt;CZ95,CY95,"")</f>
        <v>45</v>
      </c>
      <c r="DB95" s="49">
        <v>45</v>
      </c>
      <c r="DC95" s="49"/>
      <c r="DD95" s="49">
        <v>45</v>
      </c>
      <c r="DE95" s="49"/>
      <c r="DF95" s="49"/>
      <c r="DG95" s="49"/>
      <c r="DH95" s="49"/>
    </row>
    <row r="96" spans="1:112" ht="13.5" hidden="1" customHeight="1">
      <c r="A96" s="54"/>
      <c r="B96" s="269"/>
      <c r="C96" s="269"/>
      <c r="D96" s="269"/>
      <c r="E96" s="269"/>
      <c r="F96" s="274"/>
      <c r="G96" s="106"/>
      <c r="H96" s="267"/>
      <c r="I96" s="106"/>
      <c r="J96" s="267"/>
      <c r="K96" s="106"/>
      <c r="L96" s="267"/>
      <c r="M96" s="106"/>
      <c r="N96" s="267"/>
      <c r="O96" s="106"/>
      <c r="P96" s="267"/>
      <c r="Q96" s="106"/>
      <c r="R96" s="267"/>
      <c r="S96" s="106"/>
      <c r="T96" s="267"/>
      <c r="U96" s="107"/>
      <c r="V96" s="267"/>
      <c r="W96" s="107"/>
      <c r="X96" s="267"/>
      <c r="Y96" s="106"/>
      <c r="Z96" s="267"/>
      <c r="AA96" s="106"/>
      <c r="AB96" s="274"/>
      <c r="AC96" s="269"/>
      <c r="AD96" s="267"/>
      <c r="AE96" s="279"/>
      <c r="AF96" s="281"/>
      <c r="AG96" s="283"/>
      <c r="AH96" s="283"/>
      <c r="AI96" s="283"/>
      <c r="AJ96" s="283"/>
      <c r="AK96" s="283"/>
      <c r="AL96" s="283"/>
      <c r="AM96" s="283"/>
      <c r="AN96" s="283"/>
      <c r="AO96" s="283"/>
      <c r="AP96" s="283"/>
      <c r="AQ96" s="283"/>
      <c r="AR96" s="283"/>
      <c r="AS96" s="283"/>
      <c r="AT96" s="283"/>
      <c r="AU96" s="283"/>
      <c r="AV96" s="283"/>
      <c r="AW96" s="283"/>
      <c r="AX96" s="264"/>
      <c r="AY96" s="92">
        <f ca="1"/>
        <v>0</v>
      </c>
      <c r="AZ96" s="92"/>
      <c r="BA96" s="92">
        <f ca="1"/>
        <v>0</v>
      </c>
      <c r="BB96" s="92"/>
      <c r="BC96" s="49">
        <f ca="1"/>
        <v>0</v>
      </c>
      <c r="BD96" s="49">
        <f ca="1"/>
        <v>0</v>
      </c>
      <c r="BE96" s="49">
        <f ca="1"/>
        <v>0</v>
      </c>
      <c r="BF96" s="49">
        <f ca="1"/>
        <v>0</v>
      </c>
      <c r="BG96" s="49">
        <f ca="1"/>
        <v>0</v>
      </c>
      <c r="BH96" s="49">
        <f ca="1"/>
        <v>0</v>
      </c>
      <c r="BI96" s="49"/>
      <c r="BJ96" s="49"/>
      <c r="BK96" s="49"/>
      <c r="BL96" s="49"/>
      <c r="BM96" s="285" t="str">
        <v/>
      </c>
      <c r="BN96" s="264">
        <v>0</v>
      </c>
      <c r="BO96" s="109" t="str">
        <f>IF(BO95="","",BN95)</f>
        <v/>
      </c>
      <c r="BP96" s="109" t="str">
        <v/>
      </c>
      <c r="BQ96" s="125"/>
      <c r="BR96" s="264" t="str">
        <v/>
      </c>
      <c r="BS96" s="264">
        <v>0</v>
      </c>
      <c r="BT96" s="109" t="str">
        <f>IF(BT95="","",BS95)</f>
        <v/>
      </c>
      <c r="BU96" s="109" t="str">
        <v/>
      </c>
      <c r="BV96" s="124"/>
      <c r="BW96" s="285" t="str">
        <v/>
      </c>
      <c r="BX96" s="264">
        <v>0</v>
      </c>
      <c r="BY96" s="102" t="str">
        <f>IF(BY95="","",BX95)</f>
        <v xml:space="preserve"> </v>
      </c>
      <c r="BZ96" s="102" t="str">
        <f t="shared" si="17"/>
        <v xml:space="preserve"> </v>
      </c>
      <c r="CA96" s="128"/>
      <c r="CB96" s="63" t="str">
        <f t="shared" si="18"/>
        <v>св</v>
      </c>
      <c r="CC96" s="128"/>
      <c r="CD96" s="159"/>
      <c r="CE96" s="264" t="str">
        <v/>
      </c>
      <c r="CF96" s="264">
        <v>0</v>
      </c>
      <c r="CG96" s="113" t="str">
        <f>IF(CG95="","",CF95)</f>
        <v xml:space="preserve"> </v>
      </c>
      <c r="CH96" s="128" t="str">
        <v xml:space="preserve"> </v>
      </c>
      <c r="CI96" s="115"/>
      <c r="CJ96" s="49" t="str">
        <v/>
      </c>
      <c r="CK96" s="153">
        <v>0</v>
      </c>
      <c r="CL96" s="113" t="str">
        <f>IF(CL95="","",CK95)</f>
        <v xml:space="preserve"> </v>
      </c>
      <c r="CM96" s="49" t="str">
        <v xml:space="preserve"> </v>
      </c>
      <c r="CN96" s="49"/>
      <c r="CO96" s="264" t="str">
        <v/>
      </c>
      <c r="CP96" s="264">
        <v>0</v>
      </c>
      <c r="CQ96" s="113" t="str">
        <f>IF(CQ95="","",CP95)</f>
        <v xml:space="preserve"> </v>
      </c>
      <c r="CR96" s="49" t="str">
        <v xml:space="preserve"> </v>
      </c>
      <c r="CS96" s="152"/>
      <c r="CT96" s="264" t="str">
        <v/>
      </c>
      <c r="CU96" s="264">
        <v>0</v>
      </c>
      <c r="CV96" s="113" t="str">
        <f>IF(CV95="","",CU95)</f>
        <v xml:space="preserve"> </v>
      </c>
      <c r="CW96" s="49" t="str">
        <v xml:space="preserve"> </v>
      </c>
      <c r="CX96" s="49"/>
      <c r="CY96" s="49" t="str">
        <v/>
      </c>
      <c r="CZ96" s="49">
        <v>0</v>
      </c>
      <c r="DA96" s="113" t="str">
        <f>IF(DA95="","",CZ95)</f>
        <v xml:space="preserve"> </v>
      </c>
      <c r="DB96" s="49" t="str">
        <v xml:space="preserve"> </v>
      </c>
      <c r="DC96" s="49"/>
      <c r="DD96" s="49" t="str">
        <v/>
      </c>
      <c r="DE96" s="49"/>
      <c r="DF96" s="49"/>
      <c r="DG96" s="49"/>
      <c r="DH96" s="49"/>
    </row>
    <row r="97" spans="1:112" ht="13.5" hidden="1" customHeight="1">
      <c r="A97" s="54"/>
      <c r="B97" s="268">
        <v>46</v>
      </c>
      <c r="C97" s="270" t="e">
        <f>(VLOOKUP($B97,Пр.взв!$D$6:$J$63,2,0))</f>
        <v>#N/A</v>
      </c>
      <c r="D97" s="271" t="e">
        <f>(VLOOKUP($B97,Пр.взв!$D$6:$J$63,5,0))</f>
        <v>#N/A</v>
      </c>
      <c r="E97" s="272" t="e">
        <f>(VLOOKUP($B97,Пр.взв!$D$6:$M$63,8,0))</f>
        <v>#N/A</v>
      </c>
      <c r="F97" s="273"/>
      <c r="G97" s="87"/>
      <c r="H97" s="266"/>
      <c r="I97" s="89"/>
      <c r="J97" s="266" t="str">
        <f>IF(H97="Х","Х",IF($AC97&lt;6," ","Х"))</f>
        <v xml:space="preserve"> </v>
      </c>
      <c r="K97" s="87"/>
      <c r="L97" s="266" t="str">
        <f>IF(J97="Х","Х",IF(K97&lt;3," ",IF($AC97&lt;6," ","Х")))</f>
        <v xml:space="preserve"> </v>
      </c>
      <c r="M97" s="87"/>
      <c r="N97" s="266" t="str">
        <f>IF(L97="Х","Х",IF(M97&lt;3," ",IF($AC97&lt;6," ","Х")))</f>
        <v xml:space="preserve"> </v>
      </c>
      <c r="O97" s="87"/>
      <c r="P97" s="266" t="str">
        <f>IF(N97="Х","Х",IF(O97&lt;3," ",IF($AC97&lt;6," ","Х")))</f>
        <v xml:space="preserve"> </v>
      </c>
      <c r="Q97" s="87"/>
      <c r="R97" s="266" t="str">
        <f>IF(P97="Х","Х",IF(Q97&lt;3," ",IF($AC97&lt;6," ","Х")))</f>
        <v xml:space="preserve"> </v>
      </c>
      <c r="S97" s="87"/>
      <c r="T97" s="266" t="str">
        <f>IF(R97="Х","Х",IF(S97&lt;3," ",IF($AC97&lt;6," ","Х")))</f>
        <v xml:space="preserve"> </v>
      </c>
      <c r="U97" s="88"/>
      <c r="V97" s="266" t="str">
        <f>IF(T97="Х","Х",IF(U97&lt;3," ",IF($AC97&lt;6," ","Х")))</f>
        <v xml:space="preserve"> </v>
      </c>
      <c r="W97" s="88"/>
      <c r="X97" s="266" t="str">
        <f>IF(V97="А1",$AZ$7,IF(V97="Б2",$AZ$6,IF(V97="Б1",$BA$7,IF(V97="А2",$BA$6,IF(V97="Х","Х",IF(V97&lt;6," "," "))))))</f>
        <v xml:space="preserve"> </v>
      </c>
      <c r="Y97" s="89"/>
      <c r="Z97" s="266" t="str">
        <f>IF(V97="Х","Х",IF(ISBLANK(Y97),"",IF(Y97&gt;2.5," ",IF(B97=BB$6,BB$7,BB$6))))</f>
        <v/>
      </c>
      <c r="AA97" s="89"/>
      <c r="AB97" s="290" t="str">
        <f>IF(H97="Х",F$5,IF(J97="Х",H$5,IF(L97="Х",J$5,IF(N97="Х",L$5,IF(P97="Х",N$5,IF(R97="Х",P$5,IF(T97="Х",R$5,IF(X97="Х",T$5,""))))))))</f>
        <v/>
      </c>
      <c r="AC97" s="276">
        <f>SUM(G97+I97+K97+M97+O97+Q97+S97+U97+Y97+AA97)</f>
        <v>0</v>
      </c>
      <c r="AD97" s="291" t="str">
        <f>AF97</f>
        <v>27-71</v>
      </c>
      <c r="AE97" s="278" t="str">
        <f>AD97</f>
        <v>27-71</v>
      </c>
      <c r="AF97" s="280" t="str">
        <f>COUNTIF(AG$6:AG$148,"&gt;"&amp;AG$6:AG$148)+1&amp;REPT("-"&amp;COUNTIF(AG$6:AG$148,"&gt;="&amp;AG$6:AG$148),COUNTIF(AG$6:AG$148,AG97)&gt;1)</f>
        <v>27-71</v>
      </c>
      <c r="AG97" s="282">
        <f>(AR97*100)+(AP97*10)-AC97</f>
        <v>80</v>
      </c>
      <c r="AH97" s="288" t="str">
        <f>IF(OR(F97="Х",F97="св")," ",IF(AND(G97&gt;=0,G97&lt;3),"1"," "))</f>
        <v>1</v>
      </c>
      <c r="AI97" s="289" t="str">
        <f>IF(OR(H97="Х",H97="св")," ",IF(AND(I97&gt;=0,I97&lt;3),"1"," "))</f>
        <v>1</v>
      </c>
      <c r="AJ97" s="289" t="str">
        <f>IF(OR(J97="Х",J97="св")," ",IF(AND(K97&gt;=0,K97&lt;3),"1"," "))</f>
        <v>1</v>
      </c>
      <c r="AK97" s="289" t="str">
        <f>IF(OR(L97="Х",L97="св")," ",IF(AND(M97&gt;=0,M97&lt;3),"1"," "))</f>
        <v>1</v>
      </c>
      <c r="AL97" s="289" t="str">
        <f>IF(OR(N97="Х",N97="св")," ",IF(AND(O97&gt;=0,O97&lt;3),"1"," "))</f>
        <v>1</v>
      </c>
      <c r="AM97" s="289" t="str">
        <f>IF(OR(P97="Х",P97="св")," ",IF(AND(Q97&gt;=0,Q97&lt;3),"1"," "))</f>
        <v>1</v>
      </c>
      <c r="AN97" s="289" t="str">
        <f>IF(OR(R97="Х",R97="св")," ",IF(AND(S97&gt;=0,S97&lt;3),"1"," "))</f>
        <v>1</v>
      </c>
      <c r="AO97" s="289" t="str">
        <f>IF(OR(T97="Х",T97="св")," ",IF(AND(U97&gt;=0,U97&lt;3),"1"," "))</f>
        <v>1</v>
      </c>
      <c r="AP97" s="289">
        <f>COUNTIF(AH97:AO98,1)</f>
        <v>8</v>
      </c>
      <c r="AQ97" s="289">
        <f>AG97-AC97</f>
        <v>80</v>
      </c>
      <c r="AR97" s="292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289" t="str">
        <f>COUNTIF(AG$6:AG$134,"&gt;"&amp;AG$6:AG$134)+1&amp;REPT("-"&amp;COUNTIF(AG$6:AG$134,"&gt;="&amp;AG$6:AG$134),COUNTIF(AG$6:AG$134,AG97)&gt;1)</f>
        <v>27-64</v>
      </c>
      <c r="AT97" s="288" t="str">
        <f t="shared" ref="AT97:AW97" si="50">COUNTIF(AU$6:AU$134,"&gt;"&amp;AU$6:AU$134)+1&amp;REPT("-"&amp;COUNTIF(AU$6:AU$134,"&gt;="&amp;AU$6:AU$134),COUNTIF(AU$6:AU$134,AU97)&gt;1)</f>
        <v>1-64</v>
      </c>
      <c r="AU97" s="288" t="str">
        <f t="shared" si="50"/>
        <v>1-0</v>
      </c>
      <c r="AV97" s="288" t="str">
        <f t="shared" si="50"/>
        <v>1</v>
      </c>
      <c r="AW97" s="288" t="str">
        <f t="shared" si="50"/>
        <v>19</v>
      </c>
      <c r="AX97" s="293">
        <f>IF(X97="Х","Х",IF(Y97&lt;3,B97,"Х"))</f>
        <v>46</v>
      </c>
      <c r="AY97" s="92">
        <f ca="1"/>
        <v>0</v>
      </c>
      <c r="AZ97" s="92"/>
      <c r="BA97" s="92">
        <f ca="1"/>
        <v>0</v>
      </c>
      <c r="BB97" s="92"/>
      <c r="BC97" s="49">
        <f ca="1"/>
        <v>0</v>
      </c>
      <c r="BD97" s="49">
        <f ca="1"/>
        <v>0</v>
      </c>
      <c r="BE97" s="49">
        <f ca="1"/>
        <v>0</v>
      </c>
      <c r="BF97" s="49">
        <f ca="1"/>
        <v>0</v>
      </c>
      <c r="BG97" s="49">
        <f ca="1"/>
        <v>0</v>
      </c>
      <c r="BH97" s="49">
        <f ca="1"/>
        <v>0</v>
      </c>
      <c r="BI97" s="49"/>
      <c r="BJ97" s="49"/>
      <c r="BK97" s="49"/>
      <c r="BL97" s="49"/>
      <c r="BM97" s="294">
        <v>46</v>
      </c>
      <c r="BN97" s="287">
        <v>0</v>
      </c>
      <c r="BO97" s="98" t="str">
        <f>IF(BM97&lt;BN97,BM97,"")</f>
        <v/>
      </c>
      <c r="BP97" s="124" t="str">
        <v/>
      </c>
      <c r="BQ97" s="125"/>
      <c r="BR97" s="295" t="str">
        <v/>
      </c>
      <c r="BS97" s="287">
        <v>0</v>
      </c>
      <c r="BT97" s="109" t="str">
        <f>IF(BR97&lt;BS97,BR97,"")</f>
        <v/>
      </c>
      <c r="BU97" s="124" t="str">
        <v/>
      </c>
      <c r="BV97" s="124"/>
      <c r="BW97" s="284">
        <v>46</v>
      </c>
      <c r="BX97" s="286" t="str">
        <v xml:space="preserve"> </v>
      </c>
      <c r="BY97" s="102">
        <f t="array" ref="BY97">IF(BW97&lt;BX97,BW97,"")</f>
        <v>46</v>
      </c>
      <c r="BZ97" s="102">
        <f t="shared" si="17"/>
        <v>46</v>
      </c>
      <c r="CA97" s="63"/>
      <c r="CB97" s="63" t="str">
        <f t="shared" si="18"/>
        <v>св</v>
      </c>
      <c r="CC97" s="128"/>
      <c r="CD97" s="159"/>
      <c r="CE97" s="286">
        <v>46</v>
      </c>
      <c r="CF97" s="296" t="str">
        <v xml:space="preserve"> </v>
      </c>
      <c r="CG97" s="98">
        <f t="array" ref="CG97">IF(CE97&lt;CF97,CE97,"")</f>
        <v>46</v>
      </c>
      <c r="CH97" s="63">
        <v>46</v>
      </c>
      <c r="CI97" s="115"/>
      <c r="CJ97" s="65">
        <v>46</v>
      </c>
      <c r="CK97" s="151" t="str">
        <v xml:space="preserve"> </v>
      </c>
      <c r="CL97" s="98">
        <f t="array" ref="CL97">IF(CJ97&lt;CK97,CJ97,"")</f>
        <v>46</v>
      </c>
      <c r="CM97" s="49">
        <v>46</v>
      </c>
      <c r="CN97" s="49"/>
      <c r="CO97" s="286">
        <v>46</v>
      </c>
      <c r="CP97" s="286" t="str">
        <v xml:space="preserve"> </v>
      </c>
      <c r="CQ97" s="98">
        <f t="array" ref="CQ97">IF(CO97&lt;CP97,CO97,"")</f>
        <v>46</v>
      </c>
      <c r="CR97" s="65">
        <v>46</v>
      </c>
      <c r="CS97" s="152"/>
      <c r="CT97" s="286">
        <v>46</v>
      </c>
      <c r="CU97" s="286" t="str">
        <v xml:space="preserve"> </v>
      </c>
      <c r="CV97" s="98">
        <f t="array" ref="CV97">IF(CT97&lt;CU97,CT97,"")</f>
        <v>46</v>
      </c>
      <c r="CW97" s="49">
        <v>46</v>
      </c>
      <c r="CX97" s="49"/>
      <c r="CY97" s="49">
        <v>46</v>
      </c>
      <c r="CZ97" s="49" t="str">
        <v xml:space="preserve"> </v>
      </c>
      <c r="DA97" s="98">
        <f t="array" ref="DA97">IF(CY97&lt;CZ97,CY97,"")</f>
        <v>46</v>
      </c>
      <c r="DB97" s="49">
        <v>46</v>
      </c>
      <c r="DC97" s="49"/>
      <c r="DD97" s="49">
        <v>46</v>
      </c>
      <c r="DE97" s="49"/>
      <c r="DF97" s="49"/>
      <c r="DG97" s="49"/>
      <c r="DH97" s="49"/>
    </row>
    <row r="98" spans="1:112" ht="13.5" hidden="1" customHeight="1">
      <c r="A98" s="54"/>
      <c r="B98" s="269"/>
      <c r="C98" s="269"/>
      <c r="D98" s="269"/>
      <c r="E98" s="269"/>
      <c r="F98" s="274"/>
      <c r="G98" s="106"/>
      <c r="H98" s="267"/>
      <c r="I98" s="106"/>
      <c r="J98" s="267"/>
      <c r="K98" s="106"/>
      <c r="L98" s="267"/>
      <c r="M98" s="106"/>
      <c r="N98" s="267"/>
      <c r="O98" s="106"/>
      <c r="P98" s="267"/>
      <c r="Q98" s="106"/>
      <c r="R98" s="267"/>
      <c r="S98" s="106"/>
      <c r="T98" s="267"/>
      <c r="U98" s="107"/>
      <c r="V98" s="267"/>
      <c r="W98" s="107"/>
      <c r="X98" s="267"/>
      <c r="Y98" s="106"/>
      <c r="Z98" s="267"/>
      <c r="AA98" s="106"/>
      <c r="AB98" s="274"/>
      <c r="AC98" s="269"/>
      <c r="AD98" s="267"/>
      <c r="AE98" s="279"/>
      <c r="AF98" s="281"/>
      <c r="AG98" s="283"/>
      <c r="AH98" s="283"/>
      <c r="AI98" s="283"/>
      <c r="AJ98" s="283"/>
      <c r="AK98" s="283"/>
      <c r="AL98" s="283"/>
      <c r="AM98" s="283"/>
      <c r="AN98" s="283"/>
      <c r="AO98" s="283"/>
      <c r="AP98" s="283"/>
      <c r="AQ98" s="283"/>
      <c r="AR98" s="283"/>
      <c r="AS98" s="283"/>
      <c r="AT98" s="283"/>
      <c r="AU98" s="283"/>
      <c r="AV98" s="283"/>
      <c r="AW98" s="283"/>
      <c r="AX98" s="264"/>
      <c r="AY98" s="49">
        <f ca="1"/>
        <v>0</v>
      </c>
      <c r="AZ98" s="49"/>
      <c r="BA98" s="49">
        <f ca="1"/>
        <v>0</v>
      </c>
      <c r="BB98" s="49"/>
      <c r="BC98" s="49">
        <f ca="1"/>
        <v>0</v>
      </c>
      <c r="BD98" s="49">
        <f ca="1"/>
        <v>0</v>
      </c>
      <c r="BE98" s="49">
        <f ca="1"/>
        <v>0</v>
      </c>
      <c r="BF98" s="49">
        <f ca="1"/>
        <v>0</v>
      </c>
      <c r="BG98" s="49">
        <f ca="1"/>
        <v>0</v>
      </c>
      <c r="BH98" s="49">
        <f ca="1"/>
        <v>0</v>
      </c>
      <c r="BI98" s="49"/>
      <c r="BJ98" s="49"/>
      <c r="BK98" s="49"/>
      <c r="BL98" s="49"/>
      <c r="BM98" s="285" t="str">
        <v/>
      </c>
      <c r="BN98" s="264">
        <v>0</v>
      </c>
      <c r="BO98" s="109" t="str">
        <f>IF(BO97="","",BN97)</f>
        <v/>
      </c>
      <c r="BP98" s="109" t="str">
        <v/>
      </c>
      <c r="BQ98" s="125"/>
      <c r="BR98" s="264" t="str">
        <v/>
      </c>
      <c r="BS98" s="264">
        <v>0</v>
      </c>
      <c r="BT98" s="109" t="str">
        <f>IF(BT97="","",BS97)</f>
        <v/>
      </c>
      <c r="BU98" s="109" t="str">
        <v/>
      </c>
      <c r="BV98" s="124"/>
      <c r="BW98" s="285" t="str">
        <v/>
      </c>
      <c r="BX98" s="264">
        <v>0</v>
      </c>
      <c r="BY98" s="102" t="str">
        <f>IF(BY97="","",BX97)</f>
        <v xml:space="preserve"> </v>
      </c>
      <c r="BZ98" s="102" t="str">
        <f t="shared" si="17"/>
        <v xml:space="preserve"> </v>
      </c>
      <c r="CA98" s="128"/>
      <c r="CB98" s="63" t="str">
        <f t="shared" si="18"/>
        <v>св</v>
      </c>
      <c r="CC98" s="128"/>
      <c r="CD98" s="159"/>
      <c r="CE98" s="264" t="str">
        <v/>
      </c>
      <c r="CF98" s="264">
        <v>0</v>
      </c>
      <c r="CG98" s="113" t="str">
        <f>IF(CG97="","",CF97)</f>
        <v xml:space="preserve"> </v>
      </c>
      <c r="CH98" s="128" t="str">
        <v xml:space="preserve"> </v>
      </c>
      <c r="CI98" s="115"/>
      <c r="CJ98" s="49" t="str">
        <v/>
      </c>
      <c r="CK98" s="153">
        <v>0</v>
      </c>
      <c r="CL98" s="113" t="str">
        <f>IF(CL97="","",CK97)</f>
        <v xml:space="preserve"> </v>
      </c>
      <c r="CM98" s="49" t="str">
        <v xml:space="preserve"> </v>
      </c>
      <c r="CN98" s="49"/>
      <c r="CO98" s="264" t="str">
        <v/>
      </c>
      <c r="CP98" s="264">
        <v>0</v>
      </c>
      <c r="CQ98" s="113" t="str">
        <f>IF(CQ97="","",CP97)</f>
        <v xml:space="preserve"> </v>
      </c>
      <c r="CR98" s="49" t="str">
        <v xml:space="preserve"> </v>
      </c>
      <c r="CS98" s="152"/>
      <c r="CT98" s="264" t="str">
        <v/>
      </c>
      <c r="CU98" s="264">
        <v>0</v>
      </c>
      <c r="CV98" s="113" t="str">
        <f>IF(CV97="","",CU97)</f>
        <v xml:space="preserve"> </v>
      </c>
      <c r="CW98" s="49" t="str">
        <v xml:space="preserve"> </v>
      </c>
      <c r="CX98" s="49"/>
      <c r="CY98" s="49" t="str">
        <v/>
      </c>
      <c r="CZ98" s="49">
        <v>0</v>
      </c>
      <c r="DA98" s="113" t="str">
        <f>IF(DA97="","",CZ97)</f>
        <v xml:space="preserve"> </v>
      </c>
      <c r="DB98" s="49" t="str">
        <v xml:space="preserve"> </v>
      </c>
      <c r="DC98" s="49"/>
      <c r="DD98" s="49" t="str">
        <v/>
      </c>
      <c r="DE98" s="49"/>
      <c r="DF98" s="49"/>
      <c r="DG98" s="49"/>
      <c r="DH98" s="49"/>
    </row>
    <row r="99" spans="1:112" ht="13.5" hidden="1" customHeight="1">
      <c r="A99" s="54"/>
      <c r="B99" s="268">
        <v>47</v>
      </c>
      <c r="C99" s="270" t="e">
        <f>(VLOOKUP($B99,Пр.взв!$D$6:$J$63,2,0))</f>
        <v>#N/A</v>
      </c>
      <c r="D99" s="271" t="e">
        <f>(VLOOKUP($B99,Пр.взв!$D$6:$J$63,5,0))</f>
        <v>#N/A</v>
      </c>
      <c r="E99" s="272" t="e">
        <f>(VLOOKUP($B99,Пр.взв!$D$6:$M$63,8,0))</f>
        <v>#N/A</v>
      </c>
      <c r="F99" s="273"/>
      <c r="G99" s="169"/>
      <c r="H99" s="266"/>
      <c r="I99" s="169"/>
      <c r="J99" s="266" t="str">
        <f>IF(H99="Х","Х",IF($AC99&lt;6," ","Х"))</f>
        <v xml:space="preserve"> </v>
      </c>
      <c r="K99" s="87"/>
      <c r="L99" s="266" t="str">
        <f>IF(J99="Х","Х",IF(K99&lt;3," ",IF($AC99&lt;6," ","Х")))</f>
        <v xml:space="preserve"> </v>
      </c>
      <c r="M99" s="87"/>
      <c r="N99" s="266" t="str">
        <f>IF(L99="Х","Х",IF(M99&lt;3," ",IF($AC99&lt;6," ","Х")))</f>
        <v xml:space="preserve"> </v>
      </c>
      <c r="O99" s="87"/>
      <c r="P99" s="266" t="str">
        <f>IF(N99="Х","Х",IF(O99&lt;3," ",IF($AC99&lt;6," ","Х")))</f>
        <v xml:space="preserve"> </v>
      </c>
      <c r="Q99" s="87"/>
      <c r="R99" s="266" t="str">
        <f>IF(P99="Х","Х",IF(Q99&lt;3," ",IF($AC99&lt;6," ","Х")))</f>
        <v xml:space="preserve"> </v>
      </c>
      <c r="S99" s="87"/>
      <c r="T99" s="266" t="str">
        <f>IF(R99="Х","Х",IF(S99&lt;3," ",IF($AC99&lt;6," ","Х")))</f>
        <v xml:space="preserve"> </v>
      </c>
      <c r="U99" s="88"/>
      <c r="V99" s="266" t="str">
        <f>IF(T99="Х","Х",IF(U99&lt;3," ",IF($AC99&lt;6," ","Х")))</f>
        <v xml:space="preserve"> </v>
      </c>
      <c r="W99" s="88"/>
      <c r="X99" s="266" t="str">
        <f>IF(V99="А1",$AZ$7,IF(V99="Б2",$AZ$6,IF(V99="Б1",$BA$7,IF(V99="А2",$BA$6,IF(V99="Х","Х",IF(V99&lt;6," "," "))))))</f>
        <v xml:space="preserve"> </v>
      </c>
      <c r="Y99" s="89"/>
      <c r="Z99" s="266" t="str">
        <f>IF(V99="Х","Х",IF(ISBLANK(Y99),"",IF(Y99&gt;2.5," ",IF(B99=BB$6,BB$7,BB$6))))</f>
        <v/>
      </c>
      <c r="AA99" s="89"/>
      <c r="AB99" s="290" t="str">
        <f>IF(H99="Х",F$5,IF(J99="Х",H$5,IF(L99="Х",J$5,IF(N99="Х",L$5,IF(P99="Х",N$5,IF(R99="Х",P$5,IF(T99="Х",R$5,IF(X99="Х",T$5,""))))))))</f>
        <v/>
      </c>
      <c r="AC99" s="276">
        <f>SUM(G99+I99+K99+M99+O99+Q99+S99+U99+Y99+AA99)</f>
        <v>0</v>
      </c>
      <c r="AD99" s="291" t="str">
        <f>AF99</f>
        <v>27-71</v>
      </c>
      <c r="AE99" s="278" t="str">
        <f>AD99</f>
        <v>27-71</v>
      </c>
      <c r="AF99" s="280" t="str">
        <f>COUNTIF(AG$6:AG$148,"&gt;"&amp;AG$6:AG$148)+1&amp;REPT("-"&amp;COUNTIF(AG$6:AG$148,"&gt;="&amp;AG$6:AG$148),COUNTIF(AG$6:AG$148,AG99)&gt;1)</f>
        <v>27-71</v>
      </c>
      <c r="AG99" s="282">
        <f>(AR99*100)+(AP99*10)-AC99</f>
        <v>80</v>
      </c>
      <c r="AH99" s="288" t="str">
        <f>IF(OR(F99="Х",F99="св")," ",IF(AND(G99&gt;=0,G99&lt;3),"1"," "))</f>
        <v>1</v>
      </c>
      <c r="AI99" s="289" t="str">
        <f>IF(OR(H99="Х",H99="св")," ",IF(AND(I99&gt;=0,I99&lt;3),"1"," "))</f>
        <v>1</v>
      </c>
      <c r="AJ99" s="289" t="str">
        <f>IF(OR(J99="Х",J99="св")," ",IF(AND(K99&gt;=0,K99&lt;3),"1"," "))</f>
        <v>1</v>
      </c>
      <c r="AK99" s="289" t="str">
        <f>IF(OR(L99="Х",L99="св")," ",IF(AND(M99&gt;=0,M99&lt;3),"1"," "))</f>
        <v>1</v>
      </c>
      <c r="AL99" s="289" t="str">
        <f>IF(OR(N99="Х",N99="св")," ",IF(AND(O99&gt;=0,O99&lt;3),"1"," "))</f>
        <v>1</v>
      </c>
      <c r="AM99" s="289" t="str">
        <f>IF(OR(P99="Х",P99="св")," ",IF(AND(Q99&gt;=0,Q99&lt;3),"1"," "))</f>
        <v>1</v>
      </c>
      <c r="AN99" s="289" t="str">
        <f>IF(OR(R99="Х",R99="св")," ",IF(AND(S99&gt;=0,S99&lt;3),"1"," "))</f>
        <v>1</v>
      </c>
      <c r="AO99" s="289" t="str">
        <f>IF(OR(T99="Х",T99="св")," ",IF(AND(U99&gt;=0,U99&lt;3),"1"," "))</f>
        <v>1</v>
      </c>
      <c r="AP99" s="289">
        <f>COUNTIF(AH99:AO100,1)</f>
        <v>8</v>
      </c>
      <c r="AQ99" s="289">
        <f>AG99-AC99</f>
        <v>80</v>
      </c>
      <c r="AR99" s="292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289" t="str">
        <f>COUNTIF(AG$6:AG$134,"&gt;"&amp;AG$6:AG$134)+1&amp;REPT("-"&amp;COUNTIF(AG$6:AG$134,"&gt;="&amp;AG$6:AG$134),COUNTIF(AG$6:AG$134,AG99)&gt;1)</f>
        <v>27-64</v>
      </c>
      <c r="AT99" s="288" t="str">
        <f t="shared" ref="AT99:AW99" si="51">COUNTIF(AU$6:AU$134,"&gt;"&amp;AU$6:AU$134)+1&amp;REPT("-"&amp;COUNTIF(AU$6:AU$134,"&gt;="&amp;AU$6:AU$134),COUNTIF(AU$6:AU$134,AU99)&gt;1)</f>
        <v>1-64</v>
      </c>
      <c r="AU99" s="288" t="str">
        <f t="shared" si="51"/>
        <v>1-0</v>
      </c>
      <c r="AV99" s="288" t="str">
        <f t="shared" si="51"/>
        <v>1</v>
      </c>
      <c r="AW99" s="288" t="str">
        <f t="shared" si="51"/>
        <v>18</v>
      </c>
      <c r="AX99" s="293">
        <f>IF(X99="Х","Х",IF(Y99&lt;3,B99,"Х"))</f>
        <v>47</v>
      </c>
      <c r="AY99" s="49">
        <f ca="1"/>
        <v>0</v>
      </c>
      <c r="AZ99" s="49"/>
      <c r="BA99" s="49">
        <f ca="1"/>
        <v>0</v>
      </c>
      <c r="BB99" s="49"/>
      <c r="BC99" s="49">
        <f ca="1"/>
        <v>0</v>
      </c>
      <c r="BD99" s="49">
        <f ca="1"/>
        <v>0</v>
      </c>
      <c r="BE99" s="49">
        <f ca="1"/>
        <v>0</v>
      </c>
      <c r="BF99" s="49">
        <f ca="1"/>
        <v>0</v>
      </c>
      <c r="BG99" s="49">
        <f ca="1"/>
        <v>0</v>
      </c>
      <c r="BH99" s="49">
        <f ca="1"/>
        <v>0</v>
      </c>
      <c r="BI99" s="49"/>
      <c r="BJ99" s="49"/>
      <c r="BK99" s="49"/>
      <c r="BL99" s="49"/>
      <c r="BM99" s="294">
        <v>47</v>
      </c>
      <c r="BN99" s="287">
        <v>0</v>
      </c>
      <c r="BO99" s="98" t="str">
        <f>IF(BM99&lt;BN99,BM99,"")</f>
        <v/>
      </c>
      <c r="BP99" s="124" t="str">
        <v/>
      </c>
      <c r="BQ99" s="125"/>
      <c r="BR99" s="295" t="str">
        <v/>
      </c>
      <c r="BS99" s="287">
        <v>0</v>
      </c>
      <c r="BT99" s="109" t="str">
        <f>IF(BR99&lt;BS99,BR99,"")</f>
        <v/>
      </c>
      <c r="BU99" s="124" t="str">
        <v/>
      </c>
      <c r="BV99" s="124"/>
      <c r="BW99" s="284">
        <v>47</v>
      </c>
      <c r="BX99" s="286" t="str">
        <v xml:space="preserve"> </v>
      </c>
      <c r="BY99" s="102">
        <f t="array" ref="BY99">IF(BW99&lt;BX99,BW99,"")</f>
        <v>47</v>
      </c>
      <c r="BZ99" s="102">
        <f t="shared" si="17"/>
        <v>47</v>
      </c>
      <c r="CA99" s="63"/>
      <c r="CB99" s="63" t="str">
        <f t="shared" si="18"/>
        <v>св</v>
      </c>
      <c r="CC99" s="128"/>
      <c r="CD99" s="159"/>
      <c r="CE99" s="286">
        <v>47</v>
      </c>
      <c r="CF99" s="296" t="str">
        <v xml:space="preserve"> </v>
      </c>
      <c r="CG99" s="98">
        <f t="array" ref="CG99">IF(CE99&lt;CF99,CE99,"")</f>
        <v>47</v>
      </c>
      <c r="CH99" s="63">
        <v>47</v>
      </c>
      <c r="CI99" s="115"/>
      <c r="CJ99" s="65">
        <v>47</v>
      </c>
      <c r="CK99" s="151" t="str">
        <v xml:space="preserve"> </v>
      </c>
      <c r="CL99" s="98">
        <f t="array" ref="CL99">IF(CJ99&lt;CK99,CJ99,"")</f>
        <v>47</v>
      </c>
      <c r="CM99" s="49">
        <v>47</v>
      </c>
      <c r="CN99" s="49"/>
      <c r="CO99" s="286">
        <v>47</v>
      </c>
      <c r="CP99" s="286" t="str">
        <v xml:space="preserve"> </v>
      </c>
      <c r="CQ99" s="98">
        <f t="array" ref="CQ99">IF(CO99&lt;CP99,CO99,"")</f>
        <v>47</v>
      </c>
      <c r="CR99" s="65">
        <v>47</v>
      </c>
      <c r="CS99" s="152"/>
      <c r="CT99" s="286">
        <v>47</v>
      </c>
      <c r="CU99" s="286" t="str">
        <v xml:space="preserve"> </v>
      </c>
      <c r="CV99" s="98">
        <f t="array" ref="CV99">IF(CT99&lt;CU99,CT99,"")</f>
        <v>47</v>
      </c>
      <c r="CW99" s="49">
        <v>47</v>
      </c>
      <c r="CX99" s="49"/>
      <c r="CY99" s="49">
        <v>47</v>
      </c>
      <c r="CZ99" s="49" t="str">
        <v xml:space="preserve"> </v>
      </c>
      <c r="DA99" s="98">
        <f t="array" ref="DA99">IF(CY99&lt;CZ99,CY99,"")</f>
        <v>47</v>
      </c>
      <c r="DB99" s="49">
        <v>47</v>
      </c>
      <c r="DC99" s="49"/>
      <c r="DD99" s="49">
        <v>47</v>
      </c>
      <c r="DE99" s="49"/>
      <c r="DF99" s="49"/>
      <c r="DG99" s="49"/>
      <c r="DH99" s="49"/>
    </row>
    <row r="100" spans="1:112" ht="13.5" hidden="1" customHeight="1">
      <c r="A100" s="54"/>
      <c r="B100" s="269"/>
      <c r="C100" s="269"/>
      <c r="D100" s="269"/>
      <c r="E100" s="269"/>
      <c r="F100" s="274"/>
      <c r="G100" s="106"/>
      <c r="H100" s="267"/>
      <c r="I100" s="106"/>
      <c r="J100" s="267"/>
      <c r="K100" s="106"/>
      <c r="L100" s="267"/>
      <c r="M100" s="106"/>
      <c r="N100" s="267"/>
      <c r="O100" s="106"/>
      <c r="P100" s="267"/>
      <c r="Q100" s="106"/>
      <c r="R100" s="267"/>
      <c r="S100" s="106"/>
      <c r="T100" s="267"/>
      <c r="U100" s="107"/>
      <c r="V100" s="267"/>
      <c r="W100" s="107"/>
      <c r="X100" s="267"/>
      <c r="Y100" s="106"/>
      <c r="Z100" s="267"/>
      <c r="AA100" s="106"/>
      <c r="AB100" s="274"/>
      <c r="AC100" s="269"/>
      <c r="AD100" s="267"/>
      <c r="AE100" s="279"/>
      <c r="AF100" s="281"/>
      <c r="AG100" s="283"/>
      <c r="AH100" s="283"/>
      <c r="AI100" s="283"/>
      <c r="AJ100" s="283"/>
      <c r="AK100" s="283"/>
      <c r="AL100" s="283"/>
      <c r="AM100" s="283"/>
      <c r="AN100" s="283"/>
      <c r="AO100" s="283"/>
      <c r="AP100" s="283"/>
      <c r="AQ100" s="283"/>
      <c r="AR100" s="283"/>
      <c r="AS100" s="283"/>
      <c r="AT100" s="283"/>
      <c r="AU100" s="283"/>
      <c r="AV100" s="283"/>
      <c r="AW100" s="283"/>
      <c r="AX100" s="264"/>
      <c r="AY100" s="49">
        <f ca="1"/>
        <v>0</v>
      </c>
      <c r="AZ100" s="49"/>
      <c r="BA100" s="49">
        <f ca="1"/>
        <v>0</v>
      </c>
      <c r="BB100" s="49"/>
      <c r="BC100" s="49">
        <f ca="1"/>
        <v>0</v>
      </c>
      <c r="BD100" s="49">
        <f ca="1"/>
        <v>0</v>
      </c>
      <c r="BE100" s="49">
        <f ca="1"/>
        <v>0</v>
      </c>
      <c r="BF100" s="49">
        <f ca="1"/>
        <v>0</v>
      </c>
      <c r="BG100" s="49">
        <f ca="1"/>
        <v>0</v>
      </c>
      <c r="BH100" s="49">
        <f ca="1"/>
        <v>0</v>
      </c>
      <c r="BI100" s="49"/>
      <c r="BJ100" s="49"/>
      <c r="BK100" s="49"/>
      <c r="BL100" s="49"/>
      <c r="BM100" s="285" t="str">
        <v/>
      </c>
      <c r="BN100" s="264">
        <v>0</v>
      </c>
      <c r="BO100" s="109" t="str">
        <f>IF(BO99="","",BN99)</f>
        <v/>
      </c>
      <c r="BP100" s="109" t="str">
        <v/>
      </c>
      <c r="BQ100" s="125"/>
      <c r="BR100" s="264" t="str">
        <v/>
      </c>
      <c r="BS100" s="264">
        <v>0</v>
      </c>
      <c r="BT100" s="109" t="str">
        <f>IF(BT99="","",BS99)</f>
        <v/>
      </c>
      <c r="BU100" s="109" t="str">
        <v/>
      </c>
      <c r="BV100" s="124"/>
      <c r="BW100" s="285" t="str">
        <v/>
      </c>
      <c r="BX100" s="264">
        <v>0</v>
      </c>
      <c r="BY100" s="102" t="str">
        <f>IF(BY99="","",BX99)</f>
        <v xml:space="preserve"> </v>
      </c>
      <c r="BZ100" s="102" t="str">
        <f t="shared" si="17"/>
        <v xml:space="preserve"> </v>
      </c>
      <c r="CA100" s="128"/>
      <c r="CB100" s="63" t="str">
        <f t="shared" si="18"/>
        <v>св</v>
      </c>
      <c r="CC100" s="128"/>
      <c r="CD100" s="159"/>
      <c r="CE100" s="264" t="str">
        <v/>
      </c>
      <c r="CF100" s="264">
        <v>0</v>
      </c>
      <c r="CG100" s="113" t="str">
        <f>IF(CG99="","",CF99)</f>
        <v xml:space="preserve"> </v>
      </c>
      <c r="CH100" s="128" t="str">
        <v xml:space="preserve"> </v>
      </c>
      <c r="CI100" s="115"/>
      <c r="CJ100" s="49" t="str">
        <v/>
      </c>
      <c r="CK100" s="153">
        <v>0</v>
      </c>
      <c r="CL100" s="113" t="str">
        <f>IF(CL99="","",CK99)</f>
        <v xml:space="preserve"> </v>
      </c>
      <c r="CM100" s="49" t="str">
        <v xml:space="preserve"> </v>
      </c>
      <c r="CN100" s="49"/>
      <c r="CO100" s="264" t="str">
        <v/>
      </c>
      <c r="CP100" s="264">
        <v>0</v>
      </c>
      <c r="CQ100" s="113" t="str">
        <f>IF(CQ99="","",CP99)</f>
        <v xml:space="preserve"> </v>
      </c>
      <c r="CR100" s="49" t="str">
        <v xml:space="preserve"> </v>
      </c>
      <c r="CS100" s="152"/>
      <c r="CT100" s="264" t="str">
        <v/>
      </c>
      <c r="CU100" s="264">
        <v>0</v>
      </c>
      <c r="CV100" s="113" t="str">
        <f>IF(CV99="","",CU99)</f>
        <v xml:space="preserve"> </v>
      </c>
      <c r="CW100" s="49" t="str">
        <v xml:space="preserve"> </v>
      </c>
      <c r="CX100" s="49"/>
      <c r="CY100" s="49" t="str">
        <v/>
      </c>
      <c r="CZ100" s="49">
        <v>0</v>
      </c>
      <c r="DA100" s="113" t="str">
        <f>IF(DA99="","",CZ99)</f>
        <v xml:space="preserve"> </v>
      </c>
      <c r="DB100" s="49" t="str">
        <v xml:space="preserve"> </v>
      </c>
      <c r="DC100" s="49"/>
      <c r="DD100" s="49" t="str">
        <v/>
      </c>
      <c r="DE100" s="49"/>
      <c r="DF100" s="49"/>
      <c r="DG100" s="49"/>
      <c r="DH100" s="49"/>
    </row>
    <row r="101" spans="1:112" ht="13.5" hidden="1" customHeight="1">
      <c r="A101" s="54"/>
      <c r="B101" s="268">
        <v>48</v>
      </c>
      <c r="C101" s="270" t="e">
        <f>(VLOOKUP($B101,Пр.взв!$D$6:$J$63,2,0))</f>
        <v>#N/A</v>
      </c>
      <c r="D101" s="271" t="e">
        <f>(VLOOKUP($B101,Пр.взв!$D$6:$J$63,5,0))</f>
        <v>#N/A</v>
      </c>
      <c r="E101" s="272" t="e">
        <f>(VLOOKUP($B101,Пр.взв!$D$6:$M$63,8,0))</f>
        <v>#N/A</v>
      </c>
      <c r="F101" s="273"/>
      <c r="G101" s="87"/>
      <c r="H101" s="266"/>
      <c r="I101" s="89"/>
      <c r="J101" s="266" t="str">
        <f>IF(H101="Х","Х",IF($AC101&lt;6," ","Х"))</f>
        <v xml:space="preserve"> </v>
      </c>
      <c r="K101" s="87"/>
      <c r="L101" s="266" t="str">
        <f>IF(J101="Х","Х",IF(K101&lt;3," ",IF($AC101&lt;6," ","Х")))</f>
        <v xml:space="preserve"> </v>
      </c>
      <c r="M101" s="87"/>
      <c r="N101" s="266" t="str">
        <f>IF(L101="Х","Х",IF(M101&lt;3," ",IF($AC101&lt;6," ","Х")))</f>
        <v xml:space="preserve"> </v>
      </c>
      <c r="O101" s="87"/>
      <c r="P101" s="266" t="str">
        <f>IF(N101="Х","Х",IF(O101&lt;3," ",IF($AC101&lt;6," ","Х")))</f>
        <v xml:space="preserve"> </v>
      </c>
      <c r="Q101" s="87"/>
      <c r="R101" s="266" t="str">
        <f>IF(P101="Х","Х",IF(Q101&lt;3," ",IF($AC101&lt;6," ","Х")))</f>
        <v xml:space="preserve"> </v>
      </c>
      <c r="S101" s="87"/>
      <c r="T101" s="266" t="str">
        <f>IF(R101="Х","Х",IF(S101&lt;3," ",IF($AC101&lt;6," ","Х")))</f>
        <v xml:space="preserve"> </v>
      </c>
      <c r="U101" s="88"/>
      <c r="V101" s="266" t="str">
        <f>IF(T101="Х","Х",IF(U101&lt;3," ",IF($AC101&lt;6," ","Х")))</f>
        <v xml:space="preserve"> </v>
      </c>
      <c r="W101" s="88"/>
      <c r="X101" s="266" t="str">
        <f>IF(V101="А1",$AZ$7,IF(V101="Б2",$AZ$6,IF(V101="Б1",$BA$7,IF(V101="А2",$BA$6,IF(V101="Х","Х",IF(V101&lt;6," "," "))))))</f>
        <v xml:space="preserve"> </v>
      </c>
      <c r="Y101" s="89"/>
      <c r="Z101" s="266" t="str">
        <f>IF(V101="Х","Х",IF(ISBLANK(Y101),"",IF(Y101&gt;2.5," ",IF(B101=BB$6,BB$7,BB$6))))</f>
        <v/>
      </c>
      <c r="AA101" s="89"/>
      <c r="AB101" s="290" t="str">
        <f>IF(H101="Х",F$5,IF(J101="Х",H$5,IF(L101="Х",J$5,IF(N101="Х",L$5,IF(P101="Х",N$5,IF(R101="Х",P$5,IF(T101="Х",R$5,IF(X101="Х",T$5,""))))))))</f>
        <v/>
      </c>
      <c r="AC101" s="276">
        <f>SUM(G101+I101+K101+M101+O101+Q101+S101+U101+Y101+AA101)</f>
        <v>0</v>
      </c>
      <c r="AD101" s="291" t="str">
        <f>AF101</f>
        <v>27-71</v>
      </c>
      <c r="AE101" s="278" t="str">
        <f>AD101</f>
        <v>27-71</v>
      </c>
      <c r="AF101" s="280" t="str">
        <f>COUNTIF(AG$6:AG$148,"&gt;"&amp;AG$6:AG$148)+1&amp;REPT("-"&amp;COUNTIF(AG$6:AG$148,"&gt;="&amp;AG$6:AG$148),COUNTIF(AG$6:AG$148,AG101)&gt;1)</f>
        <v>27-71</v>
      </c>
      <c r="AG101" s="282">
        <f>(AR101*100)+(AP101*10)-AC101</f>
        <v>80</v>
      </c>
      <c r="AH101" s="288" t="str">
        <f>IF(OR(F101="Х",F101="св")," ",IF(AND(G101&gt;=0,G101&lt;3),"1"," "))</f>
        <v>1</v>
      </c>
      <c r="AI101" s="289" t="str">
        <f>IF(OR(H101="Х",H101="св")," ",IF(AND(I101&gt;=0,I101&lt;3),"1"," "))</f>
        <v>1</v>
      </c>
      <c r="AJ101" s="289" t="str">
        <f>IF(OR(J101="Х",J101="св")," ",IF(AND(K101&gt;=0,K101&lt;3),"1"," "))</f>
        <v>1</v>
      </c>
      <c r="AK101" s="289" t="str">
        <f>IF(OR(L101="Х",L101="св")," ",IF(AND(M101&gt;=0,M101&lt;3),"1"," "))</f>
        <v>1</v>
      </c>
      <c r="AL101" s="289" t="str">
        <f>IF(OR(N101="Х",N101="св")," ",IF(AND(O101&gt;=0,O101&lt;3),"1"," "))</f>
        <v>1</v>
      </c>
      <c r="AM101" s="289" t="str">
        <f>IF(OR(P101="Х",P101="св")," ",IF(AND(Q101&gt;=0,Q101&lt;3),"1"," "))</f>
        <v>1</v>
      </c>
      <c r="AN101" s="289" t="str">
        <f>IF(OR(R101="Х",R101="св")," ",IF(AND(S101&gt;=0,S101&lt;3),"1"," "))</f>
        <v>1</v>
      </c>
      <c r="AO101" s="289" t="str">
        <f>IF(OR(T101="Х",T101="св")," ",IF(AND(U101&gt;=0,U101&lt;3),"1"," "))</f>
        <v>1</v>
      </c>
      <c r="AP101" s="289">
        <f>COUNTIF(AH101:AO102,1)</f>
        <v>8</v>
      </c>
      <c r="AQ101" s="289">
        <f>AG101-AC101</f>
        <v>80</v>
      </c>
      <c r="AR101" s="292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289" t="str">
        <f>COUNTIF(AG$6:AG$134,"&gt;"&amp;AG$6:AG$134)+1&amp;REPT("-"&amp;COUNTIF(AG$6:AG$134,"&gt;="&amp;AG$6:AG$134),COUNTIF(AG$6:AG$134,AG101)&gt;1)</f>
        <v>27-64</v>
      </c>
      <c r="AT101" s="288" t="str">
        <f t="shared" ref="AT101:AW101" si="52">COUNTIF(AU$6:AU$134,"&gt;"&amp;AU$6:AU$134)+1&amp;REPT("-"&amp;COUNTIF(AU$6:AU$134,"&gt;="&amp;AU$6:AU$134),COUNTIF(AU$6:AU$134,AU101)&gt;1)</f>
        <v>1-64</v>
      </c>
      <c r="AU101" s="288" t="str">
        <f t="shared" si="52"/>
        <v>1-0</v>
      </c>
      <c r="AV101" s="288" t="str">
        <f t="shared" si="52"/>
        <v>1</v>
      </c>
      <c r="AW101" s="288" t="str">
        <f t="shared" si="52"/>
        <v>17</v>
      </c>
      <c r="AX101" s="293">
        <f>IF(X101="Х","Х",IF(Y101&lt;3,B101,"Х"))</f>
        <v>48</v>
      </c>
      <c r="AY101" s="49">
        <f ca="1"/>
        <v>0</v>
      </c>
      <c r="AZ101" s="49"/>
      <c r="BA101" s="49">
        <f ca="1"/>
        <v>0</v>
      </c>
      <c r="BB101" s="49"/>
      <c r="BC101" s="49">
        <f ca="1"/>
        <v>0</v>
      </c>
      <c r="BD101" s="49">
        <f ca="1"/>
        <v>0</v>
      </c>
      <c r="BE101" s="49">
        <f ca="1"/>
        <v>0</v>
      </c>
      <c r="BF101" s="49">
        <f ca="1"/>
        <v>0</v>
      </c>
      <c r="BG101" s="49">
        <f ca="1"/>
        <v>0</v>
      </c>
      <c r="BH101" s="49">
        <f ca="1"/>
        <v>0</v>
      </c>
      <c r="BI101" s="49"/>
      <c r="BJ101" s="49"/>
      <c r="BK101" s="49"/>
      <c r="BL101" s="49"/>
      <c r="BM101" s="294">
        <v>48</v>
      </c>
      <c r="BN101" s="287">
        <v>0</v>
      </c>
      <c r="BO101" s="98" t="str">
        <f>IF(BM101&lt;BN101,BM101,"")</f>
        <v/>
      </c>
      <c r="BP101" s="124" t="str">
        <v/>
      </c>
      <c r="BQ101" s="125"/>
      <c r="BR101" s="295" t="str">
        <v/>
      </c>
      <c r="BS101" s="287">
        <v>0</v>
      </c>
      <c r="BT101" s="109" t="str">
        <f>IF(BR101&lt;BS101,BR101,"")</f>
        <v/>
      </c>
      <c r="BU101" s="124" t="str">
        <v/>
      </c>
      <c r="BV101" s="124"/>
      <c r="BW101" s="284">
        <v>48</v>
      </c>
      <c r="BX101" s="286" t="str">
        <v xml:space="preserve"> </v>
      </c>
      <c r="BY101" s="102">
        <f t="array" ref="BY101">IF(BW101&lt;BX101,BW101,"")</f>
        <v>48</v>
      </c>
      <c r="BZ101" s="102">
        <f t="shared" si="17"/>
        <v>48</v>
      </c>
      <c r="CA101" s="63"/>
      <c r="CB101" s="63" t="str">
        <f t="shared" si="18"/>
        <v>св</v>
      </c>
      <c r="CC101" s="128"/>
      <c r="CD101" s="159"/>
      <c r="CE101" s="286">
        <v>48</v>
      </c>
      <c r="CF101" s="296" t="str">
        <v xml:space="preserve"> </v>
      </c>
      <c r="CG101" s="98">
        <f t="array" ref="CG101">IF(CE101&lt;CF101,CE101,"")</f>
        <v>48</v>
      </c>
      <c r="CH101" s="63">
        <v>48</v>
      </c>
      <c r="CI101" s="115"/>
      <c r="CJ101" s="65">
        <v>48</v>
      </c>
      <c r="CK101" s="151" t="str">
        <v xml:space="preserve"> </v>
      </c>
      <c r="CL101" s="98">
        <f t="array" ref="CL101">IF(CJ101&lt;CK101,CJ101,"")</f>
        <v>48</v>
      </c>
      <c r="CM101" s="49">
        <v>48</v>
      </c>
      <c r="CN101" s="49"/>
      <c r="CO101" s="286">
        <v>48</v>
      </c>
      <c r="CP101" s="286" t="str">
        <v xml:space="preserve"> </v>
      </c>
      <c r="CQ101" s="98">
        <f t="array" ref="CQ101">IF(CO101&lt;CP101,CO101,"")</f>
        <v>48</v>
      </c>
      <c r="CR101" s="65">
        <v>48</v>
      </c>
      <c r="CS101" s="152"/>
      <c r="CT101" s="286">
        <v>48</v>
      </c>
      <c r="CU101" s="286" t="str">
        <v xml:space="preserve"> </v>
      </c>
      <c r="CV101" s="98">
        <f t="array" ref="CV101">IF(CT101&lt;CU101,CT101,"")</f>
        <v>48</v>
      </c>
      <c r="CW101" s="49">
        <v>48</v>
      </c>
      <c r="CX101" s="49"/>
      <c r="CY101" s="49">
        <v>48</v>
      </c>
      <c r="CZ101" s="49" t="str">
        <v xml:space="preserve"> </v>
      </c>
      <c r="DA101" s="98">
        <f t="array" ref="DA101">IF(CY101&lt;CZ101,CY101,"")</f>
        <v>48</v>
      </c>
      <c r="DB101" s="49">
        <v>48</v>
      </c>
      <c r="DC101" s="49"/>
      <c r="DD101" s="49">
        <v>48</v>
      </c>
      <c r="DE101" s="49"/>
      <c r="DF101" s="49"/>
      <c r="DG101" s="49"/>
      <c r="DH101" s="49"/>
    </row>
    <row r="102" spans="1:112" ht="13.5" hidden="1" customHeight="1">
      <c r="A102" s="54"/>
      <c r="B102" s="269"/>
      <c r="C102" s="269"/>
      <c r="D102" s="269"/>
      <c r="E102" s="269"/>
      <c r="F102" s="274"/>
      <c r="G102" s="106"/>
      <c r="H102" s="267"/>
      <c r="I102" s="106"/>
      <c r="J102" s="267"/>
      <c r="K102" s="106"/>
      <c r="L102" s="267"/>
      <c r="M102" s="106"/>
      <c r="N102" s="267"/>
      <c r="O102" s="106"/>
      <c r="P102" s="267"/>
      <c r="Q102" s="106"/>
      <c r="R102" s="267"/>
      <c r="S102" s="106"/>
      <c r="T102" s="267"/>
      <c r="U102" s="107"/>
      <c r="V102" s="267"/>
      <c r="W102" s="107"/>
      <c r="X102" s="267"/>
      <c r="Y102" s="106"/>
      <c r="Z102" s="267"/>
      <c r="AA102" s="106"/>
      <c r="AB102" s="274"/>
      <c r="AC102" s="269"/>
      <c r="AD102" s="267"/>
      <c r="AE102" s="279"/>
      <c r="AF102" s="281"/>
      <c r="AG102" s="283"/>
      <c r="AH102" s="283"/>
      <c r="AI102" s="283"/>
      <c r="AJ102" s="283"/>
      <c r="AK102" s="283"/>
      <c r="AL102" s="283"/>
      <c r="AM102" s="283"/>
      <c r="AN102" s="283"/>
      <c r="AO102" s="283"/>
      <c r="AP102" s="283"/>
      <c r="AQ102" s="283"/>
      <c r="AR102" s="283"/>
      <c r="AS102" s="283"/>
      <c r="AT102" s="283"/>
      <c r="AU102" s="283"/>
      <c r="AV102" s="283"/>
      <c r="AW102" s="283"/>
      <c r="AX102" s="264"/>
      <c r="AY102" s="49">
        <f ca="1"/>
        <v>0</v>
      </c>
      <c r="AZ102" s="49"/>
      <c r="BA102" s="49">
        <f ca="1"/>
        <v>0</v>
      </c>
      <c r="BB102" s="49"/>
      <c r="BC102" s="49">
        <f ca="1"/>
        <v>0</v>
      </c>
      <c r="BD102" s="49">
        <f ca="1"/>
        <v>0</v>
      </c>
      <c r="BE102" s="49">
        <f ca="1"/>
        <v>0</v>
      </c>
      <c r="BF102" s="49">
        <f ca="1"/>
        <v>0</v>
      </c>
      <c r="BG102" s="49">
        <f ca="1"/>
        <v>0</v>
      </c>
      <c r="BH102" s="49">
        <f ca="1"/>
        <v>0</v>
      </c>
      <c r="BI102" s="49"/>
      <c r="BJ102" s="49"/>
      <c r="BK102" s="49"/>
      <c r="BL102" s="49"/>
      <c r="BM102" s="285" t="str">
        <v/>
      </c>
      <c r="BN102" s="264">
        <v>0</v>
      </c>
      <c r="BO102" s="109" t="str">
        <f>IF(BO101="","",BN101)</f>
        <v/>
      </c>
      <c r="BP102" s="109" t="str">
        <v/>
      </c>
      <c r="BQ102" s="125"/>
      <c r="BR102" s="264" t="str">
        <v/>
      </c>
      <c r="BS102" s="264">
        <v>0</v>
      </c>
      <c r="BT102" s="109" t="str">
        <f>IF(BT101="","",BS101)</f>
        <v/>
      </c>
      <c r="BU102" s="109" t="str">
        <v/>
      </c>
      <c r="BV102" s="124"/>
      <c r="BW102" s="285" t="str">
        <v/>
      </c>
      <c r="BX102" s="264">
        <v>0</v>
      </c>
      <c r="BY102" s="102" t="str">
        <f>IF(BY101="","",BX101)</f>
        <v xml:space="preserve"> </v>
      </c>
      <c r="BZ102" s="102" t="str">
        <f t="shared" si="17"/>
        <v xml:space="preserve"> </v>
      </c>
      <c r="CA102" s="128"/>
      <c r="CB102" s="63" t="str">
        <f t="shared" si="18"/>
        <v>св</v>
      </c>
      <c r="CC102" s="128"/>
      <c r="CD102" s="159"/>
      <c r="CE102" s="264" t="str">
        <v/>
      </c>
      <c r="CF102" s="264">
        <v>0</v>
      </c>
      <c r="CG102" s="113" t="str">
        <f>IF(CG101="","",CF101)</f>
        <v xml:space="preserve"> </v>
      </c>
      <c r="CH102" s="128" t="str">
        <v xml:space="preserve"> </v>
      </c>
      <c r="CI102" s="115"/>
      <c r="CJ102" s="49" t="str">
        <v/>
      </c>
      <c r="CK102" s="153">
        <v>0</v>
      </c>
      <c r="CL102" s="113" t="str">
        <f>IF(CL101="","",CK101)</f>
        <v xml:space="preserve"> </v>
      </c>
      <c r="CM102" s="49" t="str">
        <v xml:space="preserve"> </v>
      </c>
      <c r="CN102" s="49"/>
      <c r="CO102" s="264" t="str">
        <v/>
      </c>
      <c r="CP102" s="264">
        <v>0</v>
      </c>
      <c r="CQ102" s="113" t="str">
        <f>IF(CQ101="","",CP101)</f>
        <v xml:space="preserve"> </v>
      </c>
      <c r="CR102" s="49" t="str">
        <v xml:space="preserve"> </v>
      </c>
      <c r="CS102" s="152"/>
      <c r="CT102" s="264" t="str">
        <v/>
      </c>
      <c r="CU102" s="264">
        <v>0</v>
      </c>
      <c r="CV102" s="113" t="str">
        <f>IF(CV101="","",CU101)</f>
        <v xml:space="preserve"> </v>
      </c>
      <c r="CW102" s="49" t="str">
        <v xml:space="preserve"> </v>
      </c>
      <c r="CX102" s="49"/>
      <c r="CY102" s="49" t="str">
        <v/>
      </c>
      <c r="CZ102" s="49">
        <v>0</v>
      </c>
      <c r="DA102" s="113" t="str">
        <f>IF(DA101="","",CZ101)</f>
        <v xml:space="preserve"> </v>
      </c>
      <c r="DB102" s="49" t="str">
        <v xml:space="preserve"> </v>
      </c>
      <c r="DC102" s="49"/>
      <c r="DD102" s="49" t="str">
        <v/>
      </c>
      <c r="DE102" s="49"/>
      <c r="DF102" s="49"/>
      <c r="DG102" s="49"/>
      <c r="DH102" s="49"/>
    </row>
    <row r="103" spans="1:112" ht="13.5" hidden="1" customHeight="1">
      <c r="A103" s="54"/>
      <c r="B103" s="268">
        <v>49</v>
      </c>
      <c r="C103" s="270" t="e">
        <f>(VLOOKUP($B103,Пр.взв!$D$6:$J$63,2,0))</f>
        <v>#N/A</v>
      </c>
      <c r="D103" s="271" t="e">
        <f>(VLOOKUP($B103,Пр.взв!$D$6:$J$63,5,0))</f>
        <v>#N/A</v>
      </c>
      <c r="E103" s="272" t="e">
        <f>(VLOOKUP($B103,Пр.взв!$D$6:$M$63,8,0))</f>
        <v>#N/A</v>
      </c>
      <c r="F103" s="273"/>
      <c r="G103" s="169"/>
      <c r="H103" s="266"/>
      <c r="I103" s="169"/>
      <c r="J103" s="266" t="str">
        <f>IF(H103="Х","Х",IF($AC103&lt;6," ","Х"))</f>
        <v xml:space="preserve"> </v>
      </c>
      <c r="K103" s="87"/>
      <c r="L103" s="266" t="str">
        <f>IF(J103="Х","Х",IF(K103&lt;3," ",IF($AC103&lt;6," ","Х")))</f>
        <v xml:space="preserve"> </v>
      </c>
      <c r="M103" s="87"/>
      <c r="N103" s="266" t="str">
        <f>IF(L103="Х","Х",IF(M103&lt;3," ",IF($AC103&lt;6," ","Х")))</f>
        <v xml:space="preserve"> </v>
      </c>
      <c r="O103" s="87"/>
      <c r="P103" s="266" t="str">
        <f>IF(N103="Х","Х",IF(O103&lt;3," ",IF($AC103&lt;6," ","Х")))</f>
        <v xml:space="preserve"> </v>
      </c>
      <c r="Q103" s="87"/>
      <c r="R103" s="266" t="str">
        <f>IF(P103="Х","Х",IF(Q103&lt;3," ",IF($AC103&lt;6," ","Х")))</f>
        <v xml:space="preserve"> </v>
      </c>
      <c r="S103" s="87"/>
      <c r="T103" s="266" t="str">
        <f>IF(R103="Х","Х",IF(S103&lt;3," ",IF($AC103&lt;6," ","Х")))</f>
        <v xml:space="preserve"> </v>
      </c>
      <c r="U103" s="88"/>
      <c r="V103" s="266" t="str">
        <f>IF(T103="Х","Х",IF(U103&lt;3," ",IF($AC103&lt;6," ","Х")))</f>
        <v xml:space="preserve"> </v>
      </c>
      <c r="W103" s="88"/>
      <c r="X103" s="266" t="str">
        <f>IF(V103="А1",$AZ$7,IF(V103="Б2",$AZ$6,IF(V103="Б1",$BA$7,IF(V103="А2",$BA$6,IF(V103="Х","Х",IF(V103&lt;6," "," "))))))</f>
        <v xml:space="preserve"> </v>
      </c>
      <c r="Y103" s="89"/>
      <c r="Z103" s="266" t="str">
        <f>IF(V103="Х","Х",IF(ISBLANK(Y103),"",IF(Y103&gt;2.5," ",IF(B103=BB$6,BB$7,BB$6))))</f>
        <v/>
      </c>
      <c r="AA103" s="89"/>
      <c r="AB103" s="290" t="str">
        <f>IF(H103="Х",F$5,IF(J103="Х",H$5,IF(L103="Х",J$5,IF(N103="Х",L$5,IF(P103="Х",N$5,IF(R103="Х",P$5,IF(T103="Х",R$5,IF(X103="Х",T$5,""))))))))</f>
        <v/>
      </c>
      <c r="AC103" s="276">
        <f>SUM(G103+I103+K103+M103+O103+Q103+S103+U103+Y103+AA103)</f>
        <v>0</v>
      </c>
      <c r="AD103" s="291" t="str">
        <f>AF103</f>
        <v>27-71</v>
      </c>
      <c r="AE103" s="278" t="str">
        <f>AD103</f>
        <v>27-71</v>
      </c>
      <c r="AF103" s="280" t="str">
        <f>COUNTIF(AG$6:AG$148,"&gt;"&amp;AG$6:AG$148)+1&amp;REPT("-"&amp;COUNTIF(AG$6:AG$148,"&gt;="&amp;AG$6:AG$148),COUNTIF(AG$6:AG$148,AG103)&gt;1)</f>
        <v>27-71</v>
      </c>
      <c r="AG103" s="282">
        <f>(AR103*100)+(AP103*10)-AC103</f>
        <v>80</v>
      </c>
      <c r="AH103" s="288" t="str">
        <f>IF(OR(F103="Х",F103="св")," ",IF(AND(G103&gt;=0,G103&lt;3),"1"," "))</f>
        <v>1</v>
      </c>
      <c r="AI103" s="289" t="str">
        <f>IF(OR(H103="Х",H103="св")," ",IF(AND(I103&gt;=0,I103&lt;3),"1"," "))</f>
        <v>1</v>
      </c>
      <c r="AJ103" s="289" t="str">
        <f>IF(OR(J103="Х",J103="св")," ",IF(AND(K103&gt;=0,K103&lt;3),"1"," "))</f>
        <v>1</v>
      </c>
      <c r="AK103" s="289" t="str">
        <f>IF(OR(L103="Х",L103="св")," ",IF(AND(M103&gt;=0,M103&lt;3),"1"," "))</f>
        <v>1</v>
      </c>
      <c r="AL103" s="289" t="str">
        <f>IF(OR(N103="Х",N103="св")," ",IF(AND(O103&gt;=0,O103&lt;3),"1"," "))</f>
        <v>1</v>
      </c>
      <c r="AM103" s="289" t="str">
        <f>IF(OR(P103="Х",P103="св")," ",IF(AND(Q103&gt;=0,Q103&lt;3),"1"," "))</f>
        <v>1</v>
      </c>
      <c r="AN103" s="289" t="str">
        <f>IF(OR(R103="Х",R103="св")," ",IF(AND(S103&gt;=0,S103&lt;3),"1"," "))</f>
        <v>1</v>
      </c>
      <c r="AO103" s="289" t="str">
        <f>IF(OR(T103="Х",T103="св")," ",IF(AND(U103&gt;=0,U103&lt;3),"1"," "))</f>
        <v>1</v>
      </c>
      <c r="AP103" s="289">
        <f>COUNTIF(AH103:AO104,1)</f>
        <v>8</v>
      </c>
      <c r="AQ103" s="289">
        <f>AG103-AC103</f>
        <v>80</v>
      </c>
      <c r="AR103" s="292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289" t="str">
        <f>COUNTIF(AG$6:AG$134,"&gt;"&amp;AG$6:AG$134)+1&amp;REPT("-"&amp;COUNTIF(AG$6:AG$134,"&gt;="&amp;AG$6:AG$134),COUNTIF(AG$6:AG$134,AG103)&gt;1)</f>
        <v>27-64</v>
      </c>
      <c r="AT103" s="288" t="str">
        <f t="shared" ref="AT103:AW103" si="53">COUNTIF(AU$6:AU$134,"&gt;"&amp;AU$6:AU$134)+1&amp;REPT("-"&amp;COUNTIF(AU$6:AU$134,"&gt;="&amp;AU$6:AU$134),COUNTIF(AU$6:AU$134,AU103)&gt;1)</f>
        <v>1-64</v>
      </c>
      <c r="AU103" s="288" t="str">
        <f t="shared" si="53"/>
        <v>1-0</v>
      </c>
      <c r="AV103" s="288" t="str">
        <f t="shared" si="53"/>
        <v>1</v>
      </c>
      <c r="AW103" s="288" t="str">
        <f t="shared" si="53"/>
        <v>16</v>
      </c>
      <c r="AX103" s="293">
        <f>IF(X103="Х","Х",IF(Y103&lt;3,B103,"Х"))</f>
        <v>49</v>
      </c>
      <c r="AY103" s="49">
        <f ca="1"/>
        <v>0</v>
      </c>
      <c r="AZ103" s="49"/>
      <c r="BA103" s="49">
        <f ca="1"/>
        <v>0</v>
      </c>
      <c r="BB103" s="49"/>
      <c r="BC103" s="49">
        <f ca="1"/>
        <v>0</v>
      </c>
      <c r="BD103" s="49">
        <f ca="1"/>
        <v>0</v>
      </c>
      <c r="BE103" s="49">
        <f ca="1"/>
        <v>0</v>
      </c>
      <c r="BF103" s="49">
        <f ca="1"/>
        <v>0</v>
      </c>
      <c r="BG103" s="49">
        <f ca="1"/>
        <v>0</v>
      </c>
      <c r="BH103" s="49">
        <f ca="1"/>
        <v>0</v>
      </c>
      <c r="BI103" s="49"/>
      <c r="BJ103" s="49"/>
      <c r="BK103" s="49"/>
      <c r="BL103" s="49"/>
      <c r="BM103" s="294">
        <v>49</v>
      </c>
      <c r="BN103" s="287">
        <v>0</v>
      </c>
      <c r="BO103" s="98" t="str">
        <f>IF(BM103&lt;BN103,BM103,"")</f>
        <v/>
      </c>
      <c r="BP103" s="124" t="str">
        <v/>
      </c>
      <c r="BQ103" s="125"/>
      <c r="BR103" s="295" t="str">
        <v/>
      </c>
      <c r="BS103" s="287">
        <v>0</v>
      </c>
      <c r="BT103" s="109" t="str">
        <f>IF(BR103&lt;BS103,BR103,"")</f>
        <v/>
      </c>
      <c r="BU103" s="124" t="str">
        <v/>
      </c>
      <c r="BV103" s="124"/>
      <c r="BW103" s="284">
        <v>49</v>
      </c>
      <c r="BX103" s="286" t="str">
        <v xml:space="preserve"> </v>
      </c>
      <c r="BY103" s="102">
        <f t="array" ref="BY103">IF(BW103&lt;BX103,BW103,"")</f>
        <v>49</v>
      </c>
      <c r="BZ103" s="102">
        <f t="shared" si="17"/>
        <v>49</v>
      </c>
      <c r="CA103" s="63"/>
      <c r="CB103" s="63" t="str">
        <f t="shared" si="18"/>
        <v>св</v>
      </c>
      <c r="CC103" s="128"/>
      <c r="CD103" s="159"/>
      <c r="CE103" s="286">
        <v>49</v>
      </c>
      <c r="CF103" s="296" t="str">
        <v xml:space="preserve"> </v>
      </c>
      <c r="CG103" s="98">
        <f t="array" ref="CG103">IF(CE103&lt;CF103,CE103,"")</f>
        <v>49</v>
      </c>
      <c r="CH103" s="63">
        <v>49</v>
      </c>
      <c r="CI103" s="115"/>
      <c r="CJ103" s="65">
        <v>49</v>
      </c>
      <c r="CK103" s="151" t="str">
        <v xml:space="preserve"> </v>
      </c>
      <c r="CL103" s="98">
        <f t="array" ref="CL103">IF(CJ103&lt;CK103,CJ103,"")</f>
        <v>49</v>
      </c>
      <c r="CM103" s="49">
        <v>49</v>
      </c>
      <c r="CN103" s="49"/>
      <c r="CO103" s="286">
        <v>49</v>
      </c>
      <c r="CP103" s="286" t="str">
        <v xml:space="preserve"> </v>
      </c>
      <c r="CQ103" s="98">
        <f t="array" ref="CQ103">IF(CO103&lt;CP103,CO103,"")</f>
        <v>49</v>
      </c>
      <c r="CR103" s="65">
        <v>49</v>
      </c>
      <c r="CS103" s="152"/>
      <c r="CT103" s="286">
        <v>49</v>
      </c>
      <c r="CU103" s="286" t="str">
        <v xml:space="preserve"> </v>
      </c>
      <c r="CV103" s="98">
        <f t="array" ref="CV103">IF(CT103&lt;CU103,CT103,"")</f>
        <v>49</v>
      </c>
      <c r="CW103" s="49">
        <v>49</v>
      </c>
      <c r="CX103" s="49"/>
      <c r="CY103" s="49">
        <v>49</v>
      </c>
      <c r="CZ103" s="49" t="str">
        <v xml:space="preserve"> </v>
      </c>
      <c r="DA103" s="98">
        <f t="array" ref="DA103">IF(CY103&lt;CZ103,CY103,"")</f>
        <v>49</v>
      </c>
      <c r="DB103" s="49">
        <v>49</v>
      </c>
      <c r="DC103" s="49"/>
      <c r="DD103" s="49">
        <v>49</v>
      </c>
      <c r="DE103" s="49"/>
      <c r="DF103" s="49"/>
      <c r="DG103" s="49"/>
      <c r="DH103" s="49"/>
    </row>
    <row r="104" spans="1:112" ht="13.5" hidden="1" customHeight="1">
      <c r="A104" s="54"/>
      <c r="B104" s="269"/>
      <c r="C104" s="269"/>
      <c r="D104" s="269"/>
      <c r="E104" s="269"/>
      <c r="F104" s="274"/>
      <c r="G104" s="106"/>
      <c r="H104" s="267"/>
      <c r="I104" s="106"/>
      <c r="J104" s="267"/>
      <c r="K104" s="106"/>
      <c r="L104" s="267"/>
      <c r="M104" s="106"/>
      <c r="N104" s="267"/>
      <c r="O104" s="106"/>
      <c r="P104" s="267"/>
      <c r="Q104" s="106"/>
      <c r="R104" s="267"/>
      <c r="S104" s="106"/>
      <c r="T104" s="267"/>
      <c r="U104" s="107"/>
      <c r="V104" s="267"/>
      <c r="W104" s="107"/>
      <c r="X104" s="267"/>
      <c r="Y104" s="106"/>
      <c r="Z104" s="267"/>
      <c r="AA104" s="106"/>
      <c r="AB104" s="274"/>
      <c r="AC104" s="269"/>
      <c r="AD104" s="267"/>
      <c r="AE104" s="279"/>
      <c r="AF104" s="281"/>
      <c r="AG104" s="283"/>
      <c r="AH104" s="283"/>
      <c r="AI104" s="283"/>
      <c r="AJ104" s="283"/>
      <c r="AK104" s="283"/>
      <c r="AL104" s="283"/>
      <c r="AM104" s="283"/>
      <c r="AN104" s="283"/>
      <c r="AO104" s="283"/>
      <c r="AP104" s="283"/>
      <c r="AQ104" s="283"/>
      <c r="AR104" s="283"/>
      <c r="AS104" s="283"/>
      <c r="AT104" s="283"/>
      <c r="AU104" s="283"/>
      <c r="AV104" s="283"/>
      <c r="AW104" s="283"/>
      <c r="AX104" s="264"/>
      <c r="AY104" s="49">
        <f ca="1"/>
        <v>0</v>
      </c>
      <c r="AZ104" s="49"/>
      <c r="BA104" s="49">
        <f ca="1"/>
        <v>0</v>
      </c>
      <c r="BB104" s="49"/>
      <c r="BC104" s="49">
        <f ca="1"/>
        <v>0</v>
      </c>
      <c r="BD104" s="49">
        <f ca="1"/>
        <v>0</v>
      </c>
      <c r="BE104" s="49">
        <f ca="1"/>
        <v>0</v>
      </c>
      <c r="BF104" s="49">
        <f ca="1"/>
        <v>0</v>
      </c>
      <c r="BG104" s="49">
        <f ca="1"/>
        <v>0</v>
      </c>
      <c r="BH104" s="49">
        <f ca="1"/>
        <v>0</v>
      </c>
      <c r="BI104" s="49"/>
      <c r="BJ104" s="49"/>
      <c r="BK104" s="49"/>
      <c r="BL104" s="49"/>
      <c r="BM104" s="285" t="str">
        <v/>
      </c>
      <c r="BN104" s="264">
        <v>0</v>
      </c>
      <c r="BO104" s="109" t="str">
        <f>IF(BO103="","",BN103)</f>
        <v/>
      </c>
      <c r="BP104" s="109" t="str">
        <v/>
      </c>
      <c r="BQ104" s="125"/>
      <c r="BR104" s="264" t="str">
        <v/>
      </c>
      <c r="BS104" s="264">
        <v>0</v>
      </c>
      <c r="BT104" s="109" t="str">
        <f>IF(BT103="","",BS103)</f>
        <v/>
      </c>
      <c r="BU104" s="109" t="str">
        <v/>
      </c>
      <c r="BV104" s="124"/>
      <c r="BW104" s="285" t="str">
        <v/>
      </c>
      <c r="BX104" s="264">
        <v>0</v>
      </c>
      <c r="BY104" s="102" t="str">
        <f>IF(BY103="","",BX103)</f>
        <v xml:space="preserve"> </v>
      </c>
      <c r="BZ104" s="102" t="str">
        <f t="shared" si="17"/>
        <v xml:space="preserve"> </v>
      </c>
      <c r="CA104" s="128"/>
      <c r="CB104" s="63" t="str">
        <f t="shared" si="18"/>
        <v>св</v>
      </c>
      <c r="CC104" s="128"/>
      <c r="CD104" s="159"/>
      <c r="CE104" s="264" t="str">
        <v/>
      </c>
      <c r="CF104" s="264">
        <v>0</v>
      </c>
      <c r="CG104" s="113" t="str">
        <f>IF(CG103="","",CF103)</f>
        <v xml:space="preserve"> </v>
      </c>
      <c r="CH104" s="128" t="str">
        <v xml:space="preserve"> </v>
      </c>
      <c r="CI104" s="115"/>
      <c r="CJ104" s="49" t="str">
        <v/>
      </c>
      <c r="CK104" s="153">
        <v>0</v>
      </c>
      <c r="CL104" s="113" t="str">
        <f>IF(CL103="","",CK103)</f>
        <v xml:space="preserve"> </v>
      </c>
      <c r="CM104" s="49" t="str">
        <v xml:space="preserve"> </v>
      </c>
      <c r="CN104" s="49"/>
      <c r="CO104" s="264" t="str">
        <v/>
      </c>
      <c r="CP104" s="264">
        <v>0</v>
      </c>
      <c r="CQ104" s="113" t="str">
        <f>IF(CQ103="","",CP103)</f>
        <v xml:space="preserve"> </v>
      </c>
      <c r="CR104" s="49" t="str">
        <v xml:space="preserve"> </v>
      </c>
      <c r="CS104" s="152"/>
      <c r="CT104" s="264" t="str">
        <v/>
      </c>
      <c r="CU104" s="264">
        <v>0</v>
      </c>
      <c r="CV104" s="113" t="str">
        <f>IF(CV103="","",CU103)</f>
        <v xml:space="preserve"> </v>
      </c>
      <c r="CW104" s="49" t="str">
        <v xml:space="preserve"> </v>
      </c>
      <c r="CX104" s="49"/>
      <c r="CY104" s="49" t="str">
        <v/>
      </c>
      <c r="CZ104" s="49">
        <v>0</v>
      </c>
      <c r="DA104" s="113" t="str">
        <f>IF(DA103="","",CZ103)</f>
        <v xml:space="preserve"> </v>
      </c>
      <c r="DB104" s="49" t="str">
        <v xml:space="preserve"> </v>
      </c>
      <c r="DC104" s="49"/>
      <c r="DD104" s="49" t="str">
        <v/>
      </c>
      <c r="DE104" s="49"/>
      <c r="DF104" s="49"/>
      <c r="DG104" s="49"/>
      <c r="DH104" s="49"/>
    </row>
    <row r="105" spans="1:112" ht="13.5" hidden="1" customHeight="1">
      <c r="A105" s="54"/>
      <c r="B105" s="268">
        <v>50</v>
      </c>
      <c r="C105" s="270" t="e">
        <f>(VLOOKUP($B105,Пр.взв!$D$6:$J$63,2,0))</f>
        <v>#N/A</v>
      </c>
      <c r="D105" s="271" t="e">
        <f>(VLOOKUP($B105,Пр.взв!$D$6:$J$63,5,0))</f>
        <v>#N/A</v>
      </c>
      <c r="E105" s="272" t="e">
        <f>(VLOOKUP($B105,Пр.взв!$D$6:$M$63,8,0))</f>
        <v>#N/A</v>
      </c>
      <c r="F105" s="273"/>
      <c r="G105" s="87"/>
      <c r="H105" s="266"/>
      <c r="I105" s="89"/>
      <c r="J105" s="266" t="str">
        <f>IF(H105="Х","Х",IF($AC105&lt;6," ","Х"))</f>
        <v xml:space="preserve"> </v>
      </c>
      <c r="K105" s="87"/>
      <c r="L105" s="266" t="str">
        <f>IF(J105="Х","Х",IF(K105&lt;3," ",IF($AC105&lt;6," ","Х")))</f>
        <v xml:space="preserve"> </v>
      </c>
      <c r="M105" s="87"/>
      <c r="N105" s="266" t="str">
        <f>IF(L105="Х","Х",IF(M105&lt;3," ",IF($AC105&lt;6," ","Х")))</f>
        <v xml:space="preserve"> </v>
      </c>
      <c r="O105" s="87"/>
      <c r="P105" s="266" t="str">
        <f>IF(N105="Х","Х",IF(O105&lt;3," ",IF($AC105&lt;6," ","Х")))</f>
        <v xml:space="preserve"> </v>
      </c>
      <c r="Q105" s="87"/>
      <c r="R105" s="266" t="str">
        <f>IF(P105="Х","Х",IF(Q105&lt;3," ",IF($AC105&lt;6," ","Х")))</f>
        <v xml:space="preserve"> </v>
      </c>
      <c r="S105" s="87"/>
      <c r="T105" s="266" t="str">
        <f>IF(R105="Х","Х",IF(S105&lt;3," ",IF($AC105&lt;6," ","Х")))</f>
        <v xml:space="preserve"> </v>
      </c>
      <c r="U105" s="88"/>
      <c r="V105" s="266" t="str">
        <f>IF(T105="Х","Х",IF(U105&lt;3," ",IF($AC105&lt;6," ","Х")))</f>
        <v xml:space="preserve"> </v>
      </c>
      <c r="W105" s="88"/>
      <c r="X105" s="266" t="str">
        <f>IF(V105="А1",$AZ$7,IF(V105="Б2",$AZ$6,IF(V105="Б1",$BA$7,IF(V105="А2",$BA$6,IF(V105="Х","Х",IF(V105&lt;6," "," "))))))</f>
        <v xml:space="preserve"> </v>
      </c>
      <c r="Y105" s="89"/>
      <c r="Z105" s="266" t="str">
        <f>IF(V105="Х","Х",IF(ISBLANK(Y105),"",IF(Y105&gt;2.5," ",IF(B105=BB$6,BB$7,BB$6))))</f>
        <v/>
      </c>
      <c r="AA105" s="89"/>
      <c r="AB105" s="290" t="str">
        <f>IF(H105="Х",F$5,IF(J105="Х",H$5,IF(L105="Х",J$5,IF(N105="Х",L$5,IF(P105="Х",N$5,IF(R105="Х",P$5,IF(T105="Х",R$5,IF(X105="Х",T$5,""))))))))</f>
        <v/>
      </c>
      <c r="AC105" s="276">
        <f>SUM(G105+I105+K105+M105+O105+Q105+S105+U105+Y105+AA105)</f>
        <v>0</v>
      </c>
      <c r="AD105" s="291" t="str">
        <f>AF105</f>
        <v>27-71</v>
      </c>
      <c r="AE105" s="278" t="str">
        <f>AD105</f>
        <v>27-71</v>
      </c>
      <c r="AF105" s="280" t="str">
        <f>COUNTIF(AG$6:AG$148,"&gt;"&amp;AG$6:AG$148)+1&amp;REPT("-"&amp;COUNTIF(AG$6:AG$148,"&gt;="&amp;AG$6:AG$148),COUNTIF(AG$6:AG$148,AG105)&gt;1)</f>
        <v>27-71</v>
      </c>
      <c r="AG105" s="282">
        <f>(AR105*100)+(AP105*10)-AC105</f>
        <v>80</v>
      </c>
      <c r="AH105" s="288" t="str">
        <f>IF(OR(F105="Х",F105="св")," ",IF(AND(G105&gt;=0,G105&lt;3),"1"," "))</f>
        <v>1</v>
      </c>
      <c r="AI105" s="289" t="str">
        <f>IF(OR(H105="Х",H105="св")," ",IF(AND(I105&gt;=0,I105&lt;3),"1"," "))</f>
        <v>1</v>
      </c>
      <c r="AJ105" s="289" t="str">
        <f>IF(OR(J105="Х",J105="св")," ",IF(AND(K105&gt;=0,K105&lt;3),"1"," "))</f>
        <v>1</v>
      </c>
      <c r="AK105" s="289" t="str">
        <f>IF(OR(L105="Х",L105="св")," ",IF(AND(M105&gt;=0,M105&lt;3),"1"," "))</f>
        <v>1</v>
      </c>
      <c r="AL105" s="289" t="str">
        <f>IF(OR(N105="Х",N105="св")," ",IF(AND(O105&gt;=0,O105&lt;3),"1"," "))</f>
        <v>1</v>
      </c>
      <c r="AM105" s="289" t="str">
        <f>IF(OR(P105="Х",P105="св")," ",IF(AND(Q105&gt;=0,Q105&lt;3),"1"," "))</f>
        <v>1</v>
      </c>
      <c r="AN105" s="289" t="str">
        <f>IF(OR(R105="Х",R105="св")," ",IF(AND(S105&gt;=0,S105&lt;3),"1"," "))</f>
        <v>1</v>
      </c>
      <c r="AO105" s="289" t="str">
        <f>IF(OR(T105="Х",T105="св")," ",IF(AND(U105&gt;=0,U105&lt;3),"1"," "))</f>
        <v>1</v>
      </c>
      <c r="AP105" s="289">
        <f>COUNTIF(AH105:AO106,1)</f>
        <v>8</v>
      </c>
      <c r="AQ105" s="289">
        <f>AG105-AC105</f>
        <v>80</v>
      </c>
      <c r="AR105" s="292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289" t="str">
        <f>COUNTIF(AG$6:AG$134,"&gt;"&amp;AG$6:AG$134)+1&amp;REPT("-"&amp;COUNTIF(AG$6:AG$134,"&gt;="&amp;AG$6:AG$134),COUNTIF(AG$6:AG$134,AG105)&gt;1)</f>
        <v>27-64</v>
      </c>
      <c r="AT105" s="288" t="str">
        <f t="shared" ref="AT105:AW105" si="54">COUNTIF(AU$6:AU$134,"&gt;"&amp;AU$6:AU$134)+1&amp;REPT("-"&amp;COUNTIF(AU$6:AU$134,"&gt;="&amp;AU$6:AU$134),COUNTIF(AU$6:AU$134,AU105)&gt;1)</f>
        <v>1-64</v>
      </c>
      <c r="AU105" s="288" t="str">
        <f t="shared" si="54"/>
        <v>1-0</v>
      </c>
      <c r="AV105" s="288" t="str">
        <f t="shared" si="54"/>
        <v>1</v>
      </c>
      <c r="AW105" s="288" t="str">
        <f t="shared" si="54"/>
        <v>15</v>
      </c>
      <c r="AX105" s="293">
        <f>IF(X105="Х","Х",IF(Y105&lt;3,B105,"Х"))</f>
        <v>50</v>
      </c>
      <c r="AY105" s="49">
        <f ca="1"/>
        <v>0</v>
      </c>
      <c r="AZ105" s="49"/>
      <c r="BA105" s="49">
        <f ca="1"/>
        <v>0</v>
      </c>
      <c r="BB105" s="49"/>
      <c r="BC105" s="49">
        <f ca="1"/>
        <v>0</v>
      </c>
      <c r="BD105" s="49">
        <f ca="1"/>
        <v>0</v>
      </c>
      <c r="BE105" s="49">
        <f ca="1"/>
        <v>0</v>
      </c>
      <c r="BF105" s="49">
        <f ca="1"/>
        <v>0</v>
      </c>
      <c r="BG105" s="49">
        <f ca="1"/>
        <v>0</v>
      </c>
      <c r="BH105" s="49">
        <f ca="1"/>
        <v>0</v>
      </c>
      <c r="BI105" s="49"/>
      <c r="BJ105" s="49"/>
      <c r="BK105" s="49"/>
      <c r="BL105" s="49"/>
      <c r="BM105" s="294">
        <v>50</v>
      </c>
      <c r="BN105" s="287">
        <v>0</v>
      </c>
      <c r="BO105" s="98" t="str">
        <f>IF(BM105&lt;BN105,BM105,"")</f>
        <v/>
      </c>
      <c r="BP105" s="124" t="str">
        <v/>
      </c>
      <c r="BQ105" s="125"/>
      <c r="BR105" s="295" t="str">
        <v/>
      </c>
      <c r="BS105" s="287">
        <v>0</v>
      </c>
      <c r="BT105" s="109" t="str">
        <f>IF(BR105&lt;BS105,BR105,"")</f>
        <v/>
      </c>
      <c r="BU105" s="124" t="str">
        <v/>
      </c>
      <c r="BV105" s="124"/>
      <c r="BW105" s="284">
        <v>50</v>
      </c>
      <c r="BX105" s="286" t="str">
        <v xml:space="preserve"> </v>
      </c>
      <c r="BY105" s="102">
        <f t="array" ref="BY105">IF(BW105&lt;BX105,BW105,"")</f>
        <v>50</v>
      </c>
      <c r="BZ105" s="102">
        <f t="shared" si="17"/>
        <v>50</v>
      </c>
      <c r="CA105" s="63"/>
      <c r="CB105" s="63" t="str">
        <f t="shared" si="18"/>
        <v>св</v>
      </c>
      <c r="CC105" s="128"/>
      <c r="CD105" s="159"/>
      <c r="CE105" s="286">
        <v>50</v>
      </c>
      <c r="CF105" s="296" t="str">
        <v xml:space="preserve"> </v>
      </c>
      <c r="CG105" s="98">
        <f t="array" ref="CG105">IF(CE105&lt;CF105,CE105,"")</f>
        <v>50</v>
      </c>
      <c r="CH105" s="63">
        <v>50</v>
      </c>
      <c r="CI105" s="115"/>
      <c r="CJ105" s="65">
        <v>50</v>
      </c>
      <c r="CK105" s="151" t="str">
        <v xml:space="preserve"> </v>
      </c>
      <c r="CL105" s="98">
        <f t="array" ref="CL105">IF(CJ105&lt;CK105,CJ105,"")</f>
        <v>50</v>
      </c>
      <c r="CM105" s="49">
        <v>50</v>
      </c>
      <c r="CN105" s="49"/>
      <c r="CO105" s="286">
        <v>50</v>
      </c>
      <c r="CP105" s="286" t="str">
        <v xml:space="preserve"> </v>
      </c>
      <c r="CQ105" s="98">
        <f t="array" ref="CQ105">IF(CO105&lt;CP105,CO105,"")</f>
        <v>50</v>
      </c>
      <c r="CR105" s="65">
        <v>50</v>
      </c>
      <c r="CS105" s="152"/>
      <c r="CT105" s="286">
        <v>50</v>
      </c>
      <c r="CU105" s="286" t="str">
        <v xml:space="preserve"> </v>
      </c>
      <c r="CV105" s="98">
        <f t="array" ref="CV105">IF(CT105&lt;CU105,CT105,"")</f>
        <v>50</v>
      </c>
      <c r="CW105" s="49">
        <v>50</v>
      </c>
      <c r="CX105" s="49"/>
      <c r="CY105" s="49">
        <v>50</v>
      </c>
      <c r="CZ105" s="49" t="str">
        <v xml:space="preserve"> </v>
      </c>
      <c r="DA105" s="98">
        <f t="array" ref="DA105">IF(CY105&lt;CZ105,CY105,"")</f>
        <v>50</v>
      </c>
      <c r="DB105" s="49">
        <v>50</v>
      </c>
      <c r="DC105" s="49"/>
      <c r="DD105" s="49">
        <v>50</v>
      </c>
      <c r="DE105" s="49"/>
      <c r="DF105" s="49"/>
      <c r="DG105" s="49"/>
      <c r="DH105" s="49"/>
    </row>
    <row r="106" spans="1:112" ht="13.5" hidden="1" customHeight="1">
      <c r="A106" s="54"/>
      <c r="B106" s="269"/>
      <c r="C106" s="269"/>
      <c r="D106" s="269"/>
      <c r="E106" s="269"/>
      <c r="F106" s="274"/>
      <c r="G106" s="106"/>
      <c r="H106" s="267"/>
      <c r="I106" s="106"/>
      <c r="J106" s="267"/>
      <c r="K106" s="106"/>
      <c r="L106" s="267"/>
      <c r="M106" s="106"/>
      <c r="N106" s="267"/>
      <c r="O106" s="106"/>
      <c r="P106" s="267"/>
      <c r="Q106" s="106"/>
      <c r="R106" s="267"/>
      <c r="S106" s="106"/>
      <c r="T106" s="267"/>
      <c r="U106" s="107"/>
      <c r="V106" s="267"/>
      <c r="W106" s="107"/>
      <c r="X106" s="267"/>
      <c r="Y106" s="106"/>
      <c r="Z106" s="267"/>
      <c r="AA106" s="106"/>
      <c r="AB106" s="274"/>
      <c r="AC106" s="269"/>
      <c r="AD106" s="267"/>
      <c r="AE106" s="279"/>
      <c r="AF106" s="281"/>
      <c r="AG106" s="283"/>
      <c r="AH106" s="283"/>
      <c r="AI106" s="283"/>
      <c r="AJ106" s="283"/>
      <c r="AK106" s="283"/>
      <c r="AL106" s="283"/>
      <c r="AM106" s="283"/>
      <c r="AN106" s="283"/>
      <c r="AO106" s="283"/>
      <c r="AP106" s="283"/>
      <c r="AQ106" s="283"/>
      <c r="AR106" s="283"/>
      <c r="AS106" s="283"/>
      <c r="AT106" s="283"/>
      <c r="AU106" s="283"/>
      <c r="AV106" s="283"/>
      <c r="AW106" s="283"/>
      <c r="AX106" s="264"/>
      <c r="AY106" s="49">
        <f ca="1"/>
        <v>0</v>
      </c>
      <c r="AZ106" s="49"/>
      <c r="BA106" s="49">
        <f ca="1"/>
        <v>0</v>
      </c>
      <c r="BB106" s="49"/>
      <c r="BC106" s="49">
        <f ca="1"/>
        <v>0</v>
      </c>
      <c r="BD106" s="49">
        <f ca="1"/>
        <v>0</v>
      </c>
      <c r="BE106" s="49">
        <f ca="1"/>
        <v>0</v>
      </c>
      <c r="BF106" s="49">
        <f ca="1"/>
        <v>0</v>
      </c>
      <c r="BG106" s="49">
        <f ca="1"/>
        <v>0</v>
      </c>
      <c r="BH106" s="49">
        <f ca="1"/>
        <v>0</v>
      </c>
      <c r="BI106" s="49"/>
      <c r="BJ106" s="49"/>
      <c r="BK106" s="49"/>
      <c r="BL106" s="49"/>
      <c r="BM106" s="285" t="str">
        <v/>
      </c>
      <c r="BN106" s="264">
        <v>0</v>
      </c>
      <c r="BO106" s="109" t="str">
        <f>IF(BO105="","",BN105)</f>
        <v/>
      </c>
      <c r="BP106" s="109" t="str">
        <v/>
      </c>
      <c r="BQ106" s="125"/>
      <c r="BR106" s="264" t="str">
        <v/>
      </c>
      <c r="BS106" s="264">
        <v>0</v>
      </c>
      <c r="BT106" s="109" t="str">
        <f>IF(BT105="","",BS105)</f>
        <v/>
      </c>
      <c r="BU106" s="109" t="str">
        <v/>
      </c>
      <c r="BV106" s="124"/>
      <c r="BW106" s="285" t="str">
        <v/>
      </c>
      <c r="BX106" s="264">
        <v>0</v>
      </c>
      <c r="BY106" s="102" t="str">
        <f>IF(BY105="","",BX105)</f>
        <v xml:space="preserve"> </v>
      </c>
      <c r="BZ106" s="102" t="str">
        <f t="shared" si="17"/>
        <v xml:space="preserve"> </v>
      </c>
      <c r="CA106" s="128"/>
      <c r="CB106" s="63" t="str">
        <f t="shared" si="18"/>
        <v>св</v>
      </c>
      <c r="CC106" s="128"/>
      <c r="CD106" s="159"/>
      <c r="CE106" s="264" t="str">
        <v/>
      </c>
      <c r="CF106" s="264">
        <v>0</v>
      </c>
      <c r="CG106" s="113" t="str">
        <f>IF(CG105="","",CF105)</f>
        <v xml:space="preserve"> </v>
      </c>
      <c r="CH106" s="128" t="str">
        <v xml:space="preserve"> </v>
      </c>
      <c r="CI106" s="115"/>
      <c r="CJ106" s="49" t="str">
        <v/>
      </c>
      <c r="CK106" s="153">
        <v>0</v>
      </c>
      <c r="CL106" s="113" t="str">
        <f>IF(CL105="","",CK105)</f>
        <v xml:space="preserve"> </v>
      </c>
      <c r="CM106" s="49" t="str">
        <v xml:space="preserve"> </v>
      </c>
      <c r="CN106" s="49"/>
      <c r="CO106" s="264" t="str">
        <v/>
      </c>
      <c r="CP106" s="264">
        <v>0</v>
      </c>
      <c r="CQ106" s="113" t="str">
        <f>IF(CQ105="","",CP105)</f>
        <v xml:space="preserve"> </v>
      </c>
      <c r="CR106" s="49" t="str">
        <v xml:space="preserve"> </v>
      </c>
      <c r="CS106" s="152"/>
      <c r="CT106" s="264" t="str">
        <v/>
      </c>
      <c r="CU106" s="264">
        <v>0</v>
      </c>
      <c r="CV106" s="113" t="str">
        <f>IF(CV105="","",CU105)</f>
        <v xml:space="preserve"> </v>
      </c>
      <c r="CW106" s="49" t="str">
        <v xml:space="preserve"> </v>
      </c>
      <c r="CX106" s="49"/>
      <c r="CY106" s="49" t="str">
        <v/>
      </c>
      <c r="CZ106" s="49">
        <v>0</v>
      </c>
      <c r="DA106" s="113" t="str">
        <f>IF(DA105="","",CZ105)</f>
        <v xml:space="preserve"> </v>
      </c>
      <c r="DB106" s="49" t="str">
        <v xml:space="preserve"> </v>
      </c>
      <c r="DC106" s="49"/>
      <c r="DD106" s="49" t="str">
        <v/>
      </c>
      <c r="DE106" s="49"/>
      <c r="DF106" s="49"/>
      <c r="DG106" s="49"/>
      <c r="DH106" s="49"/>
    </row>
    <row r="107" spans="1:112" ht="13.5" hidden="1" customHeight="1">
      <c r="A107" s="54"/>
      <c r="B107" s="268">
        <v>51</v>
      </c>
      <c r="C107" s="270" t="e">
        <f>(VLOOKUP($B107,Пр.взв!$D$6:$J$63,2,0))</f>
        <v>#N/A</v>
      </c>
      <c r="D107" s="271" t="e">
        <f>(VLOOKUP($B107,Пр.взв!$D$6:$J$63,5,0))</f>
        <v>#N/A</v>
      </c>
      <c r="E107" s="272" t="e">
        <f>(VLOOKUP($B107,Пр.взв!$D$6:$M$63,8,0))</f>
        <v>#N/A</v>
      </c>
      <c r="F107" s="273"/>
      <c r="G107" s="169"/>
      <c r="H107" s="266"/>
      <c r="I107" s="169"/>
      <c r="J107" s="266" t="str">
        <f>IF(H107="Х","Х",IF($AC107&lt;6," ","Х"))</f>
        <v xml:space="preserve"> </v>
      </c>
      <c r="K107" s="87"/>
      <c r="L107" s="266" t="str">
        <f>IF(J107="Х","Х",IF(K107&lt;3," ",IF($AC107&lt;6," ","Х")))</f>
        <v xml:space="preserve"> </v>
      </c>
      <c r="M107" s="87"/>
      <c r="N107" s="266" t="str">
        <f>IF(L107="Х","Х",IF(M107&lt;3," ",IF($AC107&lt;6," ","Х")))</f>
        <v xml:space="preserve"> </v>
      </c>
      <c r="O107" s="87"/>
      <c r="P107" s="266" t="str">
        <f>IF(N107="Х","Х",IF(O107&lt;3," ",IF($AC107&lt;6," ","Х")))</f>
        <v xml:space="preserve"> </v>
      </c>
      <c r="Q107" s="87"/>
      <c r="R107" s="266" t="str">
        <f>IF(P107="Х","Х",IF(Q107&lt;3," ",IF($AC107&lt;6," ","Х")))</f>
        <v xml:space="preserve"> </v>
      </c>
      <c r="S107" s="87"/>
      <c r="T107" s="266" t="str">
        <f>IF(R107="Х","Х",IF(S107&lt;3," ",IF($AC107&lt;6," ","Х")))</f>
        <v xml:space="preserve"> </v>
      </c>
      <c r="U107" s="88"/>
      <c r="V107" s="266" t="str">
        <f>IF(T107="Х","Х",IF(U107&lt;3," ",IF($AC107&lt;6," ","Х")))</f>
        <v xml:space="preserve"> </v>
      </c>
      <c r="W107" s="88"/>
      <c r="X107" s="266" t="str">
        <f>IF(V107="А1",$AZ$7,IF(V107="Б2",$AZ$6,IF(V107="Б1",$BA$7,IF(V107="А2",$BA$6,IF(V107="Х","Х",IF(V107&lt;6," "," "))))))</f>
        <v xml:space="preserve"> </v>
      </c>
      <c r="Y107" s="89"/>
      <c r="Z107" s="266" t="str">
        <f>IF(V107="Х","Х",IF(ISBLANK(Y107),"",IF(Y107&gt;2.5," ",IF(B107=BB$6,BB$7,BB$6))))</f>
        <v/>
      </c>
      <c r="AA107" s="89"/>
      <c r="AB107" s="290" t="str">
        <f>IF(H107="Х",F$5,IF(J107="Х",H$5,IF(L107="Х",J$5,IF(N107="Х",L$5,IF(P107="Х",N$5,IF(R107="Х",P$5,IF(T107="Х",R$5,IF(X107="Х",T$5,""))))))))</f>
        <v/>
      </c>
      <c r="AC107" s="276">
        <f>SUM(G107+I107+K107+M107+O107+Q107+S107+U107+Y107+AA107)</f>
        <v>0</v>
      </c>
      <c r="AD107" s="291" t="str">
        <f>AF107</f>
        <v>27-71</v>
      </c>
      <c r="AE107" s="278" t="str">
        <f>AD107</f>
        <v>27-71</v>
      </c>
      <c r="AF107" s="280" t="str">
        <f>COUNTIF(AG$6:AG$148,"&gt;"&amp;AG$6:AG$148)+1&amp;REPT("-"&amp;COUNTIF(AG$6:AG$148,"&gt;="&amp;AG$6:AG$148),COUNTIF(AG$6:AG$148,AG107)&gt;1)</f>
        <v>27-71</v>
      </c>
      <c r="AG107" s="282">
        <f>(AR107*100)+(AP107*10)-AC107</f>
        <v>80</v>
      </c>
      <c r="AH107" s="288" t="str">
        <f>IF(OR(F107="Х",F107="св")," ",IF(AND(G107&gt;=0,G107&lt;3),"1"," "))</f>
        <v>1</v>
      </c>
      <c r="AI107" s="289" t="str">
        <f>IF(OR(H107="Х",H107="св")," ",IF(AND(I107&gt;=0,I107&lt;3),"1"," "))</f>
        <v>1</v>
      </c>
      <c r="AJ107" s="289" t="str">
        <f>IF(OR(J107="Х",J107="св")," ",IF(AND(K107&gt;=0,K107&lt;3),"1"," "))</f>
        <v>1</v>
      </c>
      <c r="AK107" s="289" t="str">
        <f>IF(OR(L107="Х",L107="св")," ",IF(AND(M107&gt;=0,M107&lt;3),"1"," "))</f>
        <v>1</v>
      </c>
      <c r="AL107" s="289" t="str">
        <f>IF(OR(N107="Х",N107="св")," ",IF(AND(O107&gt;=0,O107&lt;3),"1"," "))</f>
        <v>1</v>
      </c>
      <c r="AM107" s="289" t="str">
        <f>IF(OR(P107="Х",P107="св")," ",IF(AND(Q107&gt;=0,Q107&lt;3),"1"," "))</f>
        <v>1</v>
      </c>
      <c r="AN107" s="289" t="str">
        <f>IF(OR(R107="Х",R107="св")," ",IF(AND(S107&gt;=0,S107&lt;3),"1"," "))</f>
        <v>1</v>
      </c>
      <c r="AO107" s="289" t="str">
        <f>IF(OR(T107="Х",T107="св")," ",IF(AND(U107&gt;=0,U107&lt;3),"1"," "))</f>
        <v>1</v>
      </c>
      <c r="AP107" s="289">
        <f>COUNTIF(AH107:AO108,1)</f>
        <v>8</v>
      </c>
      <c r="AQ107" s="289">
        <f>AG107-AC107</f>
        <v>80</v>
      </c>
      <c r="AR107" s="292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289" t="str">
        <f>COUNTIF(AG$6:AG$134,"&gt;"&amp;AG$6:AG$134)+1&amp;REPT("-"&amp;COUNTIF(AG$6:AG$134,"&gt;="&amp;AG$6:AG$134),COUNTIF(AG$6:AG$134,AG107)&gt;1)</f>
        <v>27-64</v>
      </c>
      <c r="AT107" s="288" t="str">
        <f t="shared" ref="AT107:AW107" si="55">COUNTIF(AU$6:AU$134,"&gt;"&amp;AU$6:AU$134)+1&amp;REPT("-"&amp;COUNTIF(AU$6:AU$134,"&gt;="&amp;AU$6:AU$134),COUNTIF(AU$6:AU$134,AU107)&gt;1)</f>
        <v>1-64</v>
      </c>
      <c r="AU107" s="288" t="str">
        <f t="shared" si="55"/>
        <v>1-0</v>
      </c>
      <c r="AV107" s="288" t="str">
        <f t="shared" si="55"/>
        <v>1</v>
      </c>
      <c r="AW107" s="288" t="str">
        <f t="shared" si="55"/>
        <v>14</v>
      </c>
      <c r="AX107" s="293">
        <f>IF(X107="Х","Х",IF(Y107&lt;3,B107,"Х"))</f>
        <v>51</v>
      </c>
      <c r="AY107" s="49">
        <f ca="1"/>
        <v>0</v>
      </c>
      <c r="AZ107" s="49"/>
      <c r="BA107" s="49">
        <f ca="1"/>
        <v>0</v>
      </c>
      <c r="BB107" s="49"/>
      <c r="BC107" s="49">
        <f ca="1"/>
        <v>0</v>
      </c>
      <c r="BD107" s="49">
        <f ca="1"/>
        <v>0</v>
      </c>
      <c r="BE107" s="49">
        <f ca="1"/>
        <v>0</v>
      </c>
      <c r="BF107" s="49">
        <f ca="1"/>
        <v>0</v>
      </c>
      <c r="BG107" s="49">
        <f ca="1"/>
        <v>0</v>
      </c>
      <c r="BH107" s="49">
        <f ca="1"/>
        <v>0</v>
      </c>
      <c r="BI107" s="49"/>
      <c r="BJ107" s="49"/>
      <c r="BK107" s="49"/>
      <c r="BL107" s="49"/>
      <c r="BM107" s="294">
        <v>51</v>
      </c>
      <c r="BN107" s="287">
        <v>0</v>
      </c>
      <c r="BO107" s="98" t="str">
        <f>IF(BM107&lt;BN107,BM107,"")</f>
        <v/>
      </c>
      <c r="BP107" s="124" t="str">
        <v/>
      </c>
      <c r="BQ107" s="125"/>
      <c r="BR107" s="295" t="str">
        <v/>
      </c>
      <c r="BS107" s="287">
        <v>0</v>
      </c>
      <c r="BT107" s="109" t="str">
        <f>IF(BR107&lt;BS107,BR107,"")</f>
        <v/>
      </c>
      <c r="BU107" s="124" t="str">
        <v/>
      </c>
      <c r="BV107" s="124"/>
      <c r="BW107" s="284">
        <v>51</v>
      </c>
      <c r="BX107" s="286" t="str">
        <v xml:space="preserve"> </v>
      </c>
      <c r="BY107" s="102">
        <f t="array" ref="BY107">IF(BW107&lt;BX107,BW107,"")</f>
        <v>51</v>
      </c>
      <c r="BZ107" s="102">
        <f t="shared" si="17"/>
        <v>51</v>
      </c>
      <c r="CA107" s="63"/>
      <c r="CB107" s="63" t="str">
        <f t="shared" si="18"/>
        <v>св</v>
      </c>
      <c r="CC107" s="128"/>
      <c r="CD107" s="159"/>
      <c r="CE107" s="286">
        <v>51</v>
      </c>
      <c r="CF107" s="296" t="str">
        <v xml:space="preserve"> </v>
      </c>
      <c r="CG107" s="98">
        <f t="array" ref="CG107">IF(CE107&lt;CF107,CE107,"")</f>
        <v>51</v>
      </c>
      <c r="CH107" s="63">
        <v>51</v>
      </c>
      <c r="CI107" s="115"/>
      <c r="CJ107" s="65">
        <v>51</v>
      </c>
      <c r="CK107" s="151" t="str">
        <v xml:space="preserve"> </v>
      </c>
      <c r="CL107" s="98">
        <f t="array" ref="CL107">IF(CJ107&lt;CK107,CJ107,"")</f>
        <v>51</v>
      </c>
      <c r="CM107" s="49">
        <v>51</v>
      </c>
      <c r="CN107" s="49"/>
      <c r="CO107" s="286">
        <v>51</v>
      </c>
      <c r="CP107" s="286" t="str">
        <v xml:space="preserve"> </v>
      </c>
      <c r="CQ107" s="98">
        <f t="array" ref="CQ107">IF(CO107&lt;CP107,CO107,"")</f>
        <v>51</v>
      </c>
      <c r="CR107" s="65">
        <v>51</v>
      </c>
      <c r="CS107" s="152"/>
      <c r="CT107" s="286">
        <v>51</v>
      </c>
      <c r="CU107" s="286" t="str">
        <v xml:space="preserve"> </v>
      </c>
      <c r="CV107" s="98">
        <f t="array" ref="CV107">IF(CT107&lt;CU107,CT107,"")</f>
        <v>51</v>
      </c>
      <c r="CW107" s="49">
        <v>51</v>
      </c>
      <c r="CX107" s="49"/>
      <c r="CY107" s="49">
        <v>51</v>
      </c>
      <c r="CZ107" s="49" t="str">
        <v xml:space="preserve"> </v>
      </c>
      <c r="DA107" s="98">
        <f t="array" ref="DA107">IF(CY107&lt;CZ107,CY107,"")</f>
        <v>51</v>
      </c>
      <c r="DB107" s="49">
        <v>51</v>
      </c>
      <c r="DC107" s="49"/>
      <c r="DD107" s="49">
        <v>51</v>
      </c>
      <c r="DE107" s="49"/>
      <c r="DF107" s="49"/>
      <c r="DG107" s="49"/>
      <c r="DH107" s="49"/>
    </row>
    <row r="108" spans="1:112" ht="13.5" hidden="1" customHeight="1">
      <c r="A108" s="54"/>
      <c r="B108" s="269"/>
      <c r="C108" s="269"/>
      <c r="D108" s="269"/>
      <c r="E108" s="269"/>
      <c r="F108" s="274"/>
      <c r="G108" s="106"/>
      <c r="H108" s="267"/>
      <c r="I108" s="106"/>
      <c r="J108" s="267"/>
      <c r="K108" s="106"/>
      <c r="L108" s="267"/>
      <c r="M108" s="106"/>
      <c r="N108" s="267"/>
      <c r="O108" s="106"/>
      <c r="P108" s="267"/>
      <c r="Q108" s="106"/>
      <c r="R108" s="267"/>
      <c r="S108" s="106"/>
      <c r="T108" s="267"/>
      <c r="U108" s="107"/>
      <c r="V108" s="267"/>
      <c r="W108" s="107"/>
      <c r="X108" s="267"/>
      <c r="Y108" s="106"/>
      <c r="Z108" s="267"/>
      <c r="AA108" s="106"/>
      <c r="AB108" s="274"/>
      <c r="AC108" s="269"/>
      <c r="AD108" s="267"/>
      <c r="AE108" s="279"/>
      <c r="AF108" s="281"/>
      <c r="AG108" s="283"/>
      <c r="AH108" s="283"/>
      <c r="AI108" s="283"/>
      <c r="AJ108" s="283"/>
      <c r="AK108" s="283"/>
      <c r="AL108" s="283"/>
      <c r="AM108" s="283"/>
      <c r="AN108" s="283"/>
      <c r="AO108" s="283"/>
      <c r="AP108" s="283"/>
      <c r="AQ108" s="283"/>
      <c r="AR108" s="283"/>
      <c r="AS108" s="283"/>
      <c r="AT108" s="283"/>
      <c r="AU108" s="283"/>
      <c r="AV108" s="283"/>
      <c r="AW108" s="283"/>
      <c r="AX108" s="264"/>
      <c r="AY108" s="49">
        <f ca="1"/>
        <v>0</v>
      </c>
      <c r="AZ108" s="49"/>
      <c r="BA108" s="49">
        <f ca="1"/>
        <v>0</v>
      </c>
      <c r="BB108" s="49"/>
      <c r="BC108" s="49">
        <f ca="1"/>
        <v>0</v>
      </c>
      <c r="BD108" s="49">
        <f ca="1"/>
        <v>0</v>
      </c>
      <c r="BE108" s="49">
        <f ca="1"/>
        <v>0</v>
      </c>
      <c r="BF108" s="49">
        <f ca="1"/>
        <v>0</v>
      </c>
      <c r="BG108" s="49">
        <f ca="1"/>
        <v>0</v>
      </c>
      <c r="BH108" s="49">
        <f ca="1"/>
        <v>0</v>
      </c>
      <c r="BI108" s="49"/>
      <c r="BJ108" s="49"/>
      <c r="BK108" s="49"/>
      <c r="BL108" s="49"/>
      <c r="BM108" s="285" t="str">
        <v/>
      </c>
      <c r="BN108" s="264">
        <v>0</v>
      </c>
      <c r="BO108" s="109" t="str">
        <f>IF(BO107="","",BN107)</f>
        <v/>
      </c>
      <c r="BP108" s="109" t="str">
        <v/>
      </c>
      <c r="BQ108" s="125"/>
      <c r="BR108" s="264" t="str">
        <v/>
      </c>
      <c r="BS108" s="264">
        <v>0</v>
      </c>
      <c r="BT108" s="109" t="str">
        <f>IF(BT107="","",BS107)</f>
        <v/>
      </c>
      <c r="BU108" s="109" t="str">
        <v/>
      </c>
      <c r="BV108" s="124"/>
      <c r="BW108" s="285" t="str">
        <v/>
      </c>
      <c r="BX108" s="264">
        <v>0</v>
      </c>
      <c r="BY108" s="102" t="str">
        <f>IF(BY107="","",BX107)</f>
        <v xml:space="preserve"> </v>
      </c>
      <c r="BZ108" s="102" t="str">
        <f t="shared" si="17"/>
        <v xml:space="preserve"> </v>
      </c>
      <c r="CA108" s="128"/>
      <c r="CB108" s="63" t="str">
        <f t="shared" si="18"/>
        <v>св</v>
      </c>
      <c r="CC108" s="128"/>
      <c r="CD108" s="159"/>
      <c r="CE108" s="264" t="str">
        <v/>
      </c>
      <c r="CF108" s="264">
        <v>0</v>
      </c>
      <c r="CG108" s="113" t="str">
        <f>IF(CG107="","",CF107)</f>
        <v xml:space="preserve"> </v>
      </c>
      <c r="CH108" s="128" t="str">
        <v xml:space="preserve"> </v>
      </c>
      <c r="CI108" s="115"/>
      <c r="CJ108" s="49" t="str">
        <v/>
      </c>
      <c r="CK108" s="153">
        <v>0</v>
      </c>
      <c r="CL108" s="113" t="str">
        <f>IF(CL107="","",CK107)</f>
        <v xml:space="preserve"> </v>
      </c>
      <c r="CM108" s="49" t="str">
        <v xml:space="preserve"> </v>
      </c>
      <c r="CN108" s="49"/>
      <c r="CO108" s="264" t="str">
        <v/>
      </c>
      <c r="CP108" s="264">
        <v>0</v>
      </c>
      <c r="CQ108" s="113" t="str">
        <f>IF(CQ107="","",CP107)</f>
        <v xml:space="preserve"> </v>
      </c>
      <c r="CR108" s="49" t="str">
        <v xml:space="preserve"> </v>
      </c>
      <c r="CS108" s="152"/>
      <c r="CT108" s="264" t="str">
        <v/>
      </c>
      <c r="CU108" s="264">
        <v>0</v>
      </c>
      <c r="CV108" s="113" t="str">
        <f>IF(CV107="","",CU107)</f>
        <v xml:space="preserve"> </v>
      </c>
      <c r="CW108" s="49" t="str">
        <v xml:space="preserve"> </v>
      </c>
      <c r="CX108" s="49"/>
      <c r="CY108" s="49" t="str">
        <v/>
      </c>
      <c r="CZ108" s="49">
        <v>0</v>
      </c>
      <c r="DA108" s="113" t="str">
        <f>IF(DA107="","",CZ107)</f>
        <v xml:space="preserve"> </v>
      </c>
      <c r="DB108" s="49" t="str">
        <v xml:space="preserve"> </v>
      </c>
      <c r="DC108" s="49"/>
      <c r="DD108" s="49" t="str">
        <v/>
      </c>
      <c r="DE108" s="49"/>
      <c r="DF108" s="49"/>
      <c r="DG108" s="49"/>
      <c r="DH108" s="49"/>
    </row>
    <row r="109" spans="1:112" ht="13.5" hidden="1" customHeight="1">
      <c r="A109" s="54"/>
      <c r="B109" s="268">
        <v>52</v>
      </c>
      <c r="C109" s="270" t="e">
        <f>(VLOOKUP($B109,Пр.взв!$D$6:$J$63,2,0))</f>
        <v>#N/A</v>
      </c>
      <c r="D109" s="271" t="e">
        <f>(VLOOKUP($B109,Пр.взв!$D$6:$J$63,5,0))</f>
        <v>#N/A</v>
      </c>
      <c r="E109" s="272" t="e">
        <f>(VLOOKUP($B109,Пр.взв!$D$6:$M$63,8,0))</f>
        <v>#N/A</v>
      </c>
      <c r="F109" s="273"/>
      <c r="G109" s="87"/>
      <c r="H109" s="266"/>
      <c r="I109" s="87"/>
      <c r="J109" s="266" t="str">
        <f>IF(H109="Х","Х",IF($AC109&lt;6," ","Х"))</f>
        <v xml:space="preserve"> </v>
      </c>
      <c r="K109" s="87"/>
      <c r="L109" s="266" t="str">
        <f>IF(J109="Х","Х",IF(K109&lt;3," ",IF($AC109&lt;6," ","Х")))</f>
        <v xml:space="preserve"> </v>
      </c>
      <c r="M109" s="87"/>
      <c r="N109" s="266" t="str">
        <f>IF(L109="Х","Х",IF(M109&lt;3," ",IF($AC109&lt;6," ","Х")))</f>
        <v xml:space="preserve"> </v>
      </c>
      <c r="O109" s="87"/>
      <c r="P109" s="266" t="str">
        <f>IF(N109="Х","Х",IF(O109&lt;3," ",IF($AC109&lt;6," ","Х")))</f>
        <v xml:space="preserve"> </v>
      </c>
      <c r="Q109" s="87"/>
      <c r="R109" s="266" t="str">
        <f>IF(P109="Х","Х",IF(Q109&lt;3," ",IF($AC109&lt;6," ","Х")))</f>
        <v xml:space="preserve"> </v>
      </c>
      <c r="S109" s="87"/>
      <c r="T109" s="266" t="str">
        <f>IF(R109="Х","Х",IF(S109&lt;3," ",IF($AC109&lt;6," ","Х")))</f>
        <v xml:space="preserve"> </v>
      </c>
      <c r="U109" s="88"/>
      <c r="V109" s="266" t="str">
        <f>IF(T109="Х","Х",IF(U109&lt;3," ",IF($AC109&lt;6," ","Х")))</f>
        <v xml:space="preserve"> </v>
      </c>
      <c r="W109" s="88"/>
      <c r="X109" s="266" t="str">
        <f>IF(V109="А1",$AZ$7,IF(V109="Б2",$AZ$6,IF(V109="Б1",$BA$7,IF(V109="А2",$BA$6,IF(V109="Х","Х",IF(V109&lt;6," "," "))))))</f>
        <v xml:space="preserve"> </v>
      </c>
      <c r="Y109" s="89"/>
      <c r="Z109" s="266" t="str">
        <f>IF(V109="Х","Х",IF(ISBLANK(Y109),"",IF(Y109&gt;2.5," ",IF(B109=BB$6,BB$7,BB$6))))</f>
        <v/>
      </c>
      <c r="AA109" s="89"/>
      <c r="AB109" s="290" t="str">
        <f>IF(H109="Х",F$5,IF(J109="Х",H$5,IF(L109="Х",J$5,IF(N109="Х",L$5,IF(P109="Х",N$5,IF(R109="Х",P$5,IF(T109="Х",R$5,IF(X109="Х",T$5,""))))))))</f>
        <v/>
      </c>
      <c r="AC109" s="276">
        <f>SUM(G109+I109+K109+M109+O109+Q109+S109+U109+Y109+AA109)</f>
        <v>0</v>
      </c>
      <c r="AD109" s="291" t="str">
        <f>AF109</f>
        <v>27-71</v>
      </c>
      <c r="AE109" s="278" t="str">
        <f>AD109</f>
        <v>27-71</v>
      </c>
      <c r="AF109" s="280" t="str">
        <f>COUNTIF(AG$6:AG$148,"&gt;"&amp;AG$6:AG$148)+1&amp;REPT("-"&amp;COUNTIF(AG$6:AG$148,"&gt;="&amp;AG$6:AG$148),COUNTIF(AG$6:AG$148,AG109)&gt;1)</f>
        <v>27-71</v>
      </c>
      <c r="AG109" s="282">
        <f>(AR109*100)+(AP109*10)-AC109</f>
        <v>80</v>
      </c>
      <c r="AH109" s="288" t="str">
        <f>IF(OR(F109="Х",F109="св")," ",IF(AND(G109&gt;=0,G109&lt;3),"1"," "))</f>
        <v>1</v>
      </c>
      <c r="AI109" s="289" t="str">
        <f>IF(OR(H109="Х",H109="св")," ",IF(AND(I109&gt;=0,I109&lt;3),"1"," "))</f>
        <v>1</v>
      </c>
      <c r="AJ109" s="289" t="str">
        <f>IF(OR(J109="Х",J109="св")," ",IF(AND(K109&gt;=0,K109&lt;3),"1"," "))</f>
        <v>1</v>
      </c>
      <c r="AK109" s="289" t="str">
        <f>IF(OR(L109="Х",L109="св")," ",IF(AND(M109&gt;=0,M109&lt;3),"1"," "))</f>
        <v>1</v>
      </c>
      <c r="AL109" s="289" t="str">
        <f>IF(OR(N109="Х",N109="св")," ",IF(AND(O109&gt;=0,O109&lt;3),"1"," "))</f>
        <v>1</v>
      </c>
      <c r="AM109" s="289" t="str">
        <f>IF(OR(P109="Х",P109="св")," ",IF(AND(Q109&gt;=0,Q109&lt;3),"1"," "))</f>
        <v>1</v>
      </c>
      <c r="AN109" s="289" t="str">
        <f>IF(OR(R109="Х",R109="св")," ",IF(AND(S109&gt;=0,S109&lt;3),"1"," "))</f>
        <v>1</v>
      </c>
      <c r="AO109" s="289" t="str">
        <f>IF(OR(T109="Х",T109="св")," ",IF(AND(U109&gt;=0,U109&lt;3),"1"," "))</f>
        <v>1</v>
      </c>
      <c r="AP109" s="289">
        <f>COUNTIF(AH109:AO110,1)</f>
        <v>8</v>
      </c>
      <c r="AQ109" s="289">
        <f>AG109-AC109</f>
        <v>80</v>
      </c>
      <c r="AR109" s="292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289" t="str">
        <f>COUNTIF(AG$6:AG$134,"&gt;"&amp;AG$6:AG$134)+1&amp;REPT("-"&amp;COUNTIF(AG$6:AG$134,"&gt;="&amp;AG$6:AG$134),COUNTIF(AG$6:AG$134,AG109)&gt;1)</f>
        <v>27-64</v>
      </c>
      <c r="AT109" s="288" t="str">
        <f t="shared" ref="AT109:AW109" si="56">COUNTIF(AU$6:AU$134,"&gt;"&amp;AU$6:AU$134)+1&amp;REPT("-"&amp;COUNTIF(AU$6:AU$134,"&gt;="&amp;AU$6:AU$134),COUNTIF(AU$6:AU$134,AU109)&gt;1)</f>
        <v>1-64</v>
      </c>
      <c r="AU109" s="288" t="str">
        <f t="shared" si="56"/>
        <v>1-0</v>
      </c>
      <c r="AV109" s="288" t="str">
        <f t="shared" si="56"/>
        <v>1</v>
      </c>
      <c r="AW109" s="288" t="str">
        <f t="shared" si="56"/>
        <v>13</v>
      </c>
      <c r="AX109" s="293">
        <f>IF(X109="Х","Х",IF(Y109&lt;3,B109,"Х"))</f>
        <v>52</v>
      </c>
      <c r="AY109" s="49">
        <f ca="1"/>
        <v>0</v>
      </c>
      <c r="AZ109" s="49"/>
      <c r="BA109" s="49">
        <f ca="1"/>
        <v>0</v>
      </c>
      <c r="BB109" s="49"/>
      <c r="BC109" s="49">
        <f ca="1"/>
        <v>0</v>
      </c>
      <c r="BD109" s="49">
        <f ca="1"/>
        <v>0</v>
      </c>
      <c r="BE109" s="49">
        <f ca="1"/>
        <v>0</v>
      </c>
      <c r="BF109" s="49">
        <f ca="1"/>
        <v>0</v>
      </c>
      <c r="BG109" s="49">
        <f ca="1"/>
        <v>0</v>
      </c>
      <c r="BH109" s="49">
        <f ca="1"/>
        <v>0</v>
      </c>
      <c r="BI109" s="49"/>
      <c r="BJ109" s="49"/>
      <c r="BK109" s="49"/>
      <c r="BL109" s="49"/>
      <c r="BM109" s="294">
        <v>52</v>
      </c>
      <c r="BN109" s="287">
        <v>0</v>
      </c>
      <c r="BO109" s="98" t="str">
        <f>IF(BM109&lt;BN109,BM109,"")</f>
        <v/>
      </c>
      <c r="BP109" s="124" t="str">
        <v/>
      </c>
      <c r="BQ109" s="125"/>
      <c r="BR109" s="295" t="str">
        <v/>
      </c>
      <c r="BS109" s="287">
        <v>0</v>
      </c>
      <c r="BT109" s="109" t="str">
        <f>IF(BR109&lt;BS109,BR109,"")</f>
        <v/>
      </c>
      <c r="BU109" s="124" t="str">
        <v/>
      </c>
      <c r="BV109" s="124"/>
      <c r="BW109" s="284">
        <v>52</v>
      </c>
      <c r="BX109" s="286" t="str">
        <v xml:space="preserve"> </v>
      </c>
      <c r="BY109" s="102">
        <f t="array" ref="BY109">IF(BW109&lt;BX109,BW109,"")</f>
        <v>52</v>
      </c>
      <c r="BZ109" s="102">
        <f t="shared" si="17"/>
        <v>52</v>
      </c>
      <c r="CA109" s="63"/>
      <c r="CB109" s="63" t="str">
        <f t="shared" si="18"/>
        <v>св</v>
      </c>
      <c r="CC109" s="128"/>
      <c r="CD109" s="159"/>
      <c r="CE109" s="286">
        <v>52</v>
      </c>
      <c r="CF109" s="296" t="str">
        <v xml:space="preserve"> </v>
      </c>
      <c r="CG109" s="98">
        <f t="array" ref="CG109">IF(CE109&lt;CF109,CE109,"")</f>
        <v>52</v>
      </c>
      <c r="CH109" s="63">
        <v>52</v>
      </c>
      <c r="CI109" s="115"/>
      <c r="CJ109" s="65">
        <v>52</v>
      </c>
      <c r="CK109" s="151" t="str">
        <v xml:space="preserve"> </v>
      </c>
      <c r="CL109" s="98">
        <f t="array" ref="CL109">IF(CJ109&lt;CK109,CJ109,"")</f>
        <v>52</v>
      </c>
      <c r="CM109" s="49">
        <v>52</v>
      </c>
      <c r="CN109" s="49"/>
      <c r="CO109" s="286">
        <v>52</v>
      </c>
      <c r="CP109" s="286" t="str">
        <v xml:space="preserve"> </v>
      </c>
      <c r="CQ109" s="98">
        <f t="array" ref="CQ109">IF(CO109&lt;CP109,CO109,"")</f>
        <v>52</v>
      </c>
      <c r="CR109" s="65">
        <v>52</v>
      </c>
      <c r="CS109" s="152"/>
      <c r="CT109" s="286">
        <v>52</v>
      </c>
      <c r="CU109" s="286" t="str">
        <v xml:space="preserve"> </v>
      </c>
      <c r="CV109" s="98">
        <f t="array" ref="CV109">IF(CT109&lt;CU109,CT109,"")</f>
        <v>52</v>
      </c>
      <c r="CW109" s="49">
        <v>52</v>
      </c>
      <c r="CX109" s="49"/>
      <c r="CY109" s="49">
        <v>52</v>
      </c>
      <c r="CZ109" s="49" t="str">
        <v xml:space="preserve"> </v>
      </c>
      <c r="DA109" s="98">
        <f t="array" ref="DA109">IF(CY109&lt;CZ109,CY109,"")</f>
        <v>52</v>
      </c>
      <c r="DB109" s="49">
        <v>52</v>
      </c>
      <c r="DC109" s="49"/>
      <c r="DD109" s="49">
        <v>52</v>
      </c>
      <c r="DE109" s="49"/>
      <c r="DF109" s="49"/>
      <c r="DG109" s="49"/>
      <c r="DH109" s="49"/>
    </row>
    <row r="110" spans="1:112" ht="13.5" hidden="1" customHeight="1">
      <c r="A110" s="54"/>
      <c r="B110" s="269"/>
      <c r="C110" s="269"/>
      <c r="D110" s="269"/>
      <c r="E110" s="269"/>
      <c r="F110" s="274"/>
      <c r="G110" s="106"/>
      <c r="H110" s="267"/>
      <c r="I110" s="106"/>
      <c r="J110" s="267"/>
      <c r="K110" s="106"/>
      <c r="L110" s="267"/>
      <c r="M110" s="106"/>
      <c r="N110" s="267"/>
      <c r="O110" s="106"/>
      <c r="P110" s="267"/>
      <c r="Q110" s="106"/>
      <c r="R110" s="267"/>
      <c r="S110" s="106"/>
      <c r="T110" s="267"/>
      <c r="U110" s="107"/>
      <c r="V110" s="267"/>
      <c r="W110" s="107"/>
      <c r="X110" s="267"/>
      <c r="Y110" s="106"/>
      <c r="Z110" s="267"/>
      <c r="AA110" s="106"/>
      <c r="AB110" s="274"/>
      <c r="AC110" s="269"/>
      <c r="AD110" s="267"/>
      <c r="AE110" s="279"/>
      <c r="AF110" s="281"/>
      <c r="AG110" s="283"/>
      <c r="AH110" s="283"/>
      <c r="AI110" s="283"/>
      <c r="AJ110" s="283"/>
      <c r="AK110" s="283"/>
      <c r="AL110" s="283"/>
      <c r="AM110" s="283"/>
      <c r="AN110" s="283"/>
      <c r="AO110" s="283"/>
      <c r="AP110" s="283"/>
      <c r="AQ110" s="283"/>
      <c r="AR110" s="283"/>
      <c r="AS110" s="283"/>
      <c r="AT110" s="283"/>
      <c r="AU110" s="283"/>
      <c r="AV110" s="283"/>
      <c r="AW110" s="283"/>
      <c r="AX110" s="264"/>
      <c r="AY110" s="49">
        <f ca="1"/>
        <v>0</v>
      </c>
      <c r="AZ110" s="49"/>
      <c r="BA110" s="49">
        <f ca="1"/>
        <v>0</v>
      </c>
      <c r="BB110" s="49"/>
      <c r="BC110" s="49">
        <f ca="1"/>
        <v>0</v>
      </c>
      <c r="BD110" s="49">
        <f ca="1"/>
        <v>0</v>
      </c>
      <c r="BE110" s="49">
        <f ca="1"/>
        <v>0</v>
      </c>
      <c r="BF110" s="49">
        <f ca="1"/>
        <v>0</v>
      </c>
      <c r="BG110" s="49">
        <f ca="1"/>
        <v>0</v>
      </c>
      <c r="BH110" s="49">
        <f ca="1"/>
        <v>0</v>
      </c>
      <c r="BI110" s="49"/>
      <c r="BJ110" s="49"/>
      <c r="BK110" s="49"/>
      <c r="BL110" s="49"/>
      <c r="BM110" s="285" t="str">
        <v/>
      </c>
      <c r="BN110" s="264">
        <v>0</v>
      </c>
      <c r="BO110" s="109" t="str">
        <f>IF(BO109="","",BN109)</f>
        <v/>
      </c>
      <c r="BP110" s="109" t="str">
        <v/>
      </c>
      <c r="BQ110" s="125"/>
      <c r="BR110" s="264" t="str">
        <v/>
      </c>
      <c r="BS110" s="264">
        <v>0</v>
      </c>
      <c r="BT110" s="109" t="str">
        <f>IF(BT109="","",BS109)</f>
        <v/>
      </c>
      <c r="BU110" s="109" t="str">
        <v/>
      </c>
      <c r="BV110" s="124"/>
      <c r="BW110" s="285" t="str">
        <v/>
      </c>
      <c r="BX110" s="264">
        <v>0</v>
      </c>
      <c r="BY110" s="102" t="str">
        <f>IF(BY109="","",BX109)</f>
        <v xml:space="preserve"> </v>
      </c>
      <c r="BZ110" s="102" t="str">
        <f t="shared" si="17"/>
        <v xml:space="preserve"> </v>
      </c>
      <c r="CA110" s="128"/>
      <c r="CB110" s="63" t="str">
        <f t="shared" si="18"/>
        <v>св</v>
      </c>
      <c r="CC110" s="128"/>
      <c r="CD110" s="159"/>
      <c r="CE110" s="264" t="str">
        <v/>
      </c>
      <c r="CF110" s="264">
        <v>0</v>
      </c>
      <c r="CG110" s="113" t="str">
        <f>IF(CG109="","",CF109)</f>
        <v xml:space="preserve"> </v>
      </c>
      <c r="CH110" s="128" t="str">
        <v xml:space="preserve"> </v>
      </c>
      <c r="CI110" s="115"/>
      <c r="CJ110" s="49" t="str">
        <v/>
      </c>
      <c r="CK110" s="153">
        <v>0</v>
      </c>
      <c r="CL110" s="113" t="str">
        <f>IF(CL109="","",CK109)</f>
        <v xml:space="preserve"> </v>
      </c>
      <c r="CM110" s="49" t="str">
        <v xml:space="preserve"> </v>
      </c>
      <c r="CN110" s="49"/>
      <c r="CO110" s="264" t="str">
        <v/>
      </c>
      <c r="CP110" s="264">
        <v>0</v>
      </c>
      <c r="CQ110" s="113" t="str">
        <f>IF(CQ109="","",CP109)</f>
        <v xml:space="preserve"> </v>
      </c>
      <c r="CR110" s="49" t="str">
        <v xml:space="preserve"> </v>
      </c>
      <c r="CS110" s="152"/>
      <c r="CT110" s="264" t="str">
        <v/>
      </c>
      <c r="CU110" s="264">
        <v>0</v>
      </c>
      <c r="CV110" s="113" t="str">
        <f>IF(CV109="","",CU109)</f>
        <v xml:space="preserve"> </v>
      </c>
      <c r="CW110" s="49" t="str">
        <v xml:space="preserve"> </v>
      </c>
      <c r="CX110" s="49"/>
      <c r="CY110" s="49" t="str">
        <v/>
      </c>
      <c r="CZ110" s="49">
        <v>0</v>
      </c>
      <c r="DA110" s="113" t="str">
        <f>IF(DA109="","",CZ109)</f>
        <v xml:space="preserve"> </v>
      </c>
      <c r="DB110" s="49" t="str">
        <v xml:space="preserve"> </v>
      </c>
      <c r="DC110" s="49"/>
      <c r="DD110" s="49" t="str">
        <v/>
      </c>
      <c r="DE110" s="49"/>
      <c r="DF110" s="49"/>
      <c r="DG110" s="49"/>
      <c r="DH110" s="49"/>
    </row>
    <row r="111" spans="1:112" ht="13.5" hidden="1" customHeight="1">
      <c r="A111" s="54"/>
      <c r="B111" s="268">
        <v>53</v>
      </c>
      <c r="C111" s="270" t="e">
        <f>(VLOOKUP($B111,Пр.взв!$D$6:$J$63,2,0))</f>
        <v>#N/A</v>
      </c>
      <c r="D111" s="271" t="e">
        <f>(VLOOKUP($B111,Пр.взв!$D$6:$J$63,5,0))</f>
        <v>#N/A</v>
      </c>
      <c r="E111" s="272" t="e">
        <f>(VLOOKUP($B111,Пр.взв!$D$6:$M$63,8,0))</f>
        <v>#N/A</v>
      </c>
      <c r="F111" s="273"/>
      <c r="G111" s="169"/>
      <c r="H111" s="266"/>
      <c r="I111" s="169"/>
      <c r="J111" s="266" t="str">
        <f>IF(H111="Х","Х",IF($AC111&lt;6," ","Х"))</f>
        <v xml:space="preserve"> </v>
      </c>
      <c r="K111" s="87"/>
      <c r="L111" s="266" t="str">
        <f>IF(J111="Х","Х",IF(K111&lt;3," ",IF($AC111&lt;6," ","Х")))</f>
        <v xml:space="preserve"> </v>
      </c>
      <c r="M111" s="87"/>
      <c r="N111" s="266" t="str">
        <f>IF(L111="Х","Х",IF(M111&lt;3," ",IF($AC111&lt;6," ","Х")))</f>
        <v xml:space="preserve"> </v>
      </c>
      <c r="O111" s="87"/>
      <c r="P111" s="266" t="str">
        <f>IF(N111="Х","Х",IF(O111&lt;3," ",IF($AC111&lt;6," ","Х")))</f>
        <v xml:space="preserve"> </v>
      </c>
      <c r="Q111" s="87"/>
      <c r="R111" s="266" t="str">
        <f>IF(P111="Х","Х",IF(Q111&lt;3," ",IF($AC111&lt;6," ","Х")))</f>
        <v xml:space="preserve"> </v>
      </c>
      <c r="S111" s="87"/>
      <c r="T111" s="266" t="str">
        <f>IF(R111="Х","Х",IF(S111&lt;3," ",IF($AC111&lt;6," ","Х")))</f>
        <v xml:space="preserve"> </v>
      </c>
      <c r="U111" s="88"/>
      <c r="V111" s="266" t="str">
        <f>IF(T111="Х","Х",IF(U111&lt;3," ",IF($AC111&lt;6," ","Х")))</f>
        <v xml:space="preserve"> </v>
      </c>
      <c r="W111" s="88"/>
      <c r="X111" s="266" t="str">
        <f>IF(V111="А1",$AZ$7,IF(V111="Б2",$AZ$6,IF(V111="Б1",$BA$7,IF(V111="А2",$BA$6,IF(V111="Х","Х",IF(V111&lt;6," "," "))))))</f>
        <v xml:space="preserve"> </v>
      </c>
      <c r="Y111" s="89"/>
      <c r="Z111" s="266" t="str">
        <f>IF(V111="Х","Х",IF(ISBLANK(Y111),"",IF(Y111&gt;2.5," ",IF(B111=BB$6,BB$7,BB$6))))</f>
        <v/>
      </c>
      <c r="AA111" s="89"/>
      <c r="AB111" s="290" t="str">
        <f>IF(H111="Х",F$5,IF(J111="Х",H$5,IF(L111="Х",J$5,IF(N111="Х",L$5,IF(P111="Х",N$5,IF(R111="Х",P$5,IF(T111="Х",R$5,IF(X111="Х",T$5,""))))))))</f>
        <v/>
      </c>
      <c r="AC111" s="276">
        <f>SUM(G111+I111+K111+M111+O111+Q111+S111+U111+Y111+AA111)</f>
        <v>0</v>
      </c>
      <c r="AD111" s="291" t="str">
        <f>AF111</f>
        <v>27-71</v>
      </c>
      <c r="AE111" s="278" t="str">
        <f>AD111</f>
        <v>27-71</v>
      </c>
      <c r="AF111" s="280" t="str">
        <f>COUNTIF(AG$6:AG$148,"&gt;"&amp;AG$6:AG$148)+1&amp;REPT("-"&amp;COUNTIF(AG$6:AG$148,"&gt;="&amp;AG$6:AG$148),COUNTIF(AG$6:AG$148,AG111)&gt;1)</f>
        <v>27-71</v>
      </c>
      <c r="AG111" s="282">
        <f>(AR111*100)+(AP111*10)-AC111</f>
        <v>80</v>
      </c>
      <c r="AH111" s="288" t="str">
        <f>IF(OR(F111="Х",F111="св")," ",IF(AND(G111&gt;=0,G111&lt;3),"1"," "))</f>
        <v>1</v>
      </c>
      <c r="AI111" s="289" t="str">
        <f>IF(OR(H111="Х",H111="св")," ",IF(AND(I111&gt;=0,I111&lt;3),"1"," "))</f>
        <v>1</v>
      </c>
      <c r="AJ111" s="289" t="str">
        <f>IF(OR(J111="Х",J111="св")," ",IF(AND(K111&gt;=0,K111&lt;3),"1"," "))</f>
        <v>1</v>
      </c>
      <c r="AK111" s="289" t="str">
        <f>IF(OR(L111="Х",L111="св")," ",IF(AND(M111&gt;=0,M111&lt;3),"1"," "))</f>
        <v>1</v>
      </c>
      <c r="AL111" s="289" t="str">
        <f>IF(OR(N111="Х",N111="св")," ",IF(AND(O111&gt;=0,O111&lt;3),"1"," "))</f>
        <v>1</v>
      </c>
      <c r="AM111" s="289" t="str">
        <f>IF(OR(P111="Х",P111="св")," ",IF(AND(Q111&gt;=0,Q111&lt;3),"1"," "))</f>
        <v>1</v>
      </c>
      <c r="AN111" s="289" t="str">
        <f>IF(OR(R111="Х",R111="св")," ",IF(AND(S111&gt;=0,S111&lt;3),"1"," "))</f>
        <v>1</v>
      </c>
      <c r="AO111" s="289" t="str">
        <f>IF(OR(T111="Х",T111="св")," ",IF(AND(U111&gt;=0,U111&lt;3),"1"," "))</f>
        <v>1</v>
      </c>
      <c r="AP111" s="289">
        <f>COUNTIF(AH111:AO112,1)</f>
        <v>8</v>
      </c>
      <c r="AQ111" s="289">
        <f>AG111-AC111</f>
        <v>80</v>
      </c>
      <c r="AR111" s="292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289" t="str">
        <f>COUNTIF(AG$6:AG$134,"&gt;"&amp;AG$6:AG$134)+1&amp;REPT("-"&amp;COUNTIF(AG$6:AG$134,"&gt;="&amp;AG$6:AG$134),COUNTIF(AG$6:AG$134,AG111)&gt;1)</f>
        <v>27-64</v>
      </c>
      <c r="AT111" s="288" t="str">
        <f t="shared" ref="AT111:AW111" si="57">COUNTIF(AU$6:AU$134,"&gt;"&amp;AU$6:AU$134)+1&amp;REPT("-"&amp;COUNTIF(AU$6:AU$134,"&gt;="&amp;AU$6:AU$134),COUNTIF(AU$6:AU$134,AU111)&gt;1)</f>
        <v>1-64</v>
      </c>
      <c r="AU111" s="288" t="str">
        <f t="shared" si="57"/>
        <v>1-0</v>
      </c>
      <c r="AV111" s="288" t="str">
        <f t="shared" si="57"/>
        <v>1</v>
      </c>
      <c r="AW111" s="288" t="str">
        <f t="shared" si="57"/>
        <v>12</v>
      </c>
      <c r="AX111" s="293">
        <f>IF(X111="Х","Х",IF(Y111&lt;3,B111,"Х"))</f>
        <v>53</v>
      </c>
      <c r="AY111" s="49">
        <f ca="1"/>
        <v>0</v>
      </c>
      <c r="AZ111" s="49"/>
      <c r="BA111" s="49">
        <f ca="1"/>
        <v>0</v>
      </c>
      <c r="BB111" s="49"/>
      <c r="BC111" s="49">
        <f ca="1"/>
        <v>0</v>
      </c>
      <c r="BD111" s="49">
        <f ca="1"/>
        <v>0</v>
      </c>
      <c r="BE111" s="49">
        <f ca="1"/>
        <v>0</v>
      </c>
      <c r="BF111" s="49">
        <f ca="1"/>
        <v>0</v>
      </c>
      <c r="BG111" s="49">
        <f ca="1"/>
        <v>0</v>
      </c>
      <c r="BH111" s="49">
        <f ca="1"/>
        <v>0</v>
      </c>
      <c r="BI111" s="49"/>
      <c r="BJ111" s="49"/>
      <c r="BK111" s="49"/>
      <c r="BL111" s="49"/>
      <c r="BM111" s="294">
        <v>53</v>
      </c>
      <c r="BN111" s="287">
        <v>0</v>
      </c>
      <c r="BO111" s="98" t="str">
        <f>IF(BM111&lt;BN111,BM111,"")</f>
        <v/>
      </c>
      <c r="BP111" s="124" t="str">
        <v/>
      </c>
      <c r="BQ111" s="125"/>
      <c r="BR111" s="295" t="str">
        <v/>
      </c>
      <c r="BS111" s="287">
        <v>0</v>
      </c>
      <c r="BT111" s="109" t="str">
        <f>IF(BR111&lt;BS111,BR111,"")</f>
        <v/>
      </c>
      <c r="BU111" s="124" t="str">
        <v/>
      </c>
      <c r="BV111" s="124"/>
      <c r="BW111" s="284">
        <v>53</v>
      </c>
      <c r="BX111" s="286" t="str">
        <v xml:space="preserve"> </v>
      </c>
      <c r="BY111" s="102">
        <f t="array" ref="BY111">IF(BW111&lt;BX111,BW111,"")</f>
        <v>53</v>
      </c>
      <c r="BZ111" s="102">
        <f t="shared" si="17"/>
        <v>53</v>
      </c>
      <c r="CA111" s="63"/>
      <c r="CB111" s="63" t="str">
        <f t="shared" si="18"/>
        <v>св</v>
      </c>
      <c r="CC111" s="128"/>
      <c r="CD111" s="159"/>
      <c r="CE111" s="286">
        <v>53</v>
      </c>
      <c r="CF111" s="296" t="str">
        <v xml:space="preserve"> </v>
      </c>
      <c r="CG111" s="98">
        <f t="array" ref="CG111">IF(CE111&lt;CF111,CE111,"")</f>
        <v>53</v>
      </c>
      <c r="CH111" s="63">
        <v>53</v>
      </c>
      <c r="CI111" s="115"/>
      <c r="CJ111" s="65">
        <v>53</v>
      </c>
      <c r="CK111" s="151" t="str">
        <v xml:space="preserve"> </v>
      </c>
      <c r="CL111" s="98">
        <f t="array" ref="CL111">IF(CJ111&lt;CK111,CJ111,"")</f>
        <v>53</v>
      </c>
      <c r="CM111" s="49">
        <v>53</v>
      </c>
      <c r="CN111" s="49"/>
      <c r="CO111" s="286">
        <v>53</v>
      </c>
      <c r="CP111" s="286" t="str">
        <v xml:space="preserve"> </v>
      </c>
      <c r="CQ111" s="98">
        <f t="array" ref="CQ111">IF(CO111&lt;CP111,CO111,"")</f>
        <v>53</v>
      </c>
      <c r="CR111" s="65">
        <v>53</v>
      </c>
      <c r="CS111" s="152"/>
      <c r="CT111" s="286">
        <v>53</v>
      </c>
      <c r="CU111" s="286" t="str">
        <v xml:space="preserve"> </v>
      </c>
      <c r="CV111" s="98">
        <f t="array" ref="CV111">IF(CT111&lt;CU111,CT111,"")</f>
        <v>53</v>
      </c>
      <c r="CW111" s="49">
        <v>53</v>
      </c>
      <c r="CX111" s="49"/>
      <c r="CY111" s="49">
        <v>53</v>
      </c>
      <c r="CZ111" s="49" t="str">
        <v xml:space="preserve"> </v>
      </c>
      <c r="DA111" s="98">
        <f t="array" ref="DA111">IF(CY111&lt;CZ111,CY111,"")</f>
        <v>53</v>
      </c>
      <c r="DB111" s="49">
        <v>53</v>
      </c>
      <c r="DC111" s="49"/>
      <c r="DD111" s="49">
        <v>53</v>
      </c>
      <c r="DE111" s="49"/>
      <c r="DF111" s="49"/>
      <c r="DG111" s="49"/>
      <c r="DH111" s="49"/>
    </row>
    <row r="112" spans="1:112" ht="13.5" hidden="1" customHeight="1">
      <c r="A112" s="54"/>
      <c r="B112" s="269"/>
      <c r="C112" s="269"/>
      <c r="D112" s="269"/>
      <c r="E112" s="269"/>
      <c r="F112" s="274"/>
      <c r="G112" s="106"/>
      <c r="H112" s="267"/>
      <c r="I112" s="106"/>
      <c r="J112" s="267"/>
      <c r="K112" s="106"/>
      <c r="L112" s="267"/>
      <c r="M112" s="106"/>
      <c r="N112" s="267"/>
      <c r="O112" s="106"/>
      <c r="P112" s="267"/>
      <c r="Q112" s="106"/>
      <c r="R112" s="267"/>
      <c r="S112" s="106"/>
      <c r="T112" s="267"/>
      <c r="U112" s="107"/>
      <c r="V112" s="267"/>
      <c r="W112" s="107"/>
      <c r="X112" s="267"/>
      <c r="Y112" s="106"/>
      <c r="Z112" s="267"/>
      <c r="AA112" s="106"/>
      <c r="AB112" s="274"/>
      <c r="AC112" s="269"/>
      <c r="AD112" s="267"/>
      <c r="AE112" s="279"/>
      <c r="AF112" s="281"/>
      <c r="AG112" s="283"/>
      <c r="AH112" s="283"/>
      <c r="AI112" s="283"/>
      <c r="AJ112" s="283"/>
      <c r="AK112" s="283"/>
      <c r="AL112" s="283"/>
      <c r="AM112" s="283"/>
      <c r="AN112" s="283"/>
      <c r="AO112" s="283"/>
      <c r="AP112" s="283"/>
      <c r="AQ112" s="283"/>
      <c r="AR112" s="283"/>
      <c r="AS112" s="283"/>
      <c r="AT112" s="283"/>
      <c r="AU112" s="283"/>
      <c r="AV112" s="283"/>
      <c r="AW112" s="283"/>
      <c r="AX112" s="264"/>
      <c r="AY112" s="49">
        <f ca="1"/>
        <v>0</v>
      </c>
      <c r="AZ112" s="49"/>
      <c r="BA112" s="49">
        <f ca="1"/>
        <v>0</v>
      </c>
      <c r="BB112" s="49"/>
      <c r="BC112" s="49">
        <f ca="1"/>
        <v>0</v>
      </c>
      <c r="BD112" s="49">
        <f ca="1"/>
        <v>0</v>
      </c>
      <c r="BE112" s="49">
        <f ca="1"/>
        <v>0</v>
      </c>
      <c r="BF112" s="49">
        <f ca="1"/>
        <v>0</v>
      </c>
      <c r="BG112" s="49">
        <f ca="1"/>
        <v>0</v>
      </c>
      <c r="BH112" s="49">
        <f ca="1"/>
        <v>0</v>
      </c>
      <c r="BI112" s="49"/>
      <c r="BJ112" s="49"/>
      <c r="BK112" s="49"/>
      <c r="BL112" s="49"/>
      <c r="BM112" s="285" t="str">
        <v/>
      </c>
      <c r="BN112" s="264">
        <v>0</v>
      </c>
      <c r="BO112" s="109" t="str">
        <f>IF(BO111="","",BN111)</f>
        <v/>
      </c>
      <c r="BP112" s="109" t="str">
        <v/>
      </c>
      <c r="BQ112" s="125"/>
      <c r="BR112" s="264" t="str">
        <v/>
      </c>
      <c r="BS112" s="264">
        <v>0</v>
      </c>
      <c r="BT112" s="109" t="str">
        <f>IF(BT111="","",BS111)</f>
        <v/>
      </c>
      <c r="BU112" s="109" t="str">
        <v/>
      </c>
      <c r="BV112" s="124"/>
      <c r="BW112" s="285" t="str">
        <v/>
      </c>
      <c r="BX112" s="264">
        <v>0</v>
      </c>
      <c r="BY112" s="102" t="str">
        <f>IF(BY111="","",BX111)</f>
        <v xml:space="preserve"> </v>
      </c>
      <c r="BZ112" s="102" t="str">
        <f t="shared" si="17"/>
        <v xml:space="preserve"> </v>
      </c>
      <c r="CA112" s="128"/>
      <c r="CB112" s="63" t="str">
        <f t="shared" si="18"/>
        <v>св</v>
      </c>
      <c r="CC112" s="128"/>
      <c r="CD112" s="159"/>
      <c r="CE112" s="264" t="str">
        <v/>
      </c>
      <c r="CF112" s="264">
        <v>0</v>
      </c>
      <c r="CG112" s="113" t="str">
        <f>IF(CG111="","",CF111)</f>
        <v xml:space="preserve"> </v>
      </c>
      <c r="CH112" s="128" t="str">
        <v xml:space="preserve"> </v>
      </c>
      <c r="CI112" s="115"/>
      <c r="CJ112" s="49" t="str">
        <v/>
      </c>
      <c r="CK112" s="153">
        <v>0</v>
      </c>
      <c r="CL112" s="113" t="str">
        <f>IF(CL111="","",CK111)</f>
        <v xml:space="preserve"> </v>
      </c>
      <c r="CM112" s="49" t="str">
        <v xml:space="preserve"> </v>
      </c>
      <c r="CN112" s="49"/>
      <c r="CO112" s="264" t="str">
        <v/>
      </c>
      <c r="CP112" s="264">
        <v>0</v>
      </c>
      <c r="CQ112" s="113" t="str">
        <f>IF(CQ111="","",CP111)</f>
        <v xml:space="preserve"> </v>
      </c>
      <c r="CR112" s="49" t="str">
        <v xml:space="preserve"> </v>
      </c>
      <c r="CS112" s="152"/>
      <c r="CT112" s="264" t="str">
        <v/>
      </c>
      <c r="CU112" s="264">
        <v>0</v>
      </c>
      <c r="CV112" s="113" t="str">
        <f>IF(CV111="","",CU111)</f>
        <v xml:space="preserve"> </v>
      </c>
      <c r="CW112" s="49" t="str">
        <v xml:space="preserve"> </v>
      </c>
      <c r="CX112" s="49"/>
      <c r="CY112" s="49" t="str">
        <v/>
      </c>
      <c r="CZ112" s="49">
        <v>0</v>
      </c>
      <c r="DA112" s="113" t="str">
        <f>IF(DA111="","",CZ111)</f>
        <v xml:space="preserve"> </v>
      </c>
      <c r="DB112" s="49" t="str">
        <v xml:space="preserve"> </v>
      </c>
      <c r="DC112" s="49"/>
      <c r="DD112" s="49" t="str">
        <v/>
      </c>
      <c r="DE112" s="49"/>
      <c r="DF112" s="49"/>
      <c r="DG112" s="49"/>
      <c r="DH112" s="49"/>
    </row>
    <row r="113" spans="1:112" ht="13.5" hidden="1" customHeight="1">
      <c r="A113" s="54"/>
      <c r="B113" s="268">
        <v>54</v>
      </c>
      <c r="C113" s="270" t="e">
        <f>(VLOOKUP($B113,Пр.взв!$D$6:$J$63,2,0))</f>
        <v>#N/A</v>
      </c>
      <c r="D113" s="271" t="e">
        <f>(VLOOKUP($B113,Пр.взв!$D$6:$J$63,5,0))</f>
        <v>#N/A</v>
      </c>
      <c r="E113" s="272" t="e">
        <f>(VLOOKUP($B113,Пр.взв!$D$6:$M$63,8,0))</f>
        <v>#N/A</v>
      </c>
      <c r="F113" s="273"/>
      <c r="G113" s="87"/>
      <c r="H113" s="266"/>
      <c r="I113" s="87"/>
      <c r="J113" s="266" t="str">
        <f>IF(H113="Х","Х",IF($AC113&lt;6," ","Х"))</f>
        <v xml:space="preserve"> </v>
      </c>
      <c r="K113" s="87"/>
      <c r="L113" s="266" t="str">
        <f>IF(J113="Х","Х",IF(K113&lt;3," ",IF($AC113&lt;6," ","Х")))</f>
        <v xml:space="preserve"> </v>
      </c>
      <c r="M113" s="87"/>
      <c r="N113" s="266" t="str">
        <f>IF(L113="Х","Х",IF(M113&lt;3," ",IF($AC113&lt;6," ","Х")))</f>
        <v xml:space="preserve"> </v>
      </c>
      <c r="O113" s="87"/>
      <c r="P113" s="266" t="str">
        <f>IF(N113="Х","Х",IF(O113&lt;3," ",IF($AC113&lt;6," ","Х")))</f>
        <v xml:space="preserve"> </v>
      </c>
      <c r="Q113" s="87"/>
      <c r="R113" s="266" t="str">
        <f>IF(P113="Х","Х",IF(Q113&lt;3," ",IF($AC113&lt;6," ","Х")))</f>
        <v xml:space="preserve"> </v>
      </c>
      <c r="S113" s="87"/>
      <c r="T113" s="266" t="str">
        <f>IF(R113="Х","Х",IF(S113&lt;3," ",IF($AC113&lt;6," ","Х")))</f>
        <v xml:space="preserve"> </v>
      </c>
      <c r="U113" s="88"/>
      <c r="V113" s="266" t="str">
        <f>IF(T113="Х","Х",IF(U113&lt;3," ",IF($AC113&lt;6," ","Х")))</f>
        <v xml:space="preserve"> </v>
      </c>
      <c r="W113" s="88"/>
      <c r="X113" s="266" t="str">
        <f>IF(V113="А1",$AZ$7,IF(V113="Б2",$AZ$6,IF(V113="Б1",$BA$7,IF(V113="А2",$BA$6,IF(V113="Х","Х",IF(V113&lt;6," "," "))))))</f>
        <v xml:space="preserve"> </v>
      </c>
      <c r="Y113" s="89"/>
      <c r="Z113" s="266" t="str">
        <f>IF(V113="Х","Х",IF(ISBLANK(Y113),"",IF(Y113&gt;2.5," ",IF(B113=BB$6,BB$7,BB$6))))</f>
        <v/>
      </c>
      <c r="AA113" s="89"/>
      <c r="AB113" s="290" t="str">
        <f>IF(H113="Х",F$5,IF(J113="Х",H$5,IF(L113="Х",J$5,IF(N113="Х",L$5,IF(P113="Х",N$5,IF(R113="Х",P$5,IF(T113="Х",R$5,IF(X113="Х",T$5,""))))))))</f>
        <v/>
      </c>
      <c r="AC113" s="276">
        <f>SUM(G113+I113+K113+M113+O113+Q113+S113+U113+Y113+AA113)</f>
        <v>0</v>
      </c>
      <c r="AD113" s="291" t="str">
        <f>AF113</f>
        <v>27-71</v>
      </c>
      <c r="AE113" s="278" t="str">
        <f>AD113</f>
        <v>27-71</v>
      </c>
      <c r="AF113" s="280" t="str">
        <f>COUNTIF(AG$6:AG$148,"&gt;"&amp;AG$6:AG$148)+1&amp;REPT("-"&amp;COUNTIF(AG$6:AG$148,"&gt;="&amp;AG$6:AG$148),COUNTIF(AG$6:AG$148,AG113)&gt;1)</f>
        <v>27-71</v>
      </c>
      <c r="AG113" s="282">
        <f>(AR113*100)+(AP113*10)-AC113</f>
        <v>80</v>
      </c>
      <c r="AH113" s="288" t="str">
        <f>IF(OR(F113="Х",F113="св")," ",IF(AND(G113&gt;=0,G113&lt;3),"1"," "))</f>
        <v>1</v>
      </c>
      <c r="AI113" s="289" t="str">
        <f>IF(OR(H113="Х",H113="св")," ",IF(AND(I113&gt;=0,I113&lt;3),"1"," "))</f>
        <v>1</v>
      </c>
      <c r="AJ113" s="289" t="str">
        <f>IF(OR(J113="Х",J113="св")," ",IF(AND(K113&gt;=0,K113&lt;3),"1"," "))</f>
        <v>1</v>
      </c>
      <c r="AK113" s="289" t="str">
        <f>IF(OR(L113="Х",L113="св")," ",IF(AND(M113&gt;=0,M113&lt;3),"1"," "))</f>
        <v>1</v>
      </c>
      <c r="AL113" s="289" t="str">
        <f>IF(OR(N113="Х",N113="св")," ",IF(AND(O113&gt;=0,O113&lt;3),"1"," "))</f>
        <v>1</v>
      </c>
      <c r="AM113" s="289" t="str">
        <f>IF(OR(P113="Х",P113="св")," ",IF(AND(Q113&gt;=0,Q113&lt;3),"1"," "))</f>
        <v>1</v>
      </c>
      <c r="AN113" s="289" t="str">
        <f>IF(OR(R113="Х",R113="св")," ",IF(AND(S113&gt;=0,S113&lt;3),"1"," "))</f>
        <v>1</v>
      </c>
      <c r="AO113" s="289" t="str">
        <f>IF(OR(T113="Х",T113="св")," ",IF(AND(U113&gt;=0,U113&lt;3),"1"," "))</f>
        <v>1</v>
      </c>
      <c r="AP113" s="289">
        <f>COUNTIF(AH113:AO114,1)</f>
        <v>8</v>
      </c>
      <c r="AQ113" s="289">
        <f>AG113-AC113</f>
        <v>80</v>
      </c>
      <c r="AR113" s="292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289" t="str">
        <f>COUNTIF(AG$6:AG$134,"&gt;"&amp;AG$6:AG$134)+1&amp;REPT("-"&amp;COUNTIF(AG$6:AG$134,"&gt;="&amp;AG$6:AG$134),COUNTIF(AG$6:AG$134,AG113)&gt;1)</f>
        <v>27-64</v>
      </c>
      <c r="AT113" s="288" t="str">
        <f t="shared" ref="AT113:AW113" si="58">COUNTIF(AU$6:AU$134,"&gt;"&amp;AU$6:AU$134)+1&amp;REPT("-"&amp;COUNTIF(AU$6:AU$134,"&gt;="&amp;AU$6:AU$134),COUNTIF(AU$6:AU$134,AU113)&gt;1)</f>
        <v>1-64</v>
      </c>
      <c r="AU113" s="288" t="str">
        <f t="shared" si="58"/>
        <v>1-0</v>
      </c>
      <c r="AV113" s="288" t="str">
        <f t="shared" si="58"/>
        <v>1</v>
      </c>
      <c r="AW113" s="288" t="str">
        <f t="shared" si="58"/>
        <v>11</v>
      </c>
      <c r="AX113" s="293">
        <f>IF(X113="Х","Х",IF(Y113&lt;3,B113,"Х"))</f>
        <v>54</v>
      </c>
      <c r="AY113" s="49">
        <f ca="1"/>
        <v>0</v>
      </c>
      <c r="AZ113" s="49"/>
      <c r="BA113" s="49">
        <f ca="1"/>
        <v>0</v>
      </c>
      <c r="BB113" s="49"/>
      <c r="BC113" s="49">
        <f ca="1"/>
        <v>0</v>
      </c>
      <c r="BD113" s="49">
        <f ca="1"/>
        <v>0</v>
      </c>
      <c r="BE113" s="49">
        <f ca="1"/>
        <v>0</v>
      </c>
      <c r="BF113" s="49">
        <f ca="1"/>
        <v>0</v>
      </c>
      <c r="BG113" s="49">
        <f ca="1"/>
        <v>0</v>
      </c>
      <c r="BH113" s="49">
        <f ca="1"/>
        <v>0</v>
      </c>
      <c r="BI113" s="49"/>
      <c r="BJ113" s="49"/>
      <c r="BK113" s="49"/>
      <c r="BL113" s="49"/>
      <c r="BM113" s="294">
        <v>54</v>
      </c>
      <c r="BN113" s="287">
        <v>0</v>
      </c>
      <c r="BO113" s="98" t="str">
        <f>IF(BM113&lt;BN113,BM113,"")</f>
        <v/>
      </c>
      <c r="BP113" s="124" t="str">
        <v/>
      </c>
      <c r="BQ113" s="125"/>
      <c r="BR113" s="295" t="str">
        <v/>
      </c>
      <c r="BS113" s="287">
        <v>0</v>
      </c>
      <c r="BT113" s="109" t="str">
        <f>IF(BR113&lt;BS113,BR113,"")</f>
        <v/>
      </c>
      <c r="BU113" s="124" t="str">
        <v/>
      </c>
      <c r="BV113" s="124"/>
      <c r="BW113" s="284">
        <v>54</v>
      </c>
      <c r="BX113" s="286" t="str">
        <v xml:space="preserve"> </v>
      </c>
      <c r="BY113" s="102">
        <f t="array" ref="BY113">IF(BW113&lt;BX113,BW113,"")</f>
        <v>54</v>
      </c>
      <c r="BZ113" s="102">
        <f t="shared" si="17"/>
        <v>54</v>
      </c>
      <c r="CA113" s="63"/>
      <c r="CB113" s="63" t="str">
        <f t="shared" si="18"/>
        <v>св</v>
      </c>
      <c r="CC113" s="128"/>
      <c r="CD113" s="159"/>
      <c r="CE113" s="286">
        <v>54</v>
      </c>
      <c r="CF113" s="296" t="str">
        <v xml:space="preserve"> </v>
      </c>
      <c r="CG113" s="98">
        <f t="array" ref="CG113">IF(CE113&lt;CF113,CE113,"")</f>
        <v>54</v>
      </c>
      <c r="CH113" s="63">
        <v>54</v>
      </c>
      <c r="CI113" s="115"/>
      <c r="CJ113" s="65">
        <v>54</v>
      </c>
      <c r="CK113" s="151" t="str">
        <v xml:space="preserve"> </v>
      </c>
      <c r="CL113" s="98">
        <f t="array" ref="CL113">IF(CJ113&lt;CK113,CJ113,"")</f>
        <v>54</v>
      </c>
      <c r="CM113" s="49">
        <v>54</v>
      </c>
      <c r="CN113" s="49"/>
      <c r="CO113" s="286">
        <v>54</v>
      </c>
      <c r="CP113" s="286" t="str">
        <v xml:space="preserve"> </v>
      </c>
      <c r="CQ113" s="98">
        <f t="array" ref="CQ113">IF(CO113&lt;CP113,CO113,"")</f>
        <v>54</v>
      </c>
      <c r="CR113" s="65">
        <v>54</v>
      </c>
      <c r="CS113" s="152"/>
      <c r="CT113" s="286">
        <v>54</v>
      </c>
      <c r="CU113" s="286" t="str">
        <v xml:space="preserve"> </v>
      </c>
      <c r="CV113" s="98">
        <f t="array" ref="CV113">IF(CT113&lt;CU113,CT113,"")</f>
        <v>54</v>
      </c>
      <c r="CW113" s="49">
        <v>54</v>
      </c>
      <c r="CX113" s="49"/>
      <c r="CY113" s="49">
        <v>54</v>
      </c>
      <c r="CZ113" s="49" t="str">
        <v xml:space="preserve"> </v>
      </c>
      <c r="DA113" s="98">
        <f t="array" ref="DA113">IF(CY113&lt;CZ113,CY113,"")</f>
        <v>54</v>
      </c>
      <c r="DB113" s="49">
        <v>54</v>
      </c>
      <c r="DC113" s="49"/>
      <c r="DD113" s="49">
        <v>54</v>
      </c>
      <c r="DE113" s="49"/>
      <c r="DF113" s="49"/>
      <c r="DG113" s="49"/>
      <c r="DH113" s="49"/>
    </row>
    <row r="114" spans="1:112" ht="13.5" hidden="1" customHeight="1">
      <c r="A114" s="54"/>
      <c r="B114" s="269"/>
      <c r="C114" s="269"/>
      <c r="D114" s="269"/>
      <c r="E114" s="269"/>
      <c r="F114" s="274"/>
      <c r="G114" s="106"/>
      <c r="H114" s="267"/>
      <c r="I114" s="106"/>
      <c r="J114" s="267"/>
      <c r="K114" s="106"/>
      <c r="L114" s="267"/>
      <c r="M114" s="106"/>
      <c r="N114" s="267"/>
      <c r="O114" s="106"/>
      <c r="P114" s="267"/>
      <c r="Q114" s="106"/>
      <c r="R114" s="267"/>
      <c r="S114" s="106"/>
      <c r="T114" s="267"/>
      <c r="U114" s="107"/>
      <c r="V114" s="267"/>
      <c r="W114" s="107"/>
      <c r="X114" s="267"/>
      <c r="Y114" s="106"/>
      <c r="Z114" s="267"/>
      <c r="AA114" s="106"/>
      <c r="AB114" s="274"/>
      <c r="AC114" s="269"/>
      <c r="AD114" s="267"/>
      <c r="AE114" s="279"/>
      <c r="AF114" s="281"/>
      <c r="AG114" s="283"/>
      <c r="AH114" s="283"/>
      <c r="AI114" s="283"/>
      <c r="AJ114" s="283"/>
      <c r="AK114" s="283"/>
      <c r="AL114" s="283"/>
      <c r="AM114" s="283"/>
      <c r="AN114" s="283"/>
      <c r="AO114" s="283"/>
      <c r="AP114" s="283"/>
      <c r="AQ114" s="283"/>
      <c r="AR114" s="283"/>
      <c r="AS114" s="283"/>
      <c r="AT114" s="283"/>
      <c r="AU114" s="283"/>
      <c r="AV114" s="283"/>
      <c r="AW114" s="283"/>
      <c r="AX114" s="264"/>
      <c r="AY114" s="49">
        <f ca="1"/>
        <v>0</v>
      </c>
      <c r="AZ114" s="49"/>
      <c r="BA114" s="49">
        <f ca="1"/>
        <v>0</v>
      </c>
      <c r="BB114" s="49"/>
      <c r="BC114" s="49">
        <f ca="1"/>
        <v>0</v>
      </c>
      <c r="BD114" s="49">
        <f ca="1"/>
        <v>0</v>
      </c>
      <c r="BE114" s="49">
        <f ca="1"/>
        <v>0</v>
      </c>
      <c r="BF114" s="49">
        <f ca="1"/>
        <v>0</v>
      </c>
      <c r="BG114" s="49">
        <f ca="1"/>
        <v>0</v>
      </c>
      <c r="BH114" s="49">
        <f ca="1"/>
        <v>0</v>
      </c>
      <c r="BI114" s="49"/>
      <c r="BJ114" s="49"/>
      <c r="BK114" s="49"/>
      <c r="BL114" s="49"/>
      <c r="BM114" s="285" t="str">
        <v/>
      </c>
      <c r="BN114" s="264">
        <v>0</v>
      </c>
      <c r="BO114" s="109" t="str">
        <f>IF(BO113="","",BN113)</f>
        <v/>
      </c>
      <c r="BP114" s="109" t="str">
        <v/>
      </c>
      <c r="BQ114" s="125"/>
      <c r="BR114" s="264" t="str">
        <v/>
      </c>
      <c r="BS114" s="264">
        <v>0</v>
      </c>
      <c r="BT114" s="109" t="str">
        <f>IF(BT113="","",BS113)</f>
        <v/>
      </c>
      <c r="BU114" s="109" t="str">
        <v/>
      </c>
      <c r="BV114" s="124"/>
      <c r="BW114" s="285" t="str">
        <v/>
      </c>
      <c r="BX114" s="264">
        <v>0</v>
      </c>
      <c r="BY114" s="102" t="str">
        <f>IF(BY113="","",BX113)</f>
        <v xml:space="preserve"> </v>
      </c>
      <c r="BZ114" s="102" t="str">
        <f t="shared" si="17"/>
        <v xml:space="preserve"> </v>
      </c>
      <c r="CA114" s="128"/>
      <c r="CB114" s="63" t="str">
        <f t="shared" si="18"/>
        <v>св</v>
      </c>
      <c r="CC114" s="128"/>
      <c r="CD114" s="159"/>
      <c r="CE114" s="264" t="str">
        <v/>
      </c>
      <c r="CF114" s="264">
        <v>0</v>
      </c>
      <c r="CG114" s="113" t="str">
        <f>IF(CG113="","",CF113)</f>
        <v xml:space="preserve"> </v>
      </c>
      <c r="CH114" s="128" t="str">
        <v xml:space="preserve"> </v>
      </c>
      <c r="CI114" s="115"/>
      <c r="CJ114" s="49" t="str">
        <v/>
      </c>
      <c r="CK114" s="153">
        <v>0</v>
      </c>
      <c r="CL114" s="113" t="str">
        <f>IF(CL113="","",CK113)</f>
        <v xml:space="preserve"> </v>
      </c>
      <c r="CM114" s="49" t="str">
        <v xml:space="preserve"> </v>
      </c>
      <c r="CN114" s="49"/>
      <c r="CO114" s="264" t="str">
        <v/>
      </c>
      <c r="CP114" s="264">
        <v>0</v>
      </c>
      <c r="CQ114" s="113" t="str">
        <f>IF(CQ113="","",CP113)</f>
        <v xml:space="preserve"> </v>
      </c>
      <c r="CR114" s="49" t="str">
        <v xml:space="preserve"> </v>
      </c>
      <c r="CS114" s="152"/>
      <c r="CT114" s="264" t="str">
        <v/>
      </c>
      <c r="CU114" s="264">
        <v>0</v>
      </c>
      <c r="CV114" s="113" t="str">
        <f>IF(CV113="","",CU113)</f>
        <v xml:space="preserve"> </v>
      </c>
      <c r="CW114" s="49" t="str">
        <v xml:space="preserve"> </v>
      </c>
      <c r="CX114" s="49"/>
      <c r="CY114" s="49" t="str">
        <v/>
      </c>
      <c r="CZ114" s="49">
        <v>0</v>
      </c>
      <c r="DA114" s="113" t="str">
        <f>IF(DA113="","",CZ113)</f>
        <v xml:space="preserve"> </v>
      </c>
      <c r="DB114" s="49" t="str">
        <v xml:space="preserve"> </v>
      </c>
      <c r="DC114" s="49"/>
      <c r="DD114" s="49" t="str">
        <v/>
      </c>
      <c r="DE114" s="49"/>
      <c r="DF114" s="49"/>
      <c r="DG114" s="49"/>
      <c r="DH114" s="49"/>
    </row>
    <row r="115" spans="1:112" ht="13.5" hidden="1" customHeight="1">
      <c r="A115" s="54"/>
      <c r="B115" s="268">
        <v>55</v>
      </c>
      <c r="C115" s="270" t="e">
        <f>(VLOOKUP($B115,Пр.взв!$D$6:$J$63,2,0))</f>
        <v>#N/A</v>
      </c>
      <c r="D115" s="271" t="e">
        <f>(VLOOKUP($B115,Пр.взв!$D$6:$J$63,5,0))</f>
        <v>#N/A</v>
      </c>
      <c r="E115" s="272" t="e">
        <f>(VLOOKUP($B115,Пр.взв!$D$6:$M$63,8,0))</f>
        <v>#N/A</v>
      </c>
      <c r="F115" s="273"/>
      <c r="G115" s="169"/>
      <c r="H115" s="266"/>
      <c r="I115" s="169"/>
      <c r="J115" s="266" t="str">
        <f>IF(H115="Х","Х",IF($AC115&lt;6," ","Х"))</f>
        <v xml:space="preserve"> </v>
      </c>
      <c r="K115" s="87"/>
      <c r="L115" s="266" t="str">
        <f>IF(J115="Х","Х",IF(K115&lt;3," ",IF($AC115&lt;6," ","Х")))</f>
        <v xml:space="preserve"> </v>
      </c>
      <c r="M115" s="87"/>
      <c r="N115" s="266" t="str">
        <f>IF(L115="Х","Х",IF(M115&lt;3," ",IF($AC115&lt;6," ","Х")))</f>
        <v xml:space="preserve"> </v>
      </c>
      <c r="O115" s="87"/>
      <c r="P115" s="266" t="str">
        <f>IF(N115="Х","Х",IF(O115&lt;3," ",IF($AC115&lt;6," ","Х")))</f>
        <v xml:space="preserve"> </v>
      </c>
      <c r="Q115" s="87"/>
      <c r="R115" s="266" t="str">
        <f>IF(P115="Х","Х",IF(Q115&lt;3," ",IF($AC115&lt;6," ","Х")))</f>
        <v xml:space="preserve"> </v>
      </c>
      <c r="S115" s="87"/>
      <c r="T115" s="266" t="str">
        <f>IF(R115="Х","Х",IF(S115&lt;3," ",IF($AC115&lt;6," ","Х")))</f>
        <v xml:space="preserve"> </v>
      </c>
      <c r="U115" s="88"/>
      <c r="V115" s="266" t="str">
        <f>IF(T115="Х","Х",IF(U115&lt;3," ",IF($AC115&lt;6," ","Х")))</f>
        <v xml:space="preserve"> </v>
      </c>
      <c r="W115" s="88"/>
      <c r="X115" s="266" t="str">
        <f>IF(V115="А1",$AZ$7,IF(V115="Б2",$AZ$6,IF(V115="Б1",$BA$7,IF(V115="А2",$BA$6,IF(V115="Х","Х",IF(V115&lt;6," "," "))))))</f>
        <v xml:space="preserve"> </v>
      </c>
      <c r="Y115" s="89"/>
      <c r="Z115" s="266" t="str">
        <f>IF(V115="Х","Х",IF(ISBLANK(Y115),"",IF(Y115&gt;2.5," ",IF(B115=BB$6,BB$7,BB$6))))</f>
        <v/>
      </c>
      <c r="AA115" s="89"/>
      <c r="AB115" s="290" t="str">
        <f>IF(H115="Х",F$5,IF(J115="Х",H$5,IF(L115="Х",J$5,IF(N115="Х",L$5,IF(P115="Х",N$5,IF(R115="Х",P$5,IF(T115="Х",R$5,IF(X115="Х",T$5,""))))))))</f>
        <v/>
      </c>
      <c r="AC115" s="276">
        <f>SUM(G115+I115+K115+M115+O115+Q115+S115+U115+Y115+AA115)</f>
        <v>0</v>
      </c>
      <c r="AD115" s="291" t="str">
        <f>AF115</f>
        <v>27-71</v>
      </c>
      <c r="AE115" s="278" t="str">
        <f>AD115</f>
        <v>27-71</v>
      </c>
      <c r="AF115" s="280" t="str">
        <f>COUNTIF(AG$6:AG$148,"&gt;"&amp;AG$6:AG$148)+1&amp;REPT("-"&amp;COUNTIF(AG$6:AG$148,"&gt;="&amp;AG$6:AG$148),COUNTIF(AG$6:AG$148,AG115)&gt;1)</f>
        <v>27-71</v>
      </c>
      <c r="AG115" s="282">
        <f>(AR115*100)+(AP115*10)-AC115</f>
        <v>80</v>
      </c>
      <c r="AH115" s="288" t="str">
        <f>IF(OR(F115="Х",F115="св")," ",IF(AND(G115&gt;=0,G115&lt;3),"1"," "))</f>
        <v>1</v>
      </c>
      <c r="AI115" s="289" t="str">
        <f>IF(OR(H115="Х",H115="св")," ",IF(AND(I115&gt;=0,I115&lt;3),"1"," "))</f>
        <v>1</v>
      </c>
      <c r="AJ115" s="289" t="str">
        <f>IF(OR(J115="Х",J115="св")," ",IF(AND(K115&gt;=0,K115&lt;3),"1"," "))</f>
        <v>1</v>
      </c>
      <c r="AK115" s="289" t="str">
        <f>IF(OR(L115="Х",L115="св")," ",IF(AND(M115&gt;=0,M115&lt;3),"1"," "))</f>
        <v>1</v>
      </c>
      <c r="AL115" s="289" t="str">
        <f>IF(OR(N115="Х",N115="св")," ",IF(AND(O115&gt;=0,O115&lt;3),"1"," "))</f>
        <v>1</v>
      </c>
      <c r="AM115" s="289" t="str">
        <f>IF(OR(P115="Х",P115="св")," ",IF(AND(Q115&gt;=0,Q115&lt;3),"1"," "))</f>
        <v>1</v>
      </c>
      <c r="AN115" s="289" t="str">
        <f>IF(OR(R115="Х",R115="св")," ",IF(AND(S115&gt;=0,S115&lt;3),"1"," "))</f>
        <v>1</v>
      </c>
      <c r="AO115" s="289" t="str">
        <f>IF(OR(T115="Х",T115="св")," ",IF(AND(U115&gt;=0,U115&lt;3),"1"," "))</f>
        <v>1</v>
      </c>
      <c r="AP115" s="289">
        <f>COUNTIF(AH115:AO116,1)</f>
        <v>8</v>
      </c>
      <c r="AQ115" s="289">
        <f>AG115-AC115</f>
        <v>80</v>
      </c>
      <c r="AR115" s="292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289" t="str">
        <f>COUNTIF(AG$6:AG$134,"&gt;"&amp;AG$6:AG$134)+1&amp;REPT("-"&amp;COUNTIF(AG$6:AG$134,"&gt;="&amp;AG$6:AG$134),COUNTIF(AG$6:AG$134,AG115)&gt;1)</f>
        <v>27-64</v>
      </c>
      <c r="AT115" s="288" t="str">
        <f t="shared" ref="AT115:AW115" si="59">COUNTIF(AU$6:AU$134,"&gt;"&amp;AU$6:AU$134)+1&amp;REPT("-"&amp;COUNTIF(AU$6:AU$134,"&gt;="&amp;AU$6:AU$134),COUNTIF(AU$6:AU$134,AU115)&gt;1)</f>
        <v>1-64</v>
      </c>
      <c r="AU115" s="288" t="str">
        <f t="shared" si="59"/>
        <v>1-0</v>
      </c>
      <c r="AV115" s="288" t="str">
        <f t="shared" si="59"/>
        <v>1</v>
      </c>
      <c r="AW115" s="288" t="str">
        <f t="shared" si="59"/>
        <v>10</v>
      </c>
      <c r="AX115" s="293">
        <f>IF(X115="Х","Х",IF(Y115&lt;3,B115,"Х"))</f>
        <v>55</v>
      </c>
      <c r="AY115" s="49">
        <f ca="1"/>
        <v>0</v>
      </c>
      <c r="AZ115" s="49"/>
      <c r="BA115" s="49">
        <f ca="1"/>
        <v>0</v>
      </c>
      <c r="BB115" s="49"/>
      <c r="BC115" s="49">
        <f ca="1"/>
        <v>0</v>
      </c>
      <c r="BD115" s="49">
        <f ca="1"/>
        <v>0</v>
      </c>
      <c r="BE115" s="49">
        <f ca="1"/>
        <v>0</v>
      </c>
      <c r="BF115" s="49">
        <f ca="1"/>
        <v>0</v>
      </c>
      <c r="BG115" s="49">
        <f ca="1"/>
        <v>0</v>
      </c>
      <c r="BH115" s="49">
        <f ca="1"/>
        <v>0</v>
      </c>
      <c r="BI115" s="49"/>
      <c r="BJ115" s="49"/>
      <c r="BK115" s="49"/>
      <c r="BL115" s="49"/>
      <c r="BM115" s="294">
        <v>55</v>
      </c>
      <c r="BN115" s="287">
        <v>0</v>
      </c>
      <c r="BO115" s="98" t="str">
        <f>IF(BM115&lt;BN115,BM115,"")</f>
        <v/>
      </c>
      <c r="BP115" s="124" t="str">
        <v/>
      </c>
      <c r="BQ115" s="125"/>
      <c r="BR115" s="295" t="str">
        <v/>
      </c>
      <c r="BS115" s="287">
        <v>0</v>
      </c>
      <c r="BT115" s="109" t="str">
        <f>IF(BR115&lt;BS115,BR115,"")</f>
        <v/>
      </c>
      <c r="BU115" s="124" t="str">
        <v/>
      </c>
      <c r="BV115" s="124"/>
      <c r="BW115" s="284">
        <v>55</v>
      </c>
      <c r="BX115" s="286" t="str">
        <v xml:space="preserve"> </v>
      </c>
      <c r="BY115" s="102">
        <f t="array" ref="BY115">IF(BW115&lt;BX115,BW115,"")</f>
        <v>55</v>
      </c>
      <c r="BZ115" s="102">
        <f t="shared" si="17"/>
        <v>55</v>
      </c>
      <c r="CA115" s="63"/>
      <c r="CB115" s="63" t="str">
        <f t="shared" si="18"/>
        <v>св</v>
      </c>
      <c r="CC115" s="128"/>
      <c r="CD115" s="159"/>
      <c r="CE115" s="286">
        <v>55</v>
      </c>
      <c r="CF115" s="296" t="str">
        <v xml:space="preserve"> </v>
      </c>
      <c r="CG115" s="98">
        <f t="array" ref="CG115">IF(CE115&lt;CF115,CE115,"")</f>
        <v>55</v>
      </c>
      <c r="CH115" s="63">
        <v>55</v>
      </c>
      <c r="CI115" s="115"/>
      <c r="CJ115" s="65">
        <v>55</v>
      </c>
      <c r="CK115" s="151" t="str">
        <v xml:space="preserve"> </v>
      </c>
      <c r="CL115" s="98">
        <f t="array" ref="CL115">IF(CJ115&lt;CK115,CJ115,"")</f>
        <v>55</v>
      </c>
      <c r="CM115" s="49">
        <v>55</v>
      </c>
      <c r="CN115" s="49"/>
      <c r="CO115" s="286">
        <v>55</v>
      </c>
      <c r="CP115" s="286" t="str">
        <v xml:space="preserve"> </v>
      </c>
      <c r="CQ115" s="98">
        <f t="array" ref="CQ115">IF(CO115&lt;CP115,CO115,"")</f>
        <v>55</v>
      </c>
      <c r="CR115" s="65">
        <v>55</v>
      </c>
      <c r="CS115" s="152"/>
      <c r="CT115" s="286">
        <v>55</v>
      </c>
      <c r="CU115" s="286" t="str">
        <v xml:space="preserve"> </v>
      </c>
      <c r="CV115" s="98">
        <f t="array" ref="CV115">IF(CT115&lt;CU115,CT115,"")</f>
        <v>55</v>
      </c>
      <c r="CW115" s="49">
        <v>55</v>
      </c>
      <c r="CX115" s="49"/>
      <c r="CY115" s="49">
        <v>55</v>
      </c>
      <c r="CZ115" s="49" t="str">
        <v xml:space="preserve"> </v>
      </c>
      <c r="DA115" s="98">
        <f t="array" ref="DA115">IF(CY115&lt;CZ115,CY115,"")</f>
        <v>55</v>
      </c>
      <c r="DB115" s="49">
        <v>55</v>
      </c>
      <c r="DC115" s="49"/>
      <c r="DD115" s="49">
        <v>55</v>
      </c>
      <c r="DE115" s="49"/>
      <c r="DF115" s="49"/>
      <c r="DG115" s="49"/>
      <c r="DH115" s="49"/>
    </row>
    <row r="116" spans="1:112" ht="13.5" hidden="1" customHeight="1">
      <c r="A116" s="54"/>
      <c r="B116" s="269"/>
      <c r="C116" s="269"/>
      <c r="D116" s="269"/>
      <c r="E116" s="269"/>
      <c r="F116" s="274"/>
      <c r="G116" s="106"/>
      <c r="H116" s="267"/>
      <c r="I116" s="106"/>
      <c r="J116" s="267"/>
      <c r="K116" s="106"/>
      <c r="L116" s="267"/>
      <c r="M116" s="106"/>
      <c r="N116" s="267"/>
      <c r="O116" s="106"/>
      <c r="P116" s="267"/>
      <c r="Q116" s="106"/>
      <c r="R116" s="267"/>
      <c r="S116" s="106"/>
      <c r="T116" s="267"/>
      <c r="U116" s="107"/>
      <c r="V116" s="267"/>
      <c r="W116" s="107"/>
      <c r="X116" s="267"/>
      <c r="Y116" s="106"/>
      <c r="Z116" s="267"/>
      <c r="AA116" s="106"/>
      <c r="AB116" s="274"/>
      <c r="AC116" s="269"/>
      <c r="AD116" s="267"/>
      <c r="AE116" s="279"/>
      <c r="AF116" s="281"/>
      <c r="AG116" s="283"/>
      <c r="AH116" s="283"/>
      <c r="AI116" s="283"/>
      <c r="AJ116" s="283"/>
      <c r="AK116" s="283"/>
      <c r="AL116" s="283"/>
      <c r="AM116" s="283"/>
      <c r="AN116" s="283"/>
      <c r="AO116" s="283"/>
      <c r="AP116" s="283"/>
      <c r="AQ116" s="283"/>
      <c r="AR116" s="283"/>
      <c r="AS116" s="283"/>
      <c r="AT116" s="283"/>
      <c r="AU116" s="283"/>
      <c r="AV116" s="283"/>
      <c r="AW116" s="283"/>
      <c r="AX116" s="264"/>
      <c r="AY116" s="49">
        <f ca="1"/>
        <v>0</v>
      </c>
      <c r="AZ116" s="49"/>
      <c r="BA116" s="49">
        <f ca="1"/>
        <v>0</v>
      </c>
      <c r="BB116" s="49"/>
      <c r="BC116" s="49">
        <f ca="1"/>
        <v>0</v>
      </c>
      <c r="BD116" s="49">
        <f ca="1"/>
        <v>0</v>
      </c>
      <c r="BE116" s="49">
        <f ca="1"/>
        <v>0</v>
      </c>
      <c r="BF116" s="49">
        <f ca="1"/>
        <v>0</v>
      </c>
      <c r="BG116" s="49">
        <f ca="1"/>
        <v>0</v>
      </c>
      <c r="BH116" s="49">
        <f ca="1"/>
        <v>0</v>
      </c>
      <c r="BI116" s="49"/>
      <c r="BJ116" s="49"/>
      <c r="BK116" s="49"/>
      <c r="BL116" s="49"/>
      <c r="BM116" s="285" t="str">
        <v/>
      </c>
      <c r="BN116" s="264">
        <v>0</v>
      </c>
      <c r="BO116" s="109" t="str">
        <f>IF(BO115="","",BN115)</f>
        <v/>
      </c>
      <c r="BP116" s="109" t="str">
        <v/>
      </c>
      <c r="BQ116" s="125"/>
      <c r="BR116" s="264" t="str">
        <v/>
      </c>
      <c r="BS116" s="264">
        <v>0</v>
      </c>
      <c r="BT116" s="109" t="str">
        <f>IF(BT115="","",BS115)</f>
        <v/>
      </c>
      <c r="BU116" s="109" t="str">
        <v/>
      </c>
      <c r="BV116" s="124"/>
      <c r="BW116" s="285" t="str">
        <v/>
      </c>
      <c r="BX116" s="264">
        <v>0</v>
      </c>
      <c r="BY116" s="102" t="str">
        <f>IF(BY115="","",BX115)</f>
        <v xml:space="preserve"> </v>
      </c>
      <c r="BZ116" s="102" t="str">
        <f t="shared" si="17"/>
        <v xml:space="preserve"> </v>
      </c>
      <c r="CA116" s="128"/>
      <c r="CB116" s="63" t="str">
        <f t="shared" si="18"/>
        <v>св</v>
      </c>
      <c r="CC116" s="128"/>
      <c r="CD116" s="159"/>
      <c r="CE116" s="264" t="str">
        <v/>
      </c>
      <c r="CF116" s="264">
        <v>0</v>
      </c>
      <c r="CG116" s="113" t="str">
        <f>IF(CG115="","",CF115)</f>
        <v xml:space="preserve"> </v>
      </c>
      <c r="CH116" s="128" t="str">
        <v xml:space="preserve"> </v>
      </c>
      <c r="CI116" s="49"/>
      <c r="CJ116" s="49" t="str">
        <v/>
      </c>
      <c r="CK116" s="153">
        <v>0</v>
      </c>
      <c r="CL116" s="113" t="str">
        <f>IF(CL115="","",CK115)</f>
        <v xml:space="preserve"> </v>
      </c>
      <c r="CM116" s="49" t="str">
        <v xml:space="preserve"> </v>
      </c>
      <c r="CN116" s="49"/>
      <c r="CO116" s="264" t="str">
        <v/>
      </c>
      <c r="CP116" s="264">
        <v>0</v>
      </c>
      <c r="CQ116" s="113" t="str">
        <f>IF(CQ115="","",CP115)</f>
        <v xml:space="preserve"> </v>
      </c>
      <c r="CR116" s="49" t="str">
        <v xml:space="preserve"> </v>
      </c>
      <c r="CS116" s="49"/>
      <c r="CT116" s="264" t="str">
        <v/>
      </c>
      <c r="CU116" s="264">
        <v>0</v>
      </c>
      <c r="CV116" s="113" t="str">
        <f>IF(CV115="","",CU115)</f>
        <v xml:space="preserve"> </v>
      </c>
      <c r="CW116" s="49" t="str">
        <v xml:space="preserve"> </v>
      </c>
      <c r="CX116" s="49"/>
      <c r="CY116" s="49" t="str">
        <v/>
      </c>
      <c r="CZ116" s="49">
        <v>0</v>
      </c>
      <c r="DA116" s="113" t="str">
        <f>IF(DA115="","",CZ115)</f>
        <v xml:space="preserve"> </v>
      </c>
      <c r="DB116" s="49" t="str">
        <v xml:space="preserve"> </v>
      </c>
      <c r="DC116" s="49"/>
      <c r="DD116" s="49" t="str">
        <v/>
      </c>
      <c r="DE116" s="49"/>
      <c r="DF116" s="49"/>
      <c r="DG116" s="49"/>
      <c r="DH116" s="49"/>
    </row>
    <row r="117" spans="1:112" ht="13.5" hidden="1" customHeight="1">
      <c r="A117" s="54"/>
      <c r="B117" s="299">
        <v>56</v>
      </c>
      <c r="C117" s="270" t="e">
        <f>(VLOOKUP($B117,Пр.взв!$D$6:$J$63,2,0))</f>
        <v>#N/A</v>
      </c>
      <c r="D117" s="271" t="e">
        <f>(VLOOKUP($B117,Пр.взв!$D$6:$J$63,5,0))</f>
        <v>#N/A</v>
      </c>
      <c r="E117" s="272" t="e">
        <f>(VLOOKUP($B117,Пр.взв!$D$6:$M$63,8,0))</f>
        <v>#N/A</v>
      </c>
      <c r="F117" s="273"/>
      <c r="G117" s="87"/>
      <c r="H117" s="266"/>
      <c r="I117" s="89"/>
      <c r="J117" s="266" t="str">
        <f>IF(H117="Х","Х",IF($AC117&lt;6," ","Х"))</f>
        <v xml:space="preserve"> </v>
      </c>
      <c r="K117" s="87"/>
      <c r="L117" s="266" t="str">
        <f>IF(J117="Х","Х",IF(K117&lt;3," ",IF($AC117&lt;6," ","Х")))</f>
        <v xml:space="preserve"> </v>
      </c>
      <c r="M117" s="87"/>
      <c r="N117" s="266" t="str">
        <f>IF(L117="Х","Х",IF(M117&lt;3," ",IF($AC117&lt;6," ","Х")))</f>
        <v xml:space="preserve"> </v>
      </c>
      <c r="O117" s="87"/>
      <c r="P117" s="266" t="str">
        <f>IF(N117="Х","Х",IF(O117&lt;3," ",IF($AC117&lt;6," ","Х")))</f>
        <v xml:space="preserve"> </v>
      </c>
      <c r="Q117" s="87"/>
      <c r="R117" s="266" t="str">
        <f>IF(P117="Х","Х",IF(Q117&lt;3," ",IF($AC117&lt;6," ","Х")))</f>
        <v xml:space="preserve"> </v>
      </c>
      <c r="S117" s="87"/>
      <c r="T117" s="266" t="str">
        <f>IF(R117="Х","Х",IF(S117&lt;3," ",IF($AC117&lt;6," ","Х")))</f>
        <v xml:space="preserve"> </v>
      </c>
      <c r="U117" s="88"/>
      <c r="V117" s="266" t="str">
        <f>IF(T117="Х","Х",IF(U117&lt;3," ",IF($AC117&lt;6," ","Х")))</f>
        <v xml:space="preserve"> </v>
      </c>
      <c r="W117" s="88"/>
      <c r="X117" s="266" t="str">
        <f>IF(V117="А1",$AZ$7,IF(V117="Б2",$AZ$6,IF(V117="Б1",$BA$7,IF(V117="А2",$BA$6,IF(V117="Х","Х",IF(V117&lt;6," "," "))))))</f>
        <v xml:space="preserve"> </v>
      </c>
      <c r="Y117" s="89"/>
      <c r="Z117" s="266" t="str">
        <f>IF(V117="Х","Х",IF(ISBLANK(Y117),"",IF(Y117&gt;2.5," ",IF(B117=BB$6,BB$7,BB$6))))</f>
        <v/>
      </c>
      <c r="AA117" s="89"/>
      <c r="AB117" s="290" t="str">
        <f>IF(H117="Х",F$5,IF(J117="Х",H$5,IF(L117="Х",J$5,IF(N117="Х",L$5,IF(P117="Х",N$5,IF(R117="Х",P$5,IF(T117="Х",R$5,IF(X117="Х",T$5,""))))))))</f>
        <v/>
      </c>
      <c r="AC117" s="276">
        <f>SUM(G117+I117+K117+M117+O117+Q117+S117+U117+Y117+AA117)</f>
        <v>0</v>
      </c>
      <c r="AD117" s="291" t="str">
        <f>AF117</f>
        <v>27-71</v>
      </c>
      <c r="AE117" s="278" t="str">
        <f>AD117</f>
        <v>27-71</v>
      </c>
      <c r="AF117" s="280" t="str">
        <f>COUNTIF(AG$6:AG$148,"&gt;"&amp;AG$6:AG$148)+1&amp;REPT("-"&amp;COUNTIF(AG$6:AG$148,"&gt;="&amp;AG$6:AG$148),COUNTIF(AG$6:AG$148,AG117)&gt;1)</f>
        <v>27-71</v>
      </c>
      <c r="AG117" s="282">
        <f>(AR117*100)+(AP117*10)-AC117</f>
        <v>80</v>
      </c>
      <c r="AH117" s="288" t="str">
        <f>IF(OR(F117="Х",F117="св")," ",IF(AND(G117&gt;=0,G117&lt;3),"1"," "))</f>
        <v>1</v>
      </c>
      <c r="AI117" s="289" t="str">
        <f>IF(OR(H117="Х",H117="св")," ",IF(AND(I117&gt;=0,I117&lt;3),"1"," "))</f>
        <v>1</v>
      </c>
      <c r="AJ117" s="289" t="str">
        <f>IF(OR(J117="Х",J117="св")," ",IF(AND(K117&gt;=0,K117&lt;3),"1"," "))</f>
        <v>1</v>
      </c>
      <c r="AK117" s="289" t="str">
        <f>IF(OR(L117="Х",L117="св")," ",IF(AND(M117&gt;=0,M117&lt;3),"1"," "))</f>
        <v>1</v>
      </c>
      <c r="AL117" s="289" t="str">
        <f>IF(OR(N117="Х",N117="св")," ",IF(AND(O117&gt;=0,O117&lt;3),"1"," "))</f>
        <v>1</v>
      </c>
      <c r="AM117" s="289" t="str">
        <f>IF(OR(P117="Х",P117="св")," ",IF(AND(Q117&gt;=0,Q117&lt;3),"1"," "))</f>
        <v>1</v>
      </c>
      <c r="AN117" s="289" t="str">
        <f>IF(OR(R117="Х",R117="св")," ",IF(AND(S117&gt;=0,S117&lt;3),"1"," "))</f>
        <v>1</v>
      </c>
      <c r="AO117" s="289" t="str">
        <f>IF(OR(T117="Х",T117="св")," ",IF(AND(U117&gt;=0,U117&lt;3),"1"," "))</f>
        <v>1</v>
      </c>
      <c r="AP117" s="289">
        <f>COUNTIF(AH117:AO118,1)</f>
        <v>8</v>
      </c>
      <c r="AQ117" s="289">
        <f>AG117-AC117</f>
        <v>80</v>
      </c>
      <c r="AR117" s="292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289" t="str">
        <f>COUNTIF(AG$6:AG$134,"&gt;"&amp;AG$6:AG$134)+1&amp;REPT("-"&amp;COUNTIF(AG$6:AG$134,"&gt;="&amp;AG$6:AG$134),COUNTIF(AG$6:AG$134,AG117)&gt;1)</f>
        <v>27-64</v>
      </c>
      <c r="AT117" s="288" t="str">
        <f t="shared" ref="AT117:AW117" si="60">COUNTIF(AU$6:AU$134,"&gt;"&amp;AU$6:AU$134)+1&amp;REPT("-"&amp;COUNTIF(AU$6:AU$134,"&gt;="&amp;AU$6:AU$134),COUNTIF(AU$6:AU$134,AU117)&gt;1)</f>
        <v>1-64</v>
      </c>
      <c r="AU117" s="288" t="str">
        <f t="shared" si="60"/>
        <v>1-0</v>
      </c>
      <c r="AV117" s="288" t="str">
        <f t="shared" si="60"/>
        <v>1</v>
      </c>
      <c r="AW117" s="288" t="str">
        <f t="shared" si="60"/>
        <v>9</v>
      </c>
      <c r="AX117" s="293">
        <f>IF(X117="Х","Х",IF(Y117&lt;3,B117,"Х"))</f>
        <v>56</v>
      </c>
      <c r="AY117" s="49">
        <f ca="1"/>
        <v>0</v>
      </c>
      <c r="AZ117" s="49"/>
      <c r="BA117" s="49">
        <f ca="1"/>
        <v>0</v>
      </c>
      <c r="BB117" s="49"/>
      <c r="BC117" s="49">
        <f ca="1"/>
        <v>0</v>
      </c>
      <c r="BD117" s="49">
        <f ca="1"/>
        <v>0</v>
      </c>
      <c r="BE117" s="49">
        <f ca="1"/>
        <v>0</v>
      </c>
      <c r="BF117" s="49">
        <f ca="1"/>
        <v>0</v>
      </c>
      <c r="BG117" s="49">
        <f ca="1"/>
        <v>0</v>
      </c>
      <c r="BH117" s="49">
        <f ca="1"/>
        <v>0</v>
      </c>
      <c r="BI117" s="49"/>
      <c r="BJ117" s="49"/>
      <c r="BK117" s="49"/>
      <c r="BL117" s="49"/>
      <c r="BM117" s="294">
        <v>56</v>
      </c>
      <c r="BN117" s="287">
        <v>0</v>
      </c>
      <c r="BO117" s="98" t="str">
        <f>IF(BM117&lt;BN117,BM117,"")</f>
        <v/>
      </c>
      <c r="BP117" s="124" t="str">
        <v/>
      </c>
      <c r="BQ117" s="125"/>
      <c r="BR117" s="295" t="str">
        <v/>
      </c>
      <c r="BS117" s="287">
        <v>0</v>
      </c>
      <c r="BT117" s="109" t="str">
        <f>IF(BR117&lt;BS117,BR117,"")</f>
        <v/>
      </c>
      <c r="BU117" s="124" t="str">
        <v/>
      </c>
      <c r="BV117" s="124"/>
      <c r="BW117" s="284">
        <v>56</v>
      </c>
      <c r="BX117" s="286" t="str">
        <v xml:space="preserve"> </v>
      </c>
      <c r="BY117" s="102">
        <f t="array" ref="BY117">IF(BW117&lt;BX117,BW117,"")</f>
        <v>56</v>
      </c>
      <c r="BZ117" s="102">
        <f t="shared" si="17"/>
        <v>56</v>
      </c>
      <c r="CA117" s="63"/>
      <c r="CB117" s="63" t="str">
        <f t="shared" si="18"/>
        <v>св</v>
      </c>
      <c r="CC117" s="128"/>
      <c r="CD117" s="159"/>
      <c r="CE117" s="286">
        <v>56</v>
      </c>
      <c r="CF117" s="296" t="str">
        <v xml:space="preserve"> </v>
      </c>
      <c r="CG117" s="98">
        <f t="array" ref="CG117">IF(CE117&lt;CF117,CE117,"")</f>
        <v>56</v>
      </c>
      <c r="CH117" s="63">
        <v>56</v>
      </c>
      <c r="CI117" s="49"/>
      <c r="CJ117" s="65">
        <v>56</v>
      </c>
      <c r="CK117" s="151" t="str">
        <v xml:space="preserve"> </v>
      </c>
      <c r="CL117" s="98">
        <f t="array" ref="CL117">IF(CJ117&lt;CK117,CJ117,"")</f>
        <v>56</v>
      </c>
      <c r="CM117" s="49">
        <v>56</v>
      </c>
      <c r="CN117" s="49"/>
      <c r="CO117" s="286">
        <v>56</v>
      </c>
      <c r="CP117" s="286" t="str">
        <v xml:space="preserve"> </v>
      </c>
      <c r="CQ117" s="98">
        <f t="array" ref="CQ117">IF(CO117&lt;CP117,CO117,"")</f>
        <v>56</v>
      </c>
      <c r="CR117" s="65">
        <v>56</v>
      </c>
      <c r="CS117" s="49"/>
      <c r="CT117" s="286">
        <v>56</v>
      </c>
      <c r="CU117" s="286" t="str">
        <v xml:space="preserve"> </v>
      </c>
      <c r="CV117" s="98">
        <f t="array" ref="CV117">IF(CT117&lt;CU117,CT117,"")</f>
        <v>56</v>
      </c>
      <c r="CW117" s="49">
        <v>56</v>
      </c>
      <c r="CX117" s="49"/>
      <c r="CY117" s="49">
        <v>56</v>
      </c>
      <c r="CZ117" s="49" t="str">
        <v xml:space="preserve"> </v>
      </c>
      <c r="DA117" s="98">
        <f t="array" ref="DA117">IF(CY117&lt;CZ117,CY117,"")</f>
        <v>56</v>
      </c>
      <c r="DB117" s="49">
        <v>56</v>
      </c>
      <c r="DC117" s="49"/>
      <c r="DD117" s="49">
        <v>56</v>
      </c>
      <c r="DE117" s="49"/>
      <c r="DF117" s="49"/>
      <c r="DG117" s="49"/>
      <c r="DH117" s="49"/>
    </row>
    <row r="118" spans="1:112" ht="13.5" hidden="1" customHeight="1">
      <c r="A118" s="54"/>
      <c r="B118" s="269"/>
      <c r="C118" s="269"/>
      <c r="D118" s="269"/>
      <c r="E118" s="269"/>
      <c r="F118" s="274"/>
      <c r="G118" s="106"/>
      <c r="H118" s="267"/>
      <c r="I118" s="106"/>
      <c r="J118" s="267"/>
      <c r="K118" s="106"/>
      <c r="L118" s="267"/>
      <c r="M118" s="106"/>
      <c r="N118" s="267"/>
      <c r="O118" s="106"/>
      <c r="P118" s="267"/>
      <c r="Q118" s="106"/>
      <c r="R118" s="267"/>
      <c r="S118" s="106"/>
      <c r="T118" s="267"/>
      <c r="U118" s="107"/>
      <c r="V118" s="267"/>
      <c r="W118" s="107"/>
      <c r="X118" s="267"/>
      <c r="Y118" s="106"/>
      <c r="Z118" s="267"/>
      <c r="AA118" s="106"/>
      <c r="AB118" s="274"/>
      <c r="AC118" s="269"/>
      <c r="AD118" s="267"/>
      <c r="AE118" s="279"/>
      <c r="AF118" s="281"/>
      <c r="AG118" s="283"/>
      <c r="AH118" s="283"/>
      <c r="AI118" s="283"/>
      <c r="AJ118" s="283"/>
      <c r="AK118" s="283"/>
      <c r="AL118" s="283"/>
      <c r="AM118" s="283"/>
      <c r="AN118" s="283"/>
      <c r="AO118" s="283"/>
      <c r="AP118" s="283"/>
      <c r="AQ118" s="283"/>
      <c r="AR118" s="283"/>
      <c r="AS118" s="283"/>
      <c r="AT118" s="283"/>
      <c r="AU118" s="283"/>
      <c r="AV118" s="283"/>
      <c r="AW118" s="283"/>
      <c r="AX118" s="264"/>
      <c r="AY118" s="49">
        <f ca="1"/>
        <v>0</v>
      </c>
      <c r="AZ118" s="49"/>
      <c r="BA118" s="49">
        <f ca="1"/>
        <v>0</v>
      </c>
      <c r="BB118" s="49"/>
      <c r="BC118" s="49">
        <f ca="1"/>
        <v>0</v>
      </c>
      <c r="BD118" s="49">
        <f ca="1"/>
        <v>0</v>
      </c>
      <c r="BE118" s="49">
        <f ca="1"/>
        <v>0</v>
      </c>
      <c r="BF118" s="49">
        <f ca="1"/>
        <v>0</v>
      </c>
      <c r="BG118" s="49">
        <f ca="1"/>
        <v>0</v>
      </c>
      <c r="BH118" s="49">
        <f ca="1"/>
        <v>0</v>
      </c>
      <c r="BI118" s="49"/>
      <c r="BJ118" s="49"/>
      <c r="BK118" s="49"/>
      <c r="BL118" s="49"/>
      <c r="BM118" s="359" t="str">
        <v/>
      </c>
      <c r="BN118" s="324">
        <v>0</v>
      </c>
      <c r="BO118" s="109" t="str">
        <f>IF(BO117="","",BN117)</f>
        <v/>
      </c>
      <c r="BP118" s="171" t="str">
        <v/>
      </c>
      <c r="BQ118" s="172"/>
      <c r="BR118" s="264" t="str">
        <v/>
      </c>
      <c r="BS118" s="264">
        <v>0</v>
      </c>
      <c r="BT118" s="109" t="str">
        <f>IF(BT117="","",BS117)</f>
        <v/>
      </c>
      <c r="BU118" s="109" t="str">
        <v/>
      </c>
      <c r="BV118" s="124"/>
      <c r="BW118" s="359" t="str">
        <v/>
      </c>
      <c r="BX118" s="324">
        <v>0</v>
      </c>
      <c r="BY118" s="102" t="str">
        <f>IF(BY117="","",BX117)</f>
        <v xml:space="preserve"> </v>
      </c>
      <c r="BZ118" s="173" t="str">
        <f t="shared" si="17"/>
        <v xml:space="preserve"> </v>
      </c>
      <c r="CA118" s="174"/>
      <c r="CB118" s="175" t="str">
        <f t="shared" si="18"/>
        <v>св</v>
      </c>
      <c r="CC118" s="174"/>
      <c r="CD118" s="176"/>
      <c r="CE118" s="264" t="str">
        <v/>
      </c>
      <c r="CF118" s="264">
        <v>0</v>
      </c>
      <c r="CG118" s="113" t="str">
        <f>IF(CG117="","",CF117)</f>
        <v xml:space="preserve"> </v>
      </c>
      <c r="CH118" s="128" t="str">
        <v xml:space="preserve"> </v>
      </c>
      <c r="CI118" s="49"/>
      <c r="CJ118" s="49" t="str">
        <v/>
      </c>
      <c r="CK118" s="153">
        <v>0</v>
      </c>
      <c r="CL118" s="113" t="str">
        <f>IF(CL117="","",CK117)</f>
        <v xml:space="preserve"> </v>
      </c>
      <c r="CM118" s="49" t="str">
        <v xml:space="preserve"> </v>
      </c>
      <c r="CN118" s="49"/>
      <c r="CO118" s="264" t="str">
        <v/>
      </c>
      <c r="CP118" s="264">
        <v>0</v>
      </c>
      <c r="CQ118" s="113" t="str">
        <f>IF(CQ117="","",CP117)</f>
        <v xml:space="preserve"> </v>
      </c>
      <c r="CR118" s="49" t="str">
        <v xml:space="preserve"> </v>
      </c>
      <c r="CS118" s="49"/>
      <c r="CT118" s="264" t="str">
        <v/>
      </c>
      <c r="CU118" s="264">
        <v>0</v>
      </c>
      <c r="CV118" s="113" t="str">
        <f>IF(CV117="","",CU117)</f>
        <v xml:space="preserve"> </v>
      </c>
      <c r="CW118" s="49" t="str">
        <v xml:space="preserve"> </v>
      </c>
      <c r="CX118" s="49"/>
      <c r="CY118" s="49" t="str">
        <v/>
      </c>
      <c r="CZ118" s="49">
        <v>0</v>
      </c>
      <c r="DA118" s="113" t="str">
        <f>IF(DA117="","",CZ117)</f>
        <v xml:space="preserve"> </v>
      </c>
      <c r="DB118" s="49" t="str">
        <v xml:space="preserve"> </v>
      </c>
      <c r="DC118" s="49"/>
      <c r="DD118" s="49" t="str">
        <v/>
      </c>
      <c r="DE118" s="49"/>
      <c r="DF118" s="49"/>
      <c r="DG118" s="49"/>
      <c r="DH118" s="49"/>
    </row>
    <row r="119" spans="1:112" ht="13.5" hidden="1" customHeight="1">
      <c r="A119" s="177"/>
      <c r="B119" s="299">
        <v>57</v>
      </c>
      <c r="C119" s="270" t="e">
        <f>(VLOOKUP($B119,Пр.взв!$D$6:$J$63,2,0))</f>
        <v>#N/A</v>
      </c>
      <c r="D119" s="271" t="e">
        <f>(VLOOKUP($B119,Пр.взв!$D$6:$J$63,5,0))</f>
        <v>#N/A</v>
      </c>
      <c r="E119" s="272" t="e">
        <f>(VLOOKUP($B119,Пр.взв!$D$6:$M$63,8,0))</f>
        <v>#N/A</v>
      </c>
      <c r="F119" s="273"/>
      <c r="G119" s="87"/>
      <c r="H119" s="266"/>
      <c r="I119" s="89"/>
      <c r="J119" s="266" t="str">
        <f>IF(H119="Х","Х",IF($AC119&lt;6," ","Х"))</f>
        <v xml:space="preserve"> </v>
      </c>
      <c r="K119" s="87"/>
      <c r="L119" s="266" t="str">
        <f>IF(J119="Х","Х",IF(K119&lt;3," ",IF($AC119&lt;6," ","Х")))</f>
        <v xml:space="preserve"> </v>
      </c>
      <c r="M119" s="87"/>
      <c r="N119" s="266" t="str">
        <f>IF(L119="Х","Х",IF(M119&lt;3," ",IF($AC119&lt;6," ","Х")))</f>
        <v xml:space="preserve"> </v>
      </c>
      <c r="O119" s="87"/>
      <c r="P119" s="266" t="str">
        <f>IF(N119="Х","Х",IF(O119&lt;3," ",IF($AC119&lt;6," ","Х")))</f>
        <v xml:space="preserve"> </v>
      </c>
      <c r="Q119" s="87"/>
      <c r="R119" s="266" t="str">
        <f>IF(P119="Х","Х",IF(Q119&lt;3," ",IF($AC119&lt;6," ","Х")))</f>
        <v xml:space="preserve"> </v>
      </c>
      <c r="S119" s="87"/>
      <c r="T119" s="266" t="str">
        <f>IF(R119="Х","Х",IF(S119&lt;3," ",IF($AC119&lt;6," ","Х")))</f>
        <v xml:space="preserve"> </v>
      </c>
      <c r="U119" s="88"/>
      <c r="V119" s="266" t="str">
        <f>IF(T119="Х","Х",IF(U119&lt;3," ",IF($AC119&lt;6," ","Х")))</f>
        <v xml:space="preserve"> </v>
      </c>
      <c r="W119" s="88"/>
      <c r="X119" s="266" t="str">
        <f>IF(V119="А1",$AZ$7,IF(V119="Б2",$AZ$6,IF(V119="Б1",$BA$7,IF(V119="А2",$BA$6,IF(V119="Х","Х",IF(V119&lt;6," "," "))))))</f>
        <v xml:space="preserve"> </v>
      </c>
      <c r="Y119" s="89"/>
      <c r="Z119" s="266" t="str">
        <f>IF(V119="Х","Х",IF(ISBLANK(Y119),"",IF(Y119&gt;2.5," ",IF(B119=BB$6,BB$7,BB$6))))</f>
        <v/>
      </c>
      <c r="AA119" s="89"/>
      <c r="AB119" s="290" t="str">
        <f>IF(H119="Х",F$5,IF(J119="Х",H$5,IF(L119="Х",J$5,IF(N119="Х",L$5,IF(P119="Х",N$5,IF(R119="Х",P$5,IF(T119="Х",R$5,IF(X119="Х",T$5,""))))))))</f>
        <v/>
      </c>
      <c r="AC119" s="276">
        <f>SUM(G119+I119+K119+M119+O119+Q119+S119+U119+Y119+AA119)</f>
        <v>0</v>
      </c>
      <c r="AD119" s="291" t="str">
        <f>AF119</f>
        <v>27-71</v>
      </c>
      <c r="AE119" s="278" t="str">
        <f>AD119</f>
        <v>27-71</v>
      </c>
      <c r="AF119" s="280" t="str">
        <f>COUNTIF(AG$6:AG$148,"&gt;"&amp;AG$6:AG$148)+1&amp;REPT("-"&amp;COUNTIF(AG$6:AG$148,"&gt;="&amp;AG$6:AG$148),COUNTIF(AG$6:AG$148,AG119)&gt;1)</f>
        <v>27-71</v>
      </c>
      <c r="AG119" s="282">
        <f>(AR119*100)+(AP119*10)-AC119</f>
        <v>80</v>
      </c>
      <c r="AH119" s="288" t="str">
        <f>IF(OR(F119="Х",F119="св")," ",IF(AND(G119&gt;=0,G119&lt;3),"1"," "))</f>
        <v>1</v>
      </c>
      <c r="AI119" s="289" t="str">
        <f>IF(OR(H119="Х",H119="св")," ",IF(AND(I119&gt;=0,I119&lt;3),"1"," "))</f>
        <v>1</v>
      </c>
      <c r="AJ119" s="289" t="str">
        <f>IF(OR(J119="Х",J119="св")," ",IF(AND(K119&gt;=0,K119&lt;3),"1"," "))</f>
        <v>1</v>
      </c>
      <c r="AK119" s="289" t="str">
        <f>IF(OR(L119="Х",L119="св")," ",IF(AND(M119&gt;=0,M119&lt;3),"1"," "))</f>
        <v>1</v>
      </c>
      <c r="AL119" s="289" t="str">
        <f>IF(OR(N119="Х",N119="св")," ",IF(AND(O119&gt;=0,O119&lt;3),"1"," "))</f>
        <v>1</v>
      </c>
      <c r="AM119" s="289" t="str">
        <f>IF(OR(P119="Х",P119="св")," ",IF(AND(Q119&gt;=0,Q119&lt;3),"1"," "))</f>
        <v>1</v>
      </c>
      <c r="AN119" s="289" t="str">
        <f>IF(OR(R119="Х",R119="св")," ",IF(AND(S119&gt;=0,S119&lt;3),"1"," "))</f>
        <v>1</v>
      </c>
      <c r="AO119" s="289" t="str">
        <f>IF(OR(T119="Х",T119="св")," ",IF(AND(U119&gt;=0,U119&lt;3),"1"," "))</f>
        <v>1</v>
      </c>
      <c r="AP119" s="289">
        <f>COUNTIF(AH119:AO120,1)</f>
        <v>8</v>
      </c>
      <c r="AQ119" s="289">
        <f>AG119-AC119</f>
        <v>80</v>
      </c>
      <c r="AR119" s="292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289" t="str">
        <f>COUNTIF(AG$6:AG$134,"&gt;"&amp;AG$6:AG$134)+1&amp;REPT("-"&amp;COUNTIF(AG$6:AG$134,"&gt;="&amp;AG$6:AG$134),COUNTIF(AG$6:AG$134,AG119)&gt;1)</f>
        <v>27-64</v>
      </c>
      <c r="AT119" s="288" t="str">
        <f t="shared" ref="AT119:AW119" si="61">COUNTIF(AU$6:AU$134,"&gt;"&amp;AU$6:AU$134)+1&amp;REPT("-"&amp;COUNTIF(AU$6:AU$134,"&gt;="&amp;AU$6:AU$134),COUNTIF(AU$6:AU$134,AU119)&gt;1)</f>
        <v>1-64</v>
      </c>
      <c r="AU119" s="288" t="str">
        <f t="shared" si="61"/>
        <v>1-0</v>
      </c>
      <c r="AV119" s="288" t="str">
        <f t="shared" si="61"/>
        <v>1</v>
      </c>
      <c r="AW119" s="288" t="str">
        <f t="shared" si="61"/>
        <v>8</v>
      </c>
      <c r="AX119" s="293">
        <f>IF(X119="Х","Х",IF(Y119&lt;3,B119,"Х"))</f>
        <v>57</v>
      </c>
      <c r="AY119" s="49">
        <f ca="1"/>
        <v>0</v>
      </c>
      <c r="AZ119" s="49"/>
      <c r="BA119" s="49">
        <f ca="1"/>
        <v>0</v>
      </c>
      <c r="BB119" s="49"/>
      <c r="BC119" s="49">
        <f ca="1"/>
        <v>0</v>
      </c>
      <c r="BD119" s="49">
        <f ca="1"/>
        <v>0</v>
      </c>
      <c r="BE119" s="49">
        <f ca="1"/>
        <v>0</v>
      </c>
      <c r="BF119" s="49">
        <f ca="1"/>
        <v>0</v>
      </c>
      <c r="BG119" s="49">
        <f ca="1"/>
        <v>0</v>
      </c>
      <c r="BH119" s="49">
        <f ca="1"/>
        <v>0</v>
      </c>
      <c r="BI119" s="49"/>
      <c r="BJ119" s="49"/>
      <c r="BK119" s="49"/>
      <c r="BL119" s="49"/>
      <c r="BM119" s="294">
        <v>57</v>
      </c>
      <c r="BN119" s="287">
        <v>0</v>
      </c>
      <c r="BO119" s="98" t="str">
        <f>IF(BM119&lt;BN119,BM119,"")</f>
        <v/>
      </c>
      <c r="BP119" s="124" t="str">
        <v/>
      </c>
      <c r="BQ119" s="125"/>
      <c r="BR119" s="295" t="str">
        <v/>
      </c>
      <c r="BS119" s="287">
        <v>0</v>
      </c>
      <c r="BT119" s="109" t="str">
        <f>IF(BR119&lt;BS119,BR119,"")</f>
        <v/>
      </c>
      <c r="BU119" s="124" t="str">
        <v/>
      </c>
      <c r="BV119" s="124"/>
      <c r="BW119" s="284">
        <v>57</v>
      </c>
      <c r="BX119" s="286" t="str">
        <v xml:space="preserve"> </v>
      </c>
      <c r="BY119" s="102">
        <f t="array" ref="BY119">IF(BW119&lt;BX119,BW119,"")</f>
        <v>57</v>
      </c>
      <c r="BZ119" s="102">
        <f t="shared" si="17"/>
        <v>57</v>
      </c>
      <c r="CA119" s="63"/>
      <c r="CB119" s="63" t="str">
        <f t="shared" si="18"/>
        <v>св</v>
      </c>
      <c r="CC119" s="128"/>
      <c r="CD119" s="159"/>
      <c r="CE119" s="286">
        <v>57</v>
      </c>
      <c r="CF119" s="296" t="str">
        <v xml:space="preserve"> </v>
      </c>
      <c r="CG119" s="98">
        <f t="array" ref="CG119">IF(CE119&lt;CF119,CE119,"")</f>
        <v>57</v>
      </c>
      <c r="CH119" s="63">
        <v>57</v>
      </c>
      <c r="CI119" s="49"/>
      <c r="CJ119" s="65">
        <v>57</v>
      </c>
      <c r="CK119" s="151" t="str">
        <v xml:space="preserve"> </v>
      </c>
      <c r="CL119" s="98">
        <f t="array" ref="CL119">IF(CJ119&lt;CK119,CJ119,"")</f>
        <v>57</v>
      </c>
      <c r="CM119" s="49">
        <v>57</v>
      </c>
      <c r="CN119" s="49"/>
      <c r="CO119" s="286">
        <v>57</v>
      </c>
      <c r="CP119" s="286" t="str">
        <v xml:space="preserve"> </v>
      </c>
      <c r="CQ119" s="98">
        <f t="array" ref="CQ119">IF(CO119&lt;CP119,CO119,"")</f>
        <v>57</v>
      </c>
      <c r="CR119" s="65">
        <v>57</v>
      </c>
      <c r="CS119" s="49"/>
      <c r="CT119" s="286">
        <v>57</v>
      </c>
      <c r="CU119" s="286" t="str">
        <v xml:space="preserve"> </v>
      </c>
      <c r="CV119" s="98">
        <f t="array" ref="CV119">IF(CT119&lt;CU119,CT119,"")</f>
        <v>57</v>
      </c>
      <c r="CW119" s="49">
        <v>57</v>
      </c>
      <c r="CX119" s="49"/>
      <c r="CY119" s="49">
        <v>57</v>
      </c>
      <c r="CZ119" s="49" t="str">
        <v xml:space="preserve"> </v>
      </c>
      <c r="DA119" s="98">
        <f t="array" ref="DA119">IF(CY119&lt;CZ119,CY119,"")</f>
        <v>57</v>
      </c>
      <c r="DB119" s="49">
        <v>57</v>
      </c>
      <c r="DC119" s="49"/>
      <c r="DD119" s="49">
        <v>57</v>
      </c>
      <c r="DE119" s="49"/>
      <c r="DF119" s="49"/>
      <c r="DG119" s="49"/>
      <c r="DH119" s="49"/>
    </row>
    <row r="120" spans="1:112" ht="13.5" hidden="1" customHeight="1">
      <c r="A120" s="177"/>
      <c r="B120" s="269"/>
      <c r="C120" s="269"/>
      <c r="D120" s="269"/>
      <c r="E120" s="269"/>
      <c r="F120" s="274"/>
      <c r="G120" s="106"/>
      <c r="H120" s="267"/>
      <c r="I120" s="106"/>
      <c r="J120" s="267"/>
      <c r="K120" s="106"/>
      <c r="L120" s="267"/>
      <c r="M120" s="106"/>
      <c r="N120" s="267"/>
      <c r="O120" s="106"/>
      <c r="P120" s="267"/>
      <c r="Q120" s="106"/>
      <c r="R120" s="267"/>
      <c r="S120" s="106"/>
      <c r="T120" s="267"/>
      <c r="U120" s="107"/>
      <c r="V120" s="267"/>
      <c r="W120" s="107"/>
      <c r="X120" s="267"/>
      <c r="Y120" s="106"/>
      <c r="Z120" s="267"/>
      <c r="AA120" s="106"/>
      <c r="AB120" s="274"/>
      <c r="AC120" s="269"/>
      <c r="AD120" s="267"/>
      <c r="AE120" s="279"/>
      <c r="AF120" s="281"/>
      <c r="AG120" s="283"/>
      <c r="AH120" s="283"/>
      <c r="AI120" s="283"/>
      <c r="AJ120" s="283"/>
      <c r="AK120" s="283"/>
      <c r="AL120" s="283"/>
      <c r="AM120" s="283"/>
      <c r="AN120" s="283"/>
      <c r="AO120" s="283"/>
      <c r="AP120" s="283"/>
      <c r="AQ120" s="283"/>
      <c r="AR120" s="283"/>
      <c r="AS120" s="283"/>
      <c r="AT120" s="283"/>
      <c r="AU120" s="283"/>
      <c r="AV120" s="283"/>
      <c r="AW120" s="283"/>
      <c r="AX120" s="264"/>
      <c r="AY120" s="49">
        <f ca="1"/>
        <v>0</v>
      </c>
      <c r="AZ120" s="49"/>
      <c r="BA120" s="49">
        <f ca="1"/>
        <v>0</v>
      </c>
      <c r="BB120" s="49"/>
      <c r="BC120" s="49">
        <f ca="1"/>
        <v>0</v>
      </c>
      <c r="BD120" s="49">
        <f ca="1"/>
        <v>0</v>
      </c>
      <c r="BE120" s="49">
        <f ca="1"/>
        <v>0</v>
      </c>
      <c r="BF120" s="49">
        <f ca="1"/>
        <v>0</v>
      </c>
      <c r="BG120" s="49">
        <f ca="1"/>
        <v>0</v>
      </c>
      <c r="BH120" s="49">
        <f ca="1"/>
        <v>0</v>
      </c>
      <c r="BI120" s="49"/>
      <c r="BJ120" s="49"/>
      <c r="BK120" s="49"/>
      <c r="BL120" s="49"/>
      <c r="BM120" s="359" t="str">
        <v/>
      </c>
      <c r="BN120" s="324">
        <v>0</v>
      </c>
      <c r="BO120" s="109" t="str">
        <f>IF(BO119="","",BN119)</f>
        <v/>
      </c>
      <c r="BP120" s="171" t="str">
        <v/>
      </c>
      <c r="BQ120" s="172"/>
      <c r="BR120" s="264" t="str">
        <v/>
      </c>
      <c r="BS120" s="264">
        <v>0</v>
      </c>
      <c r="BT120" s="109" t="str">
        <f>IF(BT119="","",BS119)</f>
        <v/>
      </c>
      <c r="BU120" s="109" t="str">
        <v/>
      </c>
      <c r="BV120" s="124"/>
      <c r="BW120" s="359" t="str">
        <v/>
      </c>
      <c r="BX120" s="324">
        <v>0</v>
      </c>
      <c r="BY120" s="102" t="str">
        <f>IF(BY119="","",BX119)</f>
        <v xml:space="preserve"> </v>
      </c>
      <c r="BZ120" s="173" t="str">
        <f t="shared" si="17"/>
        <v xml:space="preserve"> </v>
      </c>
      <c r="CA120" s="174"/>
      <c r="CB120" s="175" t="str">
        <f t="shared" si="18"/>
        <v>св</v>
      </c>
      <c r="CC120" s="174"/>
      <c r="CD120" s="176"/>
      <c r="CE120" s="264" t="str">
        <v/>
      </c>
      <c r="CF120" s="264">
        <v>0</v>
      </c>
      <c r="CG120" s="113" t="str">
        <f>IF(CG119="","",CF119)</f>
        <v xml:space="preserve"> </v>
      </c>
      <c r="CH120" s="128" t="str">
        <v xml:space="preserve"> </v>
      </c>
      <c r="CI120" s="49"/>
      <c r="CJ120" s="49" t="str">
        <v/>
      </c>
      <c r="CK120" s="153">
        <v>0</v>
      </c>
      <c r="CL120" s="113" t="str">
        <f>IF(CL119="","",CK119)</f>
        <v xml:space="preserve"> </v>
      </c>
      <c r="CM120" s="49" t="str">
        <v xml:space="preserve"> </v>
      </c>
      <c r="CN120" s="49"/>
      <c r="CO120" s="264" t="str">
        <v/>
      </c>
      <c r="CP120" s="264">
        <v>0</v>
      </c>
      <c r="CQ120" s="113" t="str">
        <f>IF(CQ119="","",CP119)</f>
        <v xml:space="preserve"> </v>
      </c>
      <c r="CR120" s="49" t="str">
        <v xml:space="preserve"> </v>
      </c>
      <c r="CS120" s="49"/>
      <c r="CT120" s="264" t="str">
        <v/>
      </c>
      <c r="CU120" s="264">
        <v>0</v>
      </c>
      <c r="CV120" s="113" t="str">
        <f>IF(CV119="","",CU119)</f>
        <v xml:space="preserve"> </v>
      </c>
      <c r="CW120" s="49" t="str">
        <v xml:space="preserve"> </v>
      </c>
      <c r="CX120" s="49"/>
      <c r="CY120" s="49" t="str">
        <v/>
      </c>
      <c r="CZ120" s="49">
        <v>0</v>
      </c>
      <c r="DA120" s="113" t="str">
        <f>IF(DA119="","",CZ119)</f>
        <v xml:space="preserve"> </v>
      </c>
      <c r="DB120" s="49" t="str">
        <v xml:space="preserve"> </v>
      </c>
      <c r="DC120" s="49"/>
      <c r="DD120" s="49" t="str">
        <v/>
      </c>
      <c r="DE120" s="49"/>
      <c r="DF120" s="49"/>
      <c r="DG120" s="49"/>
      <c r="DH120" s="49"/>
    </row>
    <row r="121" spans="1:112" ht="13.5" hidden="1" customHeight="1">
      <c r="A121" s="177"/>
      <c r="B121" s="299">
        <v>58</v>
      </c>
      <c r="C121" s="270" t="e">
        <f>(VLOOKUP($B121,Пр.взв!$D$6:$J$63,2,0))</f>
        <v>#N/A</v>
      </c>
      <c r="D121" s="271" t="e">
        <f>(VLOOKUP($B121,Пр.взв!$D$6:$J$63,5,0))</f>
        <v>#N/A</v>
      </c>
      <c r="E121" s="272" t="e">
        <f>(VLOOKUP($B121,Пр.взв!$D$6:$M$63,8,0))</f>
        <v>#N/A</v>
      </c>
      <c r="F121" s="273"/>
      <c r="G121" s="87"/>
      <c r="H121" s="266"/>
      <c r="I121" s="89"/>
      <c r="J121" s="266" t="str">
        <f>IF(H121="Х","Х",IF($AC121&lt;6," ","Х"))</f>
        <v xml:space="preserve"> </v>
      </c>
      <c r="K121" s="87"/>
      <c r="L121" s="266" t="str">
        <f>IF(J121="Х","Х",IF(K121&lt;3," ",IF($AC121&lt;6," ","Х")))</f>
        <v xml:space="preserve"> </v>
      </c>
      <c r="M121" s="87"/>
      <c r="N121" s="266" t="str">
        <f>IF(L121="Х","Х",IF(M121&lt;3," ",IF($AC121&lt;6," ","Х")))</f>
        <v xml:space="preserve"> </v>
      </c>
      <c r="O121" s="87"/>
      <c r="P121" s="266" t="str">
        <f>IF(N121="Х","Х",IF(O121&lt;3," ",IF($AC121&lt;6," ","Х")))</f>
        <v xml:space="preserve"> </v>
      </c>
      <c r="Q121" s="87"/>
      <c r="R121" s="266" t="str">
        <f>IF(P121="Х","Х",IF(Q121&lt;3," ",IF($AC121&lt;6," ","Х")))</f>
        <v xml:space="preserve"> </v>
      </c>
      <c r="S121" s="87"/>
      <c r="T121" s="266" t="str">
        <f>IF(R121="Х","Х",IF(S121&lt;3," ",IF($AC121&lt;6," ","Х")))</f>
        <v xml:space="preserve"> </v>
      </c>
      <c r="U121" s="88"/>
      <c r="V121" s="266" t="str">
        <f>IF(T121="Х","Х",IF(U121&lt;3," ",IF($AC121&lt;6," ","Х")))</f>
        <v xml:space="preserve"> </v>
      </c>
      <c r="W121" s="88"/>
      <c r="X121" s="266" t="str">
        <f>IF(V121="А1",$AZ$7,IF(V121="Б2",$AZ$6,IF(V121="Б1",$BA$7,IF(V121="А2",$BA$6,IF(V121="Х","Х",IF(V121&lt;6," "," "))))))</f>
        <v xml:space="preserve"> </v>
      </c>
      <c r="Y121" s="89"/>
      <c r="Z121" s="266" t="str">
        <f>IF(V121="Х","Х",IF(ISBLANK(Y121),"",IF(Y121&gt;2.5," ",IF(B121=BB$6,BB$7,BB$6))))</f>
        <v/>
      </c>
      <c r="AA121" s="89"/>
      <c r="AB121" s="290" t="str">
        <f>IF(H121="Х",F$5,IF(J121="Х",H$5,IF(L121="Х",J$5,IF(N121="Х",L$5,IF(P121="Х",N$5,IF(R121="Х",P$5,IF(T121="Х",R$5,IF(X121="Х",T$5,""))))))))</f>
        <v/>
      </c>
      <c r="AC121" s="276">
        <f>SUM(G121+I121+K121+M121+O121+Q121+S121+U121+Y121+AA121)</f>
        <v>0</v>
      </c>
      <c r="AD121" s="291" t="str">
        <f>AF121</f>
        <v>27-71</v>
      </c>
      <c r="AE121" s="278" t="str">
        <f>AD121</f>
        <v>27-71</v>
      </c>
      <c r="AF121" s="280" t="str">
        <f>COUNTIF(AG$6:AG$148,"&gt;"&amp;AG$6:AG$148)+1&amp;REPT("-"&amp;COUNTIF(AG$6:AG$148,"&gt;="&amp;AG$6:AG$148),COUNTIF(AG$6:AG$148,AG121)&gt;1)</f>
        <v>27-71</v>
      </c>
      <c r="AG121" s="282">
        <f>(AR121*100)+(AP121*10)-AC121</f>
        <v>80</v>
      </c>
      <c r="AH121" s="288" t="str">
        <f>IF(OR(F121="Х",F121="св")," ",IF(AND(G121&gt;=0,G121&lt;3),"1"," "))</f>
        <v>1</v>
      </c>
      <c r="AI121" s="289" t="str">
        <f>IF(OR(H121="Х",H121="св")," ",IF(AND(I121&gt;=0,I121&lt;3),"1"," "))</f>
        <v>1</v>
      </c>
      <c r="AJ121" s="289" t="str">
        <f>IF(OR(J121="Х",J121="св")," ",IF(AND(K121&gt;=0,K121&lt;3),"1"," "))</f>
        <v>1</v>
      </c>
      <c r="AK121" s="289" t="str">
        <f>IF(OR(L121="Х",L121="св")," ",IF(AND(M121&gt;=0,M121&lt;3),"1"," "))</f>
        <v>1</v>
      </c>
      <c r="AL121" s="289" t="str">
        <f>IF(OR(N121="Х",N121="св")," ",IF(AND(O121&gt;=0,O121&lt;3),"1"," "))</f>
        <v>1</v>
      </c>
      <c r="AM121" s="289" t="str">
        <f>IF(OR(P121="Х",P121="св")," ",IF(AND(Q121&gt;=0,Q121&lt;3),"1"," "))</f>
        <v>1</v>
      </c>
      <c r="AN121" s="289" t="str">
        <f>IF(OR(R121="Х",R121="св")," ",IF(AND(S121&gt;=0,S121&lt;3),"1"," "))</f>
        <v>1</v>
      </c>
      <c r="AO121" s="289" t="str">
        <f>IF(OR(T121="Х",T121="св")," ",IF(AND(U121&gt;=0,U121&lt;3),"1"," "))</f>
        <v>1</v>
      </c>
      <c r="AP121" s="289">
        <f>COUNTIF(AH121:AO122,1)</f>
        <v>8</v>
      </c>
      <c r="AQ121" s="289">
        <f>AG121-AC121</f>
        <v>80</v>
      </c>
      <c r="AR121" s="292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289" t="str">
        <f>COUNTIF(AG$6:AG$134,"&gt;"&amp;AG$6:AG$134)+1&amp;REPT("-"&amp;COUNTIF(AG$6:AG$134,"&gt;="&amp;AG$6:AG$134),COUNTIF(AG$6:AG$134,AG121)&gt;1)</f>
        <v>27-64</v>
      </c>
      <c r="AT121" s="288" t="str">
        <f t="shared" ref="AT121:AW121" si="62">COUNTIF(AU$6:AU$134,"&gt;"&amp;AU$6:AU$134)+1&amp;REPT("-"&amp;COUNTIF(AU$6:AU$134,"&gt;="&amp;AU$6:AU$134),COUNTIF(AU$6:AU$134,AU121)&gt;1)</f>
        <v>1-64</v>
      </c>
      <c r="AU121" s="288" t="str">
        <f t="shared" si="62"/>
        <v>1-0</v>
      </c>
      <c r="AV121" s="288" t="str">
        <f t="shared" si="62"/>
        <v>1</v>
      </c>
      <c r="AW121" s="288" t="str">
        <f t="shared" si="62"/>
        <v>7</v>
      </c>
      <c r="AX121" s="293">
        <f>IF(X121="Х","Х",IF(Y121&lt;3,B121,"Х"))</f>
        <v>58</v>
      </c>
      <c r="AY121" s="49">
        <f ca="1"/>
        <v>0</v>
      </c>
      <c r="AZ121" s="49"/>
      <c r="BA121" s="49">
        <f ca="1"/>
        <v>0</v>
      </c>
      <c r="BB121" s="49"/>
      <c r="BC121" s="49">
        <f ca="1"/>
        <v>0</v>
      </c>
      <c r="BD121" s="49">
        <f ca="1"/>
        <v>0</v>
      </c>
      <c r="BE121" s="49">
        <f ca="1"/>
        <v>0</v>
      </c>
      <c r="BF121" s="49">
        <f ca="1"/>
        <v>0</v>
      </c>
      <c r="BG121" s="49">
        <f ca="1"/>
        <v>0</v>
      </c>
      <c r="BH121" s="49">
        <f ca="1"/>
        <v>0</v>
      </c>
      <c r="BI121" s="49"/>
      <c r="BJ121" s="49"/>
      <c r="BK121" s="49"/>
      <c r="BL121" s="49"/>
      <c r="BM121" s="294">
        <v>58</v>
      </c>
      <c r="BN121" s="287">
        <v>0</v>
      </c>
      <c r="BO121" s="98" t="str">
        <f>IF(BM121&lt;BN121,BM121,"")</f>
        <v/>
      </c>
      <c r="BP121" s="124" t="str">
        <v/>
      </c>
      <c r="BQ121" s="125"/>
      <c r="BR121" s="295" t="str">
        <v/>
      </c>
      <c r="BS121" s="287">
        <v>0</v>
      </c>
      <c r="BT121" s="109" t="str">
        <f>IF(BR121&lt;BS121,BR121,"")</f>
        <v/>
      </c>
      <c r="BU121" s="124" t="str">
        <v/>
      </c>
      <c r="BV121" s="124"/>
      <c r="BW121" s="284">
        <v>58</v>
      </c>
      <c r="BX121" s="286" t="str">
        <v xml:space="preserve"> </v>
      </c>
      <c r="BY121" s="102">
        <f t="array" ref="BY121">IF(BW121&lt;BX121,BW121,"")</f>
        <v>58</v>
      </c>
      <c r="BZ121" s="102">
        <f t="shared" si="17"/>
        <v>58</v>
      </c>
      <c r="CA121" s="63"/>
      <c r="CB121" s="63" t="str">
        <f t="shared" si="18"/>
        <v>св</v>
      </c>
      <c r="CC121" s="128"/>
      <c r="CD121" s="159"/>
      <c r="CE121" s="286">
        <v>58</v>
      </c>
      <c r="CF121" s="296" t="str">
        <v xml:space="preserve"> </v>
      </c>
      <c r="CG121" s="98">
        <f t="array" ref="CG121">IF(CE121&lt;CF121,CE121,"")</f>
        <v>58</v>
      </c>
      <c r="CH121" s="63">
        <v>58</v>
      </c>
      <c r="CI121" s="49"/>
      <c r="CJ121" s="65">
        <v>58</v>
      </c>
      <c r="CK121" s="151" t="str">
        <v xml:space="preserve"> </v>
      </c>
      <c r="CL121" s="98">
        <f t="array" ref="CL121">IF(CJ121&lt;CK121,CJ121,"")</f>
        <v>58</v>
      </c>
      <c r="CM121" s="49">
        <v>58</v>
      </c>
      <c r="CN121" s="49"/>
      <c r="CO121" s="286">
        <v>58</v>
      </c>
      <c r="CP121" s="286" t="str">
        <v xml:space="preserve"> </v>
      </c>
      <c r="CQ121" s="98">
        <f t="array" ref="CQ121">IF(CO121&lt;CP121,CO121,"")</f>
        <v>58</v>
      </c>
      <c r="CR121" s="65">
        <v>58</v>
      </c>
      <c r="CS121" s="49"/>
      <c r="CT121" s="286">
        <v>58</v>
      </c>
      <c r="CU121" s="286" t="str">
        <v xml:space="preserve"> </v>
      </c>
      <c r="CV121" s="98">
        <f t="array" ref="CV121">IF(CT121&lt;CU121,CT121,"")</f>
        <v>58</v>
      </c>
      <c r="CW121" s="49">
        <v>58</v>
      </c>
      <c r="CX121" s="49"/>
      <c r="CY121" s="49">
        <v>58</v>
      </c>
      <c r="CZ121" s="49" t="str">
        <v xml:space="preserve"> </v>
      </c>
      <c r="DA121" s="98">
        <f t="array" ref="DA121">IF(CY121&lt;CZ121,CY121,"")</f>
        <v>58</v>
      </c>
      <c r="DB121" s="49">
        <v>58</v>
      </c>
      <c r="DC121" s="49"/>
      <c r="DD121" s="49">
        <v>58</v>
      </c>
      <c r="DE121" s="49"/>
      <c r="DF121" s="49"/>
      <c r="DG121" s="49"/>
      <c r="DH121" s="49"/>
    </row>
    <row r="122" spans="1:112" ht="13.5" hidden="1" customHeight="1">
      <c r="A122" s="177"/>
      <c r="B122" s="269"/>
      <c r="C122" s="269"/>
      <c r="D122" s="269"/>
      <c r="E122" s="269"/>
      <c r="F122" s="274"/>
      <c r="G122" s="106"/>
      <c r="H122" s="267"/>
      <c r="I122" s="106"/>
      <c r="J122" s="267"/>
      <c r="K122" s="106"/>
      <c r="L122" s="267"/>
      <c r="M122" s="106"/>
      <c r="N122" s="267"/>
      <c r="O122" s="106"/>
      <c r="P122" s="267"/>
      <c r="Q122" s="106"/>
      <c r="R122" s="267"/>
      <c r="S122" s="106"/>
      <c r="T122" s="267"/>
      <c r="U122" s="107"/>
      <c r="V122" s="267"/>
      <c r="W122" s="107"/>
      <c r="X122" s="267"/>
      <c r="Y122" s="106"/>
      <c r="Z122" s="267"/>
      <c r="AA122" s="106"/>
      <c r="AB122" s="274"/>
      <c r="AC122" s="269"/>
      <c r="AD122" s="267"/>
      <c r="AE122" s="279"/>
      <c r="AF122" s="281"/>
      <c r="AG122" s="283"/>
      <c r="AH122" s="283"/>
      <c r="AI122" s="283"/>
      <c r="AJ122" s="283"/>
      <c r="AK122" s="283"/>
      <c r="AL122" s="283"/>
      <c r="AM122" s="283"/>
      <c r="AN122" s="283"/>
      <c r="AO122" s="283"/>
      <c r="AP122" s="283"/>
      <c r="AQ122" s="283"/>
      <c r="AR122" s="283"/>
      <c r="AS122" s="283"/>
      <c r="AT122" s="283"/>
      <c r="AU122" s="283"/>
      <c r="AV122" s="283"/>
      <c r="AW122" s="283"/>
      <c r="AX122" s="264"/>
      <c r="AY122" s="49">
        <f ca="1"/>
        <v>0</v>
      </c>
      <c r="AZ122" s="49"/>
      <c r="BA122" s="49">
        <f ca="1"/>
        <v>0</v>
      </c>
      <c r="BB122" s="49"/>
      <c r="BC122" s="49">
        <f ca="1"/>
        <v>0</v>
      </c>
      <c r="BD122" s="49">
        <f ca="1"/>
        <v>0</v>
      </c>
      <c r="BE122" s="49">
        <f ca="1"/>
        <v>0</v>
      </c>
      <c r="BF122" s="49">
        <f ca="1"/>
        <v>0</v>
      </c>
      <c r="BG122" s="49">
        <f ca="1"/>
        <v>0</v>
      </c>
      <c r="BH122" s="49">
        <f ca="1"/>
        <v>0</v>
      </c>
      <c r="BI122" s="49"/>
      <c r="BJ122" s="49"/>
      <c r="BK122" s="49"/>
      <c r="BL122" s="49"/>
      <c r="BM122" s="359" t="str">
        <v/>
      </c>
      <c r="BN122" s="324">
        <v>0</v>
      </c>
      <c r="BO122" s="109" t="str">
        <f>IF(BO121="","",BN121)</f>
        <v/>
      </c>
      <c r="BP122" s="171" t="str">
        <v/>
      </c>
      <c r="BQ122" s="172"/>
      <c r="BR122" s="264" t="str">
        <v/>
      </c>
      <c r="BS122" s="264">
        <v>0</v>
      </c>
      <c r="BT122" s="109" t="str">
        <f>IF(BT121="","",BS121)</f>
        <v/>
      </c>
      <c r="BU122" s="109" t="str">
        <v/>
      </c>
      <c r="BV122" s="124"/>
      <c r="BW122" s="359" t="str">
        <v/>
      </c>
      <c r="BX122" s="324">
        <v>0</v>
      </c>
      <c r="BY122" s="102" t="str">
        <f>IF(BY121="","",BX121)</f>
        <v xml:space="preserve"> </v>
      </c>
      <c r="BZ122" s="173" t="str">
        <f t="shared" si="17"/>
        <v xml:space="preserve"> </v>
      </c>
      <c r="CA122" s="174"/>
      <c r="CB122" s="175" t="str">
        <f t="shared" si="18"/>
        <v>св</v>
      </c>
      <c r="CC122" s="174"/>
      <c r="CD122" s="176"/>
      <c r="CE122" s="264" t="str">
        <v/>
      </c>
      <c r="CF122" s="264">
        <v>0</v>
      </c>
      <c r="CG122" s="113" t="str">
        <f>IF(CG121="","",CF121)</f>
        <v xml:space="preserve"> </v>
      </c>
      <c r="CH122" s="128" t="str">
        <v xml:space="preserve"> </v>
      </c>
      <c r="CI122" s="49"/>
      <c r="CJ122" s="49" t="str">
        <v/>
      </c>
      <c r="CK122" s="153">
        <v>0</v>
      </c>
      <c r="CL122" s="113" t="str">
        <f>IF(CL121="","",CK121)</f>
        <v xml:space="preserve"> </v>
      </c>
      <c r="CM122" s="49" t="str">
        <v xml:space="preserve"> </v>
      </c>
      <c r="CN122" s="49"/>
      <c r="CO122" s="264" t="str">
        <v/>
      </c>
      <c r="CP122" s="264">
        <v>0</v>
      </c>
      <c r="CQ122" s="113" t="str">
        <f>IF(CQ121="","",CP121)</f>
        <v xml:space="preserve"> </v>
      </c>
      <c r="CR122" s="49" t="str">
        <v xml:space="preserve"> </v>
      </c>
      <c r="CS122" s="49"/>
      <c r="CT122" s="264" t="str">
        <v/>
      </c>
      <c r="CU122" s="264">
        <v>0</v>
      </c>
      <c r="CV122" s="113" t="str">
        <f>IF(CV121="","",CU121)</f>
        <v xml:space="preserve"> </v>
      </c>
      <c r="CW122" s="49" t="str">
        <v xml:space="preserve"> </v>
      </c>
      <c r="CX122" s="49"/>
      <c r="CY122" s="49" t="str">
        <v/>
      </c>
      <c r="CZ122" s="49">
        <v>0</v>
      </c>
      <c r="DA122" s="113" t="str">
        <f>IF(DA121="","",CZ121)</f>
        <v xml:space="preserve"> </v>
      </c>
      <c r="DB122" s="49" t="str">
        <v xml:space="preserve"> </v>
      </c>
      <c r="DC122" s="49"/>
      <c r="DD122" s="49" t="str">
        <v/>
      </c>
      <c r="DE122" s="49"/>
      <c r="DF122" s="49"/>
      <c r="DG122" s="49"/>
      <c r="DH122" s="49"/>
    </row>
    <row r="123" spans="1:112" ht="13.5" hidden="1" customHeight="1">
      <c r="A123" s="177"/>
      <c r="B123" s="299">
        <v>59</v>
      </c>
      <c r="C123" s="270" t="e">
        <f>(VLOOKUP($B123,Пр.взв!$D$6:$J$63,2,0))</f>
        <v>#N/A</v>
      </c>
      <c r="D123" s="271" t="e">
        <f>(VLOOKUP($B123,Пр.взв!$D$6:$J$63,5,0))</f>
        <v>#N/A</v>
      </c>
      <c r="E123" s="272" t="e">
        <f>(VLOOKUP($B123,Пр.взв!$D$6:$M$63,8,0))</f>
        <v>#N/A</v>
      </c>
      <c r="F123" s="273"/>
      <c r="G123" s="87"/>
      <c r="H123" s="266"/>
      <c r="I123" s="89"/>
      <c r="J123" s="266" t="str">
        <f>IF(H123="Х","Х",IF($AC123&lt;6," ","Х"))</f>
        <v xml:space="preserve"> </v>
      </c>
      <c r="K123" s="87"/>
      <c r="L123" s="266" t="str">
        <f>IF(J123="Х","Х",IF(K123&lt;3," ",IF($AC123&lt;6," ","Х")))</f>
        <v xml:space="preserve"> </v>
      </c>
      <c r="M123" s="87"/>
      <c r="N123" s="266" t="str">
        <f>IF(L123="Х","Х",IF(M123&lt;3," ",IF($AC123&lt;6," ","Х")))</f>
        <v xml:space="preserve"> </v>
      </c>
      <c r="O123" s="87"/>
      <c r="P123" s="266" t="str">
        <f>IF(N123="Х","Х",IF(O123&lt;3," ",IF($AC123&lt;6," ","Х")))</f>
        <v xml:space="preserve"> </v>
      </c>
      <c r="Q123" s="87"/>
      <c r="R123" s="266" t="str">
        <f>IF(P123="Х","Х",IF(Q123&lt;3," ",IF($AC123&lt;6," ","Х")))</f>
        <v xml:space="preserve"> </v>
      </c>
      <c r="S123" s="87"/>
      <c r="T123" s="266" t="str">
        <f>IF(R123="Х","Х",IF(S123&lt;3," ",IF($AC123&lt;6," ","Х")))</f>
        <v xml:space="preserve"> </v>
      </c>
      <c r="U123" s="88"/>
      <c r="V123" s="266" t="str">
        <f>IF(T123="Х","Х",IF(U123&lt;3," ",IF($AC123&lt;6," ","Х")))</f>
        <v xml:space="preserve"> </v>
      </c>
      <c r="W123" s="88"/>
      <c r="X123" s="266" t="str">
        <f>IF(V123="А1",$AZ$7,IF(V123="Б2",$AZ$6,IF(V123="Б1",$BA$7,IF(V123="А2",$BA$6,IF(V123="Х","Х",IF(V123&lt;6," "," "))))))</f>
        <v xml:space="preserve"> </v>
      </c>
      <c r="Y123" s="89"/>
      <c r="Z123" s="266" t="str">
        <f>IF(V123="Х","Х",IF(ISBLANK(Y123),"",IF(Y123&gt;2.5," ",IF(B123=BB$6,BB$7,BB$6))))</f>
        <v/>
      </c>
      <c r="AA123" s="89"/>
      <c r="AB123" s="290" t="str">
        <f>IF(H123="Х",F$5,IF(J123="Х",H$5,IF(L123="Х",J$5,IF(N123="Х",L$5,IF(P123="Х",N$5,IF(R123="Х",P$5,IF(T123="Х",R$5,IF(X123="Х",T$5,""))))))))</f>
        <v/>
      </c>
      <c r="AC123" s="276">
        <f>SUM(G123+I123+K123+M123+O123+Q123+S123+U123+Y123+AA123)</f>
        <v>0</v>
      </c>
      <c r="AD123" s="291" t="str">
        <f>AF123</f>
        <v>27-71</v>
      </c>
      <c r="AE123" s="278" t="str">
        <f>AD123</f>
        <v>27-71</v>
      </c>
      <c r="AF123" s="280" t="str">
        <f>COUNTIF(AG$6:AG$148,"&gt;"&amp;AG$6:AG$148)+1&amp;REPT("-"&amp;COUNTIF(AG$6:AG$148,"&gt;="&amp;AG$6:AG$148),COUNTIF(AG$6:AG$148,AG123)&gt;1)</f>
        <v>27-71</v>
      </c>
      <c r="AG123" s="282">
        <f>(AR123*100)+(AP123*10)-AC123</f>
        <v>80</v>
      </c>
      <c r="AH123" s="288" t="str">
        <f>IF(OR(F123="Х",F123="св")," ",IF(AND(G123&gt;=0,G123&lt;3),"1"," "))</f>
        <v>1</v>
      </c>
      <c r="AI123" s="289" t="str">
        <f>IF(OR(H123="Х",H123="св")," ",IF(AND(I123&gt;=0,I123&lt;3),"1"," "))</f>
        <v>1</v>
      </c>
      <c r="AJ123" s="289" t="str">
        <f>IF(OR(J123="Х",J123="св")," ",IF(AND(K123&gt;=0,K123&lt;3),"1"," "))</f>
        <v>1</v>
      </c>
      <c r="AK123" s="289" t="str">
        <f>IF(OR(L123="Х",L123="св")," ",IF(AND(M123&gt;=0,M123&lt;3),"1"," "))</f>
        <v>1</v>
      </c>
      <c r="AL123" s="289" t="str">
        <f>IF(OR(N123="Х",N123="св")," ",IF(AND(O123&gt;=0,O123&lt;3),"1"," "))</f>
        <v>1</v>
      </c>
      <c r="AM123" s="289" t="str">
        <f>IF(OR(P123="Х",P123="св")," ",IF(AND(Q123&gt;=0,Q123&lt;3),"1"," "))</f>
        <v>1</v>
      </c>
      <c r="AN123" s="289" t="str">
        <f>IF(OR(R123="Х",R123="св")," ",IF(AND(S123&gt;=0,S123&lt;3),"1"," "))</f>
        <v>1</v>
      </c>
      <c r="AO123" s="289" t="str">
        <f>IF(OR(T123="Х",T123="св")," ",IF(AND(U123&gt;=0,U123&lt;3),"1"," "))</f>
        <v>1</v>
      </c>
      <c r="AP123" s="289">
        <f>COUNTIF(AH123:AO124,1)</f>
        <v>8</v>
      </c>
      <c r="AQ123" s="289">
        <f>AG123-AC123</f>
        <v>80</v>
      </c>
      <c r="AR123" s="292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289" t="str">
        <f>COUNTIF(AG$6:AG$134,"&gt;"&amp;AG$6:AG$134)+1&amp;REPT("-"&amp;COUNTIF(AG$6:AG$134,"&gt;="&amp;AG$6:AG$134),COUNTIF(AG$6:AG$134,AG123)&gt;1)</f>
        <v>27-64</v>
      </c>
      <c r="AT123" s="288" t="str">
        <f t="shared" ref="AT123:AW123" si="63">COUNTIF(AU$6:AU$134,"&gt;"&amp;AU$6:AU$134)+1&amp;REPT("-"&amp;COUNTIF(AU$6:AU$134,"&gt;="&amp;AU$6:AU$134),COUNTIF(AU$6:AU$134,AU123)&gt;1)</f>
        <v>1-64</v>
      </c>
      <c r="AU123" s="288" t="str">
        <f t="shared" si="63"/>
        <v>1-0</v>
      </c>
      <c r="AV123" s="288" t="str">
        <f t="shared" si="63"/>
        <v>1</v>
      </c>
      <c r="AW123" s="288" t="str">
        <f t="shared" si="63"/>
        <v>6</v>
      </c>
      <c r="AX123" s="293">
        <f>IF(X123="Х","Х",IF(Y123&lt;3,B123,"Х"))</f>
        <v>59</v>
      </c>
      <c r="AY123" s="49">
        <f ca="1"/>
        <v>0</v>
      </c>
      <c r="AZ123" s="49"/>
      <c r="BA123" s="49">
        <f ca="1"/>
        <v>0</v>
      </c>
      <c r="BB123" s="49"/>
      <c r="BC123" s="49">
        <f ca="1"/>
        <v>0</v>
      </c>
      <c r="BD123" s="49">
        <f ca="1"/>
        <v>0</v>
      </c>
      <c r="BE123" s="49">
        <f ca="1"/>
        <v>0</v>
      </c>
      <c r="BF123" s="49">
        <f ca="1"/>
        <v>0</v>
      </c>
      <c r="BG123" s="49">
        <f ca="1"/>
        <v>0</v>
      </c>
      <c r="BH123" s="49">
        <f ca="1"/>
        <v>0</v>
      </c>
      <c r="BI123" s="49"/>
      <c r="BJ123" s="49"/>
      <c r="BK123" s="49"/>
      <c r="BL123" s="49"/>
      <c r="BM123" s="294">
        <v>59</v>
      </c>
      <c r="BN123" s="287">
        <v>0</v>
      </c>
      <c r="BO123" s="98" t="str">
        <f>IF(BM123&lt;BN123,BM123,"")</f>
        <v/>
      </c>
      <c r="BP123" s="124" t="str">
        <v/>
      </c>
      <c r="BQ123" s="125"/>
      <c r="BR123" s="295" t="str">
        <v/>
      </c>
      <c r="BS123" s="287">
        <v>0</v>
      </c>
      <c r="BT123" s="109" t="str">
        <f>IF(BR123&lt;BS123,BR123,"")</f>
        <v/>
      </c>
      <c r="BU123" s="124" t="str">
        <v/>
      </c>
      <c r="BV123" s="124"/>
      <c r="BW123" s="284">
        <v>59</v>
      </c>
      <c r="BX123" s="286" t="str">
        <v xml:space="preserve"> </v>
      </c>
      <c r="BY123" s="102">
        <f t="array" ref="BY123">IF(BW123&lt;BX123,BW123,"")</f>
        <v>59</v>
      </c>
      <c r="BZ123" s="102">
        <f t="shared" si="17"/>
        <v>59</v>
      </c>
      <c r="CA123" s="63"/>
      <c r="CB123" s="63" t="str">
        <f t="shared" si="18"/>
        <v>св</v>
      </c>
      <c r="CC123" s="128"/>
      <c r="CD123" s="159"/>
      <c r="CE123" s="286">
        <v>59</v>
      </c>
      <c r="CF123" s="296" t="str">
        <v xml:space="preserve"> </v>
      </c>
      <c r="CG123" s="98">
        <f t="array" ref="CG123">IF(CE123&lt;CF123,CE123,"")</f>
        <v>59</v>
      </c>
      <c r="CH123" s="63">
        <v>59</v>
      </c>
      <c r="CI123" s="49"/>
      <c r="CJ123" s="65">
        <v>59</v>
      </c>
      <c r="CK123" s="151" t="str">
        <v xml:space="preserve"> </v>
      </c>
      <c r="CL123" s="98">
        <f t="array" ref="CL123">IF(CJ123&lt;CK123,CJ123,"")</f>
        <v>59</v>
      </c>
      <c r="CM123" s="49">
        <v>59</v>
      </c>
      <c r="CN123" s="49"/>
      <c r="CO123" s="286">
        <v>59</v>
      </c>
      <c r="CP123" s="286" t="str">
        <v xml:space="preserve"> </v>
      </c>
      <c r="CQ123" s="98">
        <f t="array" ref="CQ123">IF(CO123&lt;CP123,CO123,"")</f>
        <v>59</v>
      </c>
      <c r="CR123" s="65">
        <v>59</v>
      </c>
      <c r="CS123" s="49"/>
      <c r="CT123" s="286">
        <v>59</v>
      </c>
      <c r="CU123" s="286" t="str">
        <v xml:space="preserve"> </v>
      </c>
      <c r="CV123" s="98">
        <f t="array" ref="CV123">IF(CT123&lt;CU123,CT123,"")</f>
        <v>59</v>
      </c>
      <c r="CW123" s="49">
        <v>59</v>
      </c>
      <c r="CX123" s="49"/>
      <c r="CY123" s="49">
        <v>59</v>
      </c>
      <c r="CZ123" s="49" t="str">
        <v xml:space="preserve"> </v>
      </c>
      <c r="DA123" s="98">
        <f t="array" ref="DA123">IF(CY123&lt;CZ123,CY123,"")</f>
        <v>59</v>
      </c>
      <c r="DB123" s="49">
        <v>59</v>
      </c>
      <c r="DC123" s="49"/>
      <c r="DD123" s="49">
        <v>59</v>
      </c>
      <c r="DE123" s="49"/>
      <c r="DF123" s="49"/>
      <c r="DG123" s="49"/>
      <c r="DH123" s="49"/>
    </row>
    <row r="124" spans="1:112" ht="13.5" hidden="1" customHeight="1">
      <c r="A124" s="177"/>
      <c r="B124" s="269"/>
      <c r="C124" s="269"/>
      <c r="D124" s="269"/>
      <c r="E124" s="269"/>
      <c r="F124" s="274"/>
      <c r="G124" s="106"/>
      <c r="H124" s="267"/>
      <c r="I124" s="106"/>
      <c r="J124" s="267"/>
      <c r="K124" s="106"/>
      <c r="L124" s="267"/>
      <c r="M124" s="106"/>
      <c r="N124" s="267"/>
      <c r="O124" s="106"/>
      <c r="P124" s="267"/>
      <c r="Q124" s="106"/>
      <c r="R124" s="267"/>
      <c r="S124" s="106"/>
      <c r="T124" s="267"/>
      <c r="U124" s="107"/>
      <c r="V124" s="267"/>
      <c r="W124" s="107"/>
      <c r="X124" s="267"/>
      <c r="Y124" s="106"/>
      <c r="Z124" s="267"/>
      <c r="AA124" s="106"/>
      <c r="AB124" s="274"/>
      <c r="AC124" s="269"/>
      <c r="AD124" s="267"/>
      <c r="AE124" s="279"/>
      <c r="AF124" s="281"/>
      <c r="AG124" s="283"/>
      <c r="AH124" s="283"/>
      <c r="AI124" s="283"/>
      <c r="AJ124" s="283"/>
      <c r="AK124" s="283"/>
      <c r="AL124" s="283"/>
      <c r="AM124" s="283"/>
      <c r="AN124" s="283"/>
      <c r="AO124" s="283"/>
      <c r="AP124" s="283"/>
      <c r="AQ124" s="283"/>
      <c r="AR124" s="283"/>
      <c r="AS124" s="283"/>
      <c r="AT124" s="283"/>
      <c r="AU124" s="283"/>
      <c r="AV124" s="283"/>
      <c r="AW124" s="283"/>
      <c r="AX124" s="264"/>
      <c r="AY124" s="49">
        <f ca="1"/>
        <v>0</v>
      </c>
      <c r="AZ124" s="49"/>
      <c r="BA124" s="49">
        <f ca="1"/>
        <v>0</v>
      </c>
      <c r="BB124" s="49"/>
      <c r="BC124" s="49">
        <f ca="1"/>
        <v>0</v>
      </c>
      <c r="BD124" s="49">
        <f ca="1"/>
        <v>0</v>
      </c>
      <c r="BE124" s="49">
        <f ca="1"/>
        <v>0</v>
      </c>
      <c r="BF124" s="49">
        <f ca="1"/>
        <v>0</v>
      </c>
      <c r="BG124" s="49">
        <f ca="1"/>
        <v>0</v>
      </c>
      <c r="BH124" s="49">
        <f ca="1"/>
        <v>0</v>
      </c>
      <c r="BI124" s="49"/>
      <c r="BJ124" s="49"/>
      <c r="BK124" s="49"/>
      <c r="BL124" s="49"/>
      <c r="BM124" s="359" t="str">
        <v/>
      </c>
      <c r="BN124" s="324">
        <v>0</v>
      </c>
      <c r="BO124" s="109" t="str">
        <f>IF(BO123="","",BN123)</f>
        <v/>
      </c>
      <c r="BP124" s="171" t="str">
        <v/>
      </c>
      <c r="BQ124" s="172"/>
      <c r="BR124" s="264" t="str">
        <v/>
      </c>
      <c r="BS124" s="264">
        <v>0</v>
      </c>
      <c r="BT124" s="109" t="str">
        <f>IF(BT123="","",BS123)</f>
        <v/>
      </c>
      <c r="BU124" s="109" t="str">
        <v/>
      </c>
      <c r="BV124" s="124"/>
      <c r="BW124" s="359" t="str">
        <v/>
      </c>
      <c r="BX124" s="324">
        <v>0</v>
      </c>
      <c r="BY124" s="102" t="str">
        <f>IF(BY123="","",BX123)</f>
        <v xml:space="preserve"> </v>
      </c>
      <c r="BZ124" s="173" t="str">
        <f t="shared" si="17"/>
        <v xml:space="preserve"> </v>
      </c>
      <c r="CA124" s="174"/>
      <c r="CB124" s="175" t="str">
        <f t="shared" si="18"/>
        <v>св</v>
      </c>
      <c r="CC124" s="174"/>
      <c r="CD124" s="176"/>
      <c r="CE124" s="264" t="str">
        <v/>
      </c>
      <c r="CF124" s="264">
        <v>0</v>
      </c>
      <c r="CG124" s="113" t="str">
        <f>IF(CG123="","",CF123)</f>
        <v xml:space="preserve"> </v>
      </c>
      <c r="CH124" s="128" t="str">
        <v xml:space="preserve"> </v>
      </c>
      <c r="CI124" s="49"/>
      <c r="CJ124" s="49" t="str">
        <v/>
      </c>
      <c r="CK124" s="153">
        <v>0</v>
      </c>
      <c r="CL124" s="113" t="str">
        <f>IF(CL123="","",CK123)</f>
        <v xml:space="preserve"> </v>
      </c>
      <c r="CM124" s="49" t="str">
        <v xml:space="preserve"> </v>
      </c>
      <c r="CN124" s="49"/>
      <c r="CO124" s="264" t="str">
        <v/>
      </c>
      <c r="CP124" s="264">
        <v>0</v>
      </c>
      <c r="CQ124" s="113" t="str">
        <f>IF(CQ123="","",CP123)</f>
        <v xml:space="preserve"> </v>
      </c>
      <c r="CR124" s="49" t="str">
        <v xml:space="preserve"> </v>
      </c>
      <c r="CS124" s="49"/>
      <c r="CT124" s="264" t="str">
        <v/>
      </c>
      <c r="CU124" s="264">
        <v>0</v>
      </c>
      <c r="CV124" s="113" t="str">
        <f>IF(CV123="","",CU123)</f>
        <v xml:space="preserve"> </v>
      </c>
      <c r="CW124" s="49" t="str">
        <v xml:space="preserve"> </v>
      </c>
      <c r="CX124" s="49"/>
      <c r="CY124" s="49" t="str">
        <v/>
      </c>
      <c r="CZ124" s="49">
        <v>0</v>
      </c>
      <c r="DA124" s="113" t="str">
        <f>IF(DA123="","",CZ123)</f>
        <v xml:space="preserve"> </v>
      </c>
      <c r="DB124" s="49" t="str">
        <v xml:space="preserve"> </v>
      </c>
      <c r="DC124" s="49"/>
      <c r="DD124" s="49" t="str">
        <v/>
      </c>
      <c r="DE124" s="49"/>
      <c r="DF124" s="49"/>
      <c r="DG124" s="49"/>
      <c r="DH124" s="49"/>
    </row>
    <row r="125" spans="1:112" ht="13.5" hidden="1" customHeight="1">
      <c r="A125" s="177"/>
      <c r="B125" s="299">
        <v>60</v>
      </c>
      <c r="C125" s="270" t="e">
        <f>(VLOOKUP($B125,Пр.взв!$D$6:$J$63,2,0))</f>
        <v>#N/A</v>
      </c>
      <c r="D125" s="271" t="e">
        <f>(VLOOKUP($B125,Пр.взв!$D$6:$J$63,5,0))</f>
        <v>#N/A</v>
      </c>
      <c r="E125" s="272" t="e">
        <f>(VLOOKUP($B125,Пр.взв!$D$6:$M$63,8,0))</f>
        <v>#N/A</v>
      </c>
      <c r="F125" s="273"/>
      <c r="G125" s="87"/>
      <c r="H125" s="266"/>
      <c r="I125" s="89"/>
      <c r="J125" s="266" t="str">
        <f>IF(H125="Х","Х",IF($AC125&lt;6," ","Х"))</f>
        <v xml:space="preserve"> </v>
      </c>
      <c r="K125" s="87"/>
      <c r="L125" s="266" t="str">
        <f>IF(J125="Х","Х",IF(K125&lt;3," ",IF($AC125&lt;6," ","Х")))</f>
        <v xml:space="preserve"> </v>
      </c>
      <c r="M125" s="87"/>
      <c r="N125" s="266" t="str">
        <f>IF(L125="Х","Х",IF(M125&lt;3," ",IF($AC125&lt;6," ","Х")))</f>
        <v xml:space="preserve"> </v>
      </c>
      <c r="O125" s="87"/>
      <c r="P125" s="266" t="str">
        <f>IF(N125="Х","Х",IF(O125&lt;3," ",IF($AC125&lt;6," ","Х")))</f>
        <v xml:space="preserve"> </v>
      </c>
      <c r="Q125" s="87"/>
      <c r="R125" s="266" t="str">
        <f>IF(P125="Х","Х",IF(Q125&lt;3," ",IF($AC125&lt;6," ","Х")))</f>
        <v xml:space="preserve"> </v>
      </c>
      <c r="S125" s="87"/>
      <c r="T125" s="266" t="str">
        <f>IF(R125="Х","Х",IF(S125&lt;3," ",IF($AC125&lt;6," ","Х")))</f>
        <v xml:space="preserve"> </v>
      </c>
      <c r="U125" s="88"/>
      <c r="V125" s="266" t="str">
        <f>IF(T125="Х","Х",IF(U125&lt;3," ",IF($AC125&lt;6," ","Х")))</f>
        <v xml:space="preserve"> </v>
      </c>
      <c r="W125" s="88"/>
      <c r="X125" s="266" t="str">
        <f>IF(V125="А1",$AZ$7,IF(V125="Б2",$AZ$6,IF(V125="Б1",$BA$7,IF(V125="А2",$BA$6,IF(V125="Х","Х",IF(V125&lt;6," "," "))))))</f>
        <v xml:space="preserve"> </v>
      </c>
      <c r="Y125" s="89"/>
      <c r="Z125" s="266" t="str">
        <f>IF(V125="Х","Х",IF(ISBLANK(Y125),"",IF(Y125&gt;2.5," ",IF(B125=BB$6,BB$7,BB$6))))</f>
        <v/>
      </c>
      <c r="AA125" s="89"/>
      <c r="AB125" s="290" t="str">
        <f>IF(H125="Х",F$5,IF(J125="Х",H$5,IF(L125="Х",J$5,IF(N125="Х",L$5,IF(P125="Х",N$5,IF(R125="Х",P$5,IF(T125="Х",R$5,IF(X125="Х",T$5,""))))))))</f>
        <v/>
      </c>
      <c r="AC125" s="276">
        <f>SUM(G125+I125+K125+M125+O125+Q125+S125+U125+Y125+AA125)</f>
        <v>0</v>
      </c>
      <c r="AD125" s="291" t="str">
        <f>AF125</f>
        <v>27-71</v>
      </c>
      <c r="AE125" s="278" t="str">
        <f>AD125</f>
        <v>27-71</v>
      </c>
      <c r="AF125" s="280" t="str">
        <f>COUNTIF(AG$6:AG$148,"&gt;"&amp;AG$6:AG$148)+1&amp;REPT("-"&amp;COUNTIF(AG$6:AG$148,"&gt;="&amp;AG$6:AG$148),COUNTIF(AG$6:AG$148,AG125)&gt;1)</f>
        <v>27-71</v>
      </c>
      <c r="AG125" s="282">
        <f>(AR125*100)+(AP125*10)-AC125</f>
        <v>80</v>
      </c>
      <c r="AH125" s="288" t="str">
        <f>IF(OR(F125="Х",F125="св")," ",IF(AND(G125&gt;=0,G125&lt;3),"1"," "))</f>
        <v>1</v>
      </c>
      <c r="AI125" s="289" t="str">
        <f>IF(OR(H125="Х",H125="св")," ",IF(AND(I125&gt;=0,I125&lt;3),"1"," "))</f>
        <v>1</v>
      </c>
      <c r="AJ125" s="289" t="str">
        <f>IF(OR(J125="Х",J125="св")," ",IF(AND(K125&gt;=0,K125&lt;3),"1"," "))</f>
        <v>1</v>
      </c>
      <c r="AK125" s="289" t="str">
        <f>IF(OR(L125="Х",L125="св")," ",IF(AND(M125&gt;=0,M125&lt;3),"1"," "))</f>
        <v>1</v>
      </c>
      <c r="AL125" s="289" t="str">
        <f>IF(OR(N125="Х",N125="св")," ",IF(AND(O125&gt;=0,O125&lt;3),"1"," "))</f>
        <v>1</v>
      </c>
      <c r="AM125" s="289" t="str">
        <f>IF(OR(P125="Х",P125="св")," ",IF(AND(Q125&gt;=0,Q125&lt;3),"1"," "))</f>
        <v>1</v>
      </c>
      <c r="AN125" s="289" t="str">
        <f>IF(OR(R125="Х",R125="св")," ",IF(AND(S125&gt;=0,S125&lt;3),"1"," "))</f>
        <v>1</v>
      </c>
      <c r="AO125" s="289" t="str">
        <f>IF(OR(T125="Х",T125="св")," ",IF(AND(U125&gt;=0,U125&lt;3),"1"," "))</f>
        <v>1</v>
      </c>
      <c r="AP125" s="289">
        <f>COUNTIF(AH125:AO126,1)</f>
        <v>8</v>
      </c>
      <c r="AQ125" s="289">
        <f>AG125-AC125</f>
        <v>80</v>
      </c>
      <c r="AR125" s="292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289" t="str">
        <f>COUNTIF(AG$6:AG$134,"&gt;"&amp;AG$6:AG$134)+1&amp;REPT("-"&amp;COUNTIF(AG$6:AG$134,"&gt;="&amp;AG$6:AG$134),COUNTIF(AG$6:AG$134,AG125)&gt;1)</f>
        <v>27-64</v>
      </c>
      <c r="AT125" s="288" t="str">
        <f t="shared" ref="AT125:AW125" si="64">COUNTIF(AU$6:AU$134,"&gt;"&amp;AU$6:AU$134)+1&amp;REPT("-"&amp;COUNTIF(AU$6:AU$134,"&gt;="&amp;AU$6:AU$134),COUNTIF(AU$6:AU$134,AU125)&gt;1)</f>
        <v>1-64</v>
      </c>
      <c r="AU125" s="288" t="str">
        <f t="shared" si="64"/>
        <v>1-0</v>
      </c>
      <c r="AV125" s="288" t="str">
        <f t="shared" si="64"/>
        <v>1</v>
      </c>
      <c r="AW125" s="288" t="str">
        <f t="shared" si="64"/>
        <v>5</v>
      </c>
      <c r="AX125" s="293">
        <f>IF(X125="Х","Х",IF(Y125&lt;3,B125,"Х"))</f>
        <v>60</v>
      </c>
      <c r="AY125" s="49">
        <f ca="1"/>
        <v>0</v>
      </c>
      <c r="AZ125" s="49"/>
      <c r="BA125" s="49">
        <f ca="1"/>
        <v>0</v>
      </c>
      <c r="BB125" s="49"/>
      <c r="BC125" s="49">
        <f ca="1"/>
        <v>0</v>
      </c>
      <c r="BD125" s="49">
        <f ca="1"/>
        <v>0</v>
      </c>
      <c r="BE125" s="49">
        <f ca="1"/>
        <v>0</v>
      </c>
      <c r="BF125" s="49">
        <f ca="1"/>
        <v>0</v>
      </c>
      <c r="BG125" s="49">
        <f ca="1"/>
        <v>0</v>
      </c>
      <c r="BH125" s="49">
        <f ca="1"/>
        <v>0</v>
      </c>
      <c r="BI125" s="49"/>
      <c r="BJ125" s="49"/>
      <c r="BK125" s="49"/>
      <c r="BL125" s="49"/>
      <c r="BM125" s="294">
        <v>60</v>
      </c>
      <c r="BN125" s="287">
        <v>0</v>
      </c>
      <c r="BO125" s="98" t="str">
        <f>IF(BM125&lt;BN125,BM125,"")</f>
        <v/>
      </c>
      <c r="BP125" s="124" t="str">
        <v/>
      </c>
      <c r="BQ125" s="125"/>
      <c r="BR125" s="295" t="str">
        <v/>
      </c>
      <c r="BS125" s="287">
        <v>0</v>
      </c>
      <c r="BT125" s="109" t="str">
        <f>IF(BR125&lt;BS125,BR125,"")</f>
        <v/>
      </c>
      <c r="BU125" s="124" t="str">
        <v/>
      </c>
      <c r="BV125" s="124"/>
      <c r="BW125" s="284">
        <v>60</v>
      </c>
      <c r="BX125" s="286" t="str">
        <v xml:space="preserve"> </v>
      </c>
      <c r="BY125" s="102">
        <f t="array" ref="BY125">IF(BW125&lt;BX125,BW125,"")</f>
        <v>60</v>
      </c>
      <c r="BZ125" s="102">
        <f t="shared" si="17"/>
        <v>60</v>
      </c>
      <c r="CA125" s="63"/>
      <c r="CB125" s="63" t="str">
        <f t="shared" si="18"/>
        <v>св</v>
      </c>
      <c r="CC125" s="128"/>
      <c r="CD125" s="159"/>
      <c r="CE125" s="286">
        <v>60</v>
      </c>
      <c r="CF125" s="296" t="str">
        <v xml:space="preserve"> </v>
      </c>
      <c r="CG125" s="98">
        <f t="array" ref="CG125">IF(CE125&lt;CF125,CE125,"")</f>
        <v>60</v>
      </c>
      <c r="CH125" s="63">
        <v>60</v>
      </c>
      <c r="CI125" s="49"/>
      <c r="CJ125" s="65">
        <v>60</v>
      </c>
      <c r="CK125" s="151" t="str">
        <v xml:space="preserve"> </v>
      </c>
      <c r="CL125" s="98">
        <f t="array" ref="CL125">IF(CJ125&lt;CK125,CJ125,"")</f>
        <v>60</v>
      </c>
      <c r="CM125" s="49">
        <v>60</v>
      </c>
      <c r="CN125" s="49"/>
      <c r="CO125" s="286">
        <v>60</v>
      </c>
      <c r="CP125" s="286" t="str">
        <v xml:space="preserve"> </v>
      </c>
      <c r="CQ125" s="98">
        <f t="array" ref="CQ125">IF(CO125&lt;CP125,CO125,"")</f>
        <v>60</v>
      </c>
      <c r="CR125" s="65">
        <v>60</v>
      </c>
      <c r="CS125" s="49"/>
      <c r="CT125" s="286">
        <v>60</v>
      </c>
      <c r="CU125" s="286" t="str">
        <v xml:space="preserve"> </v>
      </c>
      <c r="CV125" s="98">
        <f t="array" ref="CV125">IF(CT125&lt;CU125,CT125,"")</f>
        <v>60</v>
      </c>
      <c r="CW125" s="49">
        <v>60</v>
      </c>
      <c r="CX125" s="49"/>
      <c r="CY125" s="49">
        <v>60</v>
      </c>
      <c r="CZ125" s="49" t="str">
        <v xml:space="preserve"> </v>
      </c>
      <c r="DA125" s="98">
        <f t="array" ref="DA125">IF(CY125&lt;CZ125,CY125,"")</f>
        <v>60</v>
      </c>
      <c r="DB125" s="49">
        <v>60</v>
      </c>
      <c r="DC125" s="49"/>
      <c r="DD125" s="49">
        <v>60</v>
      </c>
      <c r="DE125" s="49"/>
      <c r="DF125" s="49"/>
      <c r="DG125" s="49"/>
      <c r="DH125" s="49"/>
    </row>
    <row r="126" spans="1:112" ht="13.5" hidden="1" customHeight="1">
      <c r="A126" s="177"/>
      <c r="B126" s="269"/>
      <c r="C126" s="269"/>
      <c r="D126" s="269"/>
      <c r="E126" s="269"/>
      <c r="F126" s="274"/>
      <c r="G126" s="106"/>
      <c r="H126" s="267"/>
      <c r="I126" s="106"/>
      <c r="J126" s="267"/>
      <c r="K126" s="106"/>
      <c r="L126" s="267"/>
      <c r="M126" s="106"/>
      <c r="N126" s="267"/>
      <c r="O126" s="106"/>
      <c r="P126" s="267"/>
      <c r="Q126" s="106"/>
      <c r="R126" s="267"/>
      <c r="S126" s="106"/>
      <c r="T126" s="267"/>
      <c r="U126" s="107"/>
      <c r="V126" s="267"/>
      <c r="W126" s="107"/>
      <c r="X126" s="267"/>
      <c r="Y126" s="106"/>
      <c r="Z126" s="267"/>
      <c r="AA126" s="106"/>
      <c r="AB126" s="274"/>
      <c r="AC126" s="269"/>
      <c r="AD126" s="267"/>
      <c r="AE126" s="279"/>
      <c r="AF126" s="281"/>
      <c r="AG126" s="283"/>
      <c r="AH126" s="283"/>
      <c r="AI126" s="283"/>
      <c r="AJ126" s="283"/>
      <c r="AK126" s="283"/>
      <c r="AL126" s="283"/>
      <c r="AM126" s="283"/>
      <c r="AN126" s="283"/>
      <c r="AO126" s="283"/>
      <c r="AP126" s="283"/>
      <c r="AQ126" s="283"/>
      <c r="AR126" s="283"/>
      <c r="AS126" s="283"/>
      <c r="AT126" s="283"/>
      <c r="AU126" s="283"/>
      <c r="AV126" s="283"/>
      <c r="AW126" s="283"/>
      <c r="AX126" s="264"/>
      <c r="AY126" s="49">
        <f ca="1"/>
        <v>0</v>
      </c>
      <c r="AZ126" s="49"/>
      <c r="BA126" s="49">
        <f ca="1"/>
        <v>0</v>
      </c>
      <c r="BB126" s="49"/>
      <c r="BC126" s="49">
        <f ca="1"/>
        <v>0</v>
      </c>
      <c r="BD126" s="49">
        <f ca="1"/>
        <v>0</v>
      </c>
      <c r="BE126" s="49">
        <f ca="1"/>
        <v>0</v>
      </c>
      <c r="BF126" s="49">
        <f ca="1"/>
        <v>0</v>
      </c>
      <c r="BG126" s="49">
        <f ca="1"/>
        <v>0</v>
      </c>
      <c r="BH126" s="49">
        <f ca="1"/>
        <v>0</v>
      </c>
      <c r="BI126" s="49"/>
      <c r="BJ126" s="49"/>
      <c r="BK126" s="49"/>
      <c r="BL126" s="49"/>
      <c r="BM126" s="359" t="str">
        <v/>
      </c>
      <c r="BN126" s="324">
        <v>0</v>
      </c>
      <c r="BO126" s="109" t="str">
        <f>IF(BO125="","",BN125)</f>
        <v/>
      </c>
      <c r="BP126" s="171" t="str">
        <v/>
      </c>
      <c r="BQ126" s="172"/>
      <c r="BR126" s="264" t="str">
        <v/>
      </c>
      <c r="BS126" s="264">
        <v>0</v>
      </c>
      <c r="BT126" s="109" t="str">
        <f>IF(BT125="","",BS125)</f>
        <v/>
      </c>
      <c r="BU126" s="109" t="str">
        <v/>
      </c>
      <c r="BV126" s="124"/>
      <c r="BW126" s="359" t="str">
        <v/>
      </c>
      <c r="BX126" s="324">
        <v>0</v>
      </c>
      <c r="BY126" s="102" t="str">
        <f>IF(BY125="","",BX125)</f>
        <v xml:space="preserve"> </v>
      </c>
      <c r="BZ126" s="173" t="str">
        <f t="shared" si="17"/>
        <v xml:space="preserve"> </v>
      </c>
      <c r="CA126" s="174"/>
      <c r="CB126" s="175" t="str">
        <f t="shared" si="18"/>
        <v>св</v>
      </c>
      <c r="CC126" s="174"/>
      <c r="CD126" s="176"/>
      <c r="CE126" s="264" t="str">
        <v/>
      </c>
      <c r="CF126" s="264">
        <v>0</v>
      </c>
      <c r="CG126" s="113" t="str">
        <f>IF(CG125="","",CF125)</f>
        <v xml:space="preserve"> </v>
      </c>
      <c r="CH126" s="128" t="str">
        <v xml:space="preserve"> </v>
      </c>
      <c r="CI126" s="49"/>
      <c r="CJ126" s="49" t="str">
        <v/>
      </c>
      <c r="CK126" s="153">
        <v>0</v>
      </c>
      <c r="CL126" s="113" t="str">
        <f>IF(CL125="","",CK125)</f>
        <v xml:space="preserve"> </v>
      </c>
      <c r="CM126" s="49" t="str">
        <v xml:space="preserve"> </v>
      </c>
      <c r="CN126" s="49"/>
      <c r="CO126" s="264" t="str">
        <v/>
      </c>
      <c r="CP126" s="264">
        <v>0</v>
      </c>
      <c r="CQ126" s="113" t="str">
        <f>IF(CQ125="","",CP125)</f>
        <v xml:space="preserve"> </v>
      </c>
      <c r="CR126" s="49" t="str">
        <v xml:space="preserve"> </v>
      </c>
      <c r="CS126" s="49"/>
      <c r="CT126" s="264" t="str">
        <v/>
      </c>
      <c r="CU126" s="264">
        <v>0</v>
      </c>
      <c r="CV126" s="113" t="str">
        <f>IF(CV125="","",CU125)</f>
        <v xml:space="preserve"> </v>
      </c>
      <c r="CW126" s="49" t="str">
        <v xml:space="preserve"> </v>
      </c>
      <c r="CX126" s="49"/>
      <c r="CY126" s="49" t="str">
        <v/>
      </c>
      <c r="CZ126" s="49">
        <v>0</v>
      </c>
      <c r="DA126" s="113" t="str">
        <f>IF(DA125="","",CZ125)</f>
        <v xml:space="preserve"> </v>
      </c>
      <c r="DB126" s="49" t="str">
        <v xml:space="preserve"> </v>
      </c>
      <c r="DC126" s="49"/>
      <c r="DD126" s="49" t="str">
        <v/>
      </c>
      <c r="DE126" s="49"/>
      <c r="DF126" s="49"/>
      <c r="DG126" s="49"/>
      <c r="DH126" s="49"/>
    </row>
    <row r="127" spans="1:112" ht="13.5" hidden="1" customHeight="1">
      <c r="A127" s="177"/>
      <c r="B127" s="299">
        <v>61</v>
      </c>
      <c r="C127" s="270" t="e">
        <f>(VLOOKUP($B127,Пр.взв!$D$6:$J$63,2,0))</f>
        <v>#N/A</v>
      </c>
      <c r="D127" s="271" t="e">
        <f>(VLOOKUP($B127,Пр.взв!$D$6:$J$63,5,0))</f>
        <v>#N/A</v>
      </c>
      <c r="E127" s="272" t="e">
        <f>(VLOOKUP($B127,Пр.взв!$D$6:$M$63,8,0))</f>
        <v>#N/A</v>
      </c>
      <c r="F127" s="273"/>
      <c r="G127" s="87"/>
      <c r="H127" s="266"/>
      <c r="I127" s="87"/>
      <c r="J127" s="266" t="str">
        <f>IF(H127="Х","Х",IF($AC127&lt;6," ","Х"))</f>
        <v xml:space="preserve"> </v>
      </c>
      <c r="K127" s="87"/>
      <c r="L127" s="266" t="str">
        <f>IF(J127="Х","Х",IF(K127&lt;3," ",IF($AC127&lt;6," ","Х")))</f>
        <v xml:space="preserve"> </v>
      </c>
      <c r="M127" s="87"/>
      <c r="N127" s="266" t="str">
        <f>IF(L127="Х","Х",IF(M127&lt;3," ",IF($AC127&lt;6," ","Х")))</f>
        <v xml:space="preserve"> </v>
      </c>
      <c r="O127" s="87"/>
      <c r="P127" s="266" t="str">
        <f>IF(N127="Х","Х",IF(O127&lt;3," ",IF($AC127&lt;6," ","Х")))</f>
        <v xml:space="preserve"> </v>
      </c>
      <c r="Q127" s="87"/>
      <c r="R127" s="266" t="str">
        <f>IF(P127="Х","Х",IF(Q127&lt;3," ",IF($AC127&lt;6," ","Х")))</f>
        <v xml:space="preserve"> </v>
      </c>
      <c r="S127" s="87"/>
      <c r="T127" s="266" t="str">
        <f>IF(R127="Х","Х",IF(S127&lt;3," ",IF($AC127&lt;6," ","Х")))</f>
        <v xml:space="preserve"> </v>
      </c>
      <c r="U127" s="88"/>
      <c r="V127" s="266" t="str">
        <f>IF(T127="Х","Х",IF(U127&lt;3," ",IF($AC127&lt;6," ","Х")))</f>
        <v xml:space="preserve"> </v>
      </c>
      <c r="W127" s="88"/>
      <c r="X127" s="266" t="str">
        <f>IF(V127="А1",$AZ$7,IF(V127="Б2",$AZ$6,IF(V127="Б1",$BA$7,IF(V127="А2",$BA$6,IF(V127="Х","Х",IF(V127&lt;6," "," "))))))</f>
        <v xml:space="preserve"> </v>
      </c>
      <c r="Y127" s="89"/>
      <c r="Z127" s="266" t="str">
        <f>IF(V127="Х","Х",IF(ISBLANK(Y127),"",IF(Y127&gt;2.5," ",IF(B127=BB$6,BB$7,BB$6))))</f>
        <v/>
      </c>
      <c r="AA127" s="89"/>
      <c r="AB127" s="290" t="str">
        <f>IF(H127="Х",F$5,IF(J127="Х",H$5,IF(L127="Х",J$5,IF(N127="Х",L$5,IF(P127="Х",N$5,IF(R127="Х",P$5,IF(T127="Х",R$5,IF(X127="Х",T$5,""))))))))</f>
        <v/>
      </c>
      <c r="AC127" s="276">
        <f>SUM(G127+I127+K127+M127+O127+Q127+S127+U127+Y127+AA127)</f>
        <v>0</v>
      </c>
      <c r="AD127" s="291" t="str">
        <f>AF127</f>
        <v>27-71</v>
      </c>
      <c r="AE127" s="278" t="str">
        <f>AD127</f>
        <v>27-71</v>
      </c>
      <c r="AF127" s="280" t="str">
        <f>COUNTIF(AG$6:AG$148,"&gt;"&amp;AG$6:AG$148)+1&amp;REPT("-"&amp;COUNTIF(AG$6:AG$148,"&gt;="&amp;AG$6:AG$148),COUNTIF(AG$6:AG$148,AG127)&gt;1)</f>
        <v>27-71</v>
      </c>
      <c r="AG127" s="282">
        <f>(AR127*100)+(AP127*10)-AC127</f>
        <v>80</v>
      </c>
      <c r="AH127" s="288" t="str">
        <f>IF(OR(F127="Х",F127="св")," ",IF(AND(G127&gt;=0,G127&lt;3),"1"," "))</f>
        <v>1</v>
      </c>
      <c r="AI127" s="289" t="str">
        <f>IF(OR(H127="Х",H127="св")," ",IF(AND(I127&gt;=0,I127&lt;3),"1"," "))</f>
        <v>1</v>
      </c>
      <c r="AJ127" s="289" t="str">
        <f>IF(OR(J127="Х",J127="св")," ",IF(AND(K127&gt;=0,K127&lt;3),"1"," "))</f>
        <v>1</v>
      </c>
      <c r="AK127" s="289" t="str">
        <f>IF(OR(L127="Х",L127="св")," ",IF(AND(M127&gt;=0,M127&lt;3),"1"," "))</f>
        <v>1</v>
      </c>
      <c r="AL127" s="289" t="str">
        <f>IF(OR(N127="Х",N127="св")," ",IF(AND(O127&gt;=0,O127&lt;3),"1"," "))</f>
        <v>1</v>
      </c>
      <c r="AM127" s="289" t="str">
        <f>IF(OR(P127="Х",P127="св")," ",IF(AND(Q127&gt;=0,Q127&lt;3),"1"," "))</f>
        <v>1</v>
      </c>
      <c r="AN127" s="289" t="str">
        <f>IF(OR(R127="Х",R127="св")," ",IF(AND(S127&gt;=0,S127&lt;3),"1"," "))</f>
        <v>1</v>
      </c>
      <c r="AO127" s="289" t="str">
        <f>IF(OR(T127="Х",T127="св")," ",IF(AND(U127&gt;=0,U127&lt;3),"1"," "))</f>
        <v>1</v>
      </c>
      <c r="AP127" s="289">
        <f>COUNTIF(AH127:AO128,1)</f>
        <v>8</v>
      </c>
      <c r="AQ127" s="289">
        <f>AG127-AC127</f>
        <v>80</v>
      </c>
      <c r="AR127" s="292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289" t="str">
        <f>COUNTIF(AG$6:AG$134,"&gt;"&amp;AG$6:AG$134)+1&amp;REPT("-"&amp;COUNTIF(AG$6:AG$134,"&gt;="&amp;AG$6:AG$134),COUNTIF(AG$6:AG$134,AG127)&gt;1)</f>
        <v>27-64</v>
      </c>
      <c r="AT127" s="288" t="str">
        <f t="shared" ref="AT127:AW127" si="65">COUNTIF(AU$6:AU$134,"&gt;"&amp;AU$6:AU$134)+1&amp;REPT("-"&amp;COUNTIF(AU$6:AU$134,"&gt;="&amp;AU$6:AU$134),COUNTIF(AU$6:AU$134,AU127)&gt;1)</f>
        <v>1-64</v>
      </c>
      <c r="AU127" s="288" t="str">
        <f t="shared" si="65"/>
        <v>1-0</v>
      </c>
      <c r="AV127" s="288" t="str">
        <f t="shared" si="65"/>
        <v>1</v>
      </c>
      <c r="AW127" s="288" t="str">
        <f t="shared" si="65"/>
        <v>4</v>
      </c>
      <c r="AX127" s="293">
        <f>IF(X127="Х","Х",IF(Y127&lt;3,B127,"Х"))</f>
        <v>61</v>
      </c>
      <c r="AY127" s="49">
        <f ca="1"/>
        <v>0</v>
      </c>
      <c r="AZ127" s="49"/>
      <c r="BA127" s="49">
        <f ca="1"/>
        <v>0</v>
      </c>
      <c r="BB127" s="49"/>
      <c r="BC127" s="49">
        <f ca="1"/>
        <v>0</v>
      </c>
      <c r="BD127" s="49">
        <f ca="1"/>
        <v>0</v>
      </c>
      <c r="BE127" s="49">
        <f ca="1"/>
        <v>0</v>
      </c>
      <c r="BF127" s="49">
        <f ca="1"/>
        <v>0</v>
      </c>
      <c r="BG127" s="49">
        <f ca="1"/>
        <v>0</v>
      </c>
      <c r="BH127" s="49">
        <f ca="1"/>
        <v>0</v>
      </c>
      <c r="BI127" s="49"/>
      <c r="BJ127" s="49"/>
      <c r="BK127" s="49"/>
      <c r="BL127" s="49"/>
      <c r="BM127" s="294">
        <v>61</v>
      </c>
      <c r="BN127" s="287">
        <v>0</v>
      </c>
      <c r="BO127" s="98" t="str">
        <f>IF(BM127&lt;BN127,BM127,"")</f>
        <v/>
      </c>
      <c r="BP127" s="124" t="str">
        <v/>
      </c>
      <c r="BQ127" s="125"/>
      <c r="BR127" s="295" t="str">
        <v/>
      </c>
      <c r="BS127" s="287">
        <v>0</v>
      </c>
      <c r="BT127" s="109" t="str">
        <f>IF(BR127&lt;BS127,BR127,"")</f>
        <v/>
      </c>
      <c r="BU127" s="124" t="str">
        <v/>
      </c>
      <c r="BV127" s="124"/>
      <c r="BW127" s="284">
        <v>61</v>
      </c>
      <c r="BX127" s="286" t="str">
        <v xml:space="preserve"> </v>
      </c>
      <c r="BY127" s="102">
        <f t="array" ref="BY127">IF(BW127&lt;BX127,BW127,"")</f>
        <v>61</v>
      </c>
      <c r="BZ127" s="102">
        <f t="shared" si="17"/>
        <v>61</v>
      </c>
      <c r="CA127" s="63"/>
      <c r="CB127" s="63" t="str">
        <f t="shared" si="18"/>
        <v>св</v>
      </c>
      <c r="CC127" s="128"/>
      <c r="CD127" s="159"/>
      <c r="CE127" s="286">
        <v>61</v>
      </c>
      <c r="CF127" s="296" t="str">
        <v xml:space="preserve"> </v>
      </c>
      <c r="CG127" s="98">
        <f t="array" ref="CG127">IF(CE127&lt;CF127,CE127,"")</f>
        <v>61</v>
      </c>
      <c r="CH127" s="63">
        <v>61</v>
      </c>
      <c r="CI127" s="49"/>
      <c r="CJ127" s="65">
        <v>61</v>
      </c>
      <c r="CK127" s="151" t="str">
        <v xml:space="preserve"> </v>
      </c>
      <c r="CL127" s="98">
        <f t="array" ref="CL127">IF(CJ127&lt;CK127,CJ127,"")</f>
        <v>61</v>
      </c>
      <c r="CM127" s="49">
        <v>61</v>
      </c>
      <c r="CN127" s="49"/>
      <c r="CO127" s="286">
        <v>61</v>
      </c>
      <c r="CP127" s="286" t="str">
        <v xml:space="preserve"> </v>
      </c>
      <c r="CQ127" s="98">
        <f t="array" ref="CQ127">IF(CO127&lt;CP127,CO127,"")</f>
        <v>61</v>
      </c>
      <c r="CR127" s="65">
        <v>61</v>
      </c>
      <c r="CS127" s="49"/>
      <c r="CT127" s="286">
        <v>61</v>
      </c>
      <c r="CU127" s="286" t="str">
        <v xml:space="preserve"> </v>
      </c>
      <c r="CV127" s="98">
        <f t="array" ref="CV127">IF(CT127&lt;CU127,CT127,"")</f>
        <v>61</v>
      </c>
      <c r="CW127" s="49">
        <v>61</v>
      </c>
      <c r="CX127" s="49"/>
      <c r="CY127" s="49">
        <v>61</v>
      </c>
      <c r="CZ127" s="49" t="str">
        <v xml:space="preserve"> </v>
      </c>
      <c r="DA127" s="98">
        <f t="array" ref="DA127">IF(CY127&lt;CZ127,CY127,"")</f>
        <v>61</v>
      </c>
      <c r="DB127" s="49">
        <v>61</v>
      </c>
      <c r="DC127" s="49"/>
      <c r="DD127" s="49">
        <v>61</v>
      </c>
      <c r="DE127" s="49"/>
      <c r="DF127" s="49"/>
      <c r="DG127" s="49"/>
      <c r="DH127" s="49"/>
    </row>
    <row r="128" spans="1:112" ht="13.5" hidden="1" customHeight="1">
      <c r="A128" s="177"/>
      <c r="B128" s="269"/>
      <c r="C128" s="269"/>
      <c r="D128" s="269"/>
      <c r="E128" s="269"/>
      <c r="F128" s="274"/>
      <c r="G128" s="106"/>
      <c r="H128" s="267"/>
      <c r="I128" s="106"/>
      <c r="J128" s="267"/>
      <c r="K128" s="106"/>
      <c r="L128" s="267"/>
      <c r="M128" s="106"/>
      <c r="N128" s="267"/>
      <c r="O128" s="106"/>
      <c r="P128" s="267"/>
      <c r="Q128" s="106"/>
      <c r="R128" s="267"/>
      <c r="S128" s="106"/>
      <c r="T128" s="267"/>
      <c r="U128" s="107"/>
      <c r="V128" s="267"/>
      <c r="W128" s="107"/>
      <c r="X128" s="267"/>
      <c r="Y128" s="106"/>
      <c r="Z128" s="267"/>
      <c r="AA128" s="106"/>
      <c r="AB128" s="274"/>
      <c r="AC128" s="269"/>
      <c r="AD128" s="267"/>
      <c r="AE128" s="279"/>
      <c r="AF128" s="281"/>
      <c r="AG128" s="283"/>
      <c r="AH128" s="283"/>
      <c r="AI128" s="283"/>
      <c r="AJ128" s="283"/>
      <c r="AK128" s="283"/>
      <c r="AL128" s="283"/>
      <c r="AM128" s="283"/>
      <c r="AN128" s="283"/>
      <c r="AO128" s="283"/>
      <c r="AP128" s="283"/>
      <c r="AQ128" s="283"/>
      <c r="AR128" s="283"/>
      <c r="AS128" s="283"/>
      <c r="AT128" s="283"/>
      <c r="AU128" s="283"/>
      <c r="AV128" s="283"/>
      <c r="AW128" s="283"/>
      <c r="AX128" s="264"/>
      <c r="AY128" s="49">
        <f ca="1"/>
        <v>0</v>
      </c>
      <c r="AZ128" s="49"/>
      <c r="BA128" s="49">
        <f ca="1"/>
        <v>0</v>
      </c>
      <c r="BB128" s="49"/>
      <c r="BC128" s="49">
        <f ca="1"/>
        <v>0</v>
      </c>
      <c r="BD128" s="49">
        <f ca="1"/>
        <v>0</v>
      </c>
      <c r="BE128" s="49">
        <f ca="1"/>
        <v>0</v>
      </c>
      <c r="BF128" s="49">
        <f ca="1"/>
        <v>0</v>
      </c>
      <c r="BG128" s="49">
        <f ca="1"/>
        <v>0</v>
      </c>
      <c r="BH128" s="49">
        <f ca="1"/>
        <v>0</v>
      </c>
      <c r="BI128" s="49"/>
      <c r="BJ128" s="49"/>
      <c r="BK128" s="49"/>
      <c r="BL128" s="49"/>
      <c r="BM128" s="359" t="str">
        <v/>
      </c>
      <c r="BN128" s="324">
        <v>0</v>
      </c>
      <c r="BO128" s="109" t="str">
        <f>IF(BO127="","",BN127)</f>
        <v/>
      </c>
      <c r="BP128" s="171" t="str">
        <v/>
      </c>
      <c r="BQ128" s="172"/>
      <c r="BR128" s="264" t="str">
        <v/>
      </c>
      <c r="BS128" s="264">
        <v>0</v>
      </c>
      <c r="BT128" s="109" t="str">
        <f>IF(BT127="","",BS127)</f>
        <v/>
      </c>
      <c r="BU128" s="109" t="str">
        <v/>
      </c>
      <c r="BV128" s="124"/>
      <c r="BW128" s="359" t="str">
        <v/>
      </c>
      <c r="BX128" s="324">
        <v>0</v>
      </c>
      <c r="BY128" s="102" t="str">
        <f>IF(BY127="","",BX127)</f>
        <v xml:space="preserve"> </v>
      </c>
      <c r="BZ128" s="173" t="str">
        <f t="shared" si="17"/>
        <v xml:space="preserve"> </v>
      </c>
      <c r="CA128" s="174"/>
      <c r="CB128" s="175" t="str">
        <f t="shared" si="18"/>
        <v>св</v>
      </c>
      <c r="CC128" s="174"/>
      <c r="CD128" s="176"/>
      <c r="CE128" s="264" t="str">
        <v/>
      </c>
      <c r="CF128" s="264">
        <v>0</v>
      </c>
      <c r="CG128" s="113" t="str">
        <f>IF(CG127="","",CF127)</f>
        <v xml:space="preserve"> </v>
      </c>
      <c r="CH128" s="128" t="str">
        <v xml:space="preserve"> </v>
      </c>
      <c r="CI128" s="49"/>
      <c r="CJ128" s="49" t="str">
        <v/>
      </c>
      <c r="CK128" s="153">
        <v>0</v>
      </c>
      <c r="CL128" s="113" t="str">
        <f>IF(CL127="","",CK127)</f>
        <v xml:space="preserve"> </v>
      </c>
      <c r="CM128" s="49" t="str">
        <v xml:space="preserve"> </v>
      </c>
      <c r="CN128" s="49"/>
      <c r="CO128" s="264" t="str">
        <v/>
      </c>
      <c r="CP128" s="264">
        <v>0</v>
      </c>
      <c r="CQ128" s="113" t="str">
        <f>IF(CQ127="","",CP127)</f>
        <v xml:space="preserve"> </v>
      </c>
      <c r="CR128" s="49" t="str">
        <v xml:space="preserve"> </v>
      </c>
      <c r="CS128" s="49"/>
      <c r="CT128" s="264" t="str">
        <v/>
      </c>
      <c r="CU128" s="264">
        <v>0</v>
      </c>
      <c r="CV128" s="113" t="str">
        <f>IF(CV127="","",CU127)</f>
        <v xml:space="preserve"> </v>
      </c>
      <c r="CW128" s="49" t="str">
        <v xml:space="preserve"> </v>
      </c>
      <c r="CX128" s="49"/>
      <c r="CY128" s="49" t="str">
        <v/>
      </c>
      <c r="CZ128" s="49">
        <v>0</v>
      </c>
      <c r="DA128" s="113" t="str">
        <f>IF(DA127="","",CZ127)</f>
        <v xml:space="preserve"> </v>
      </c>
      <c r="DB128" s="49" t="str">
        <v xml:space="preserve"> </v>
      </c>
      <c r="DC128" s="49"/>
      <c r="DD128" s="49" t="str">
        <v/>
      </c>
      <c r="DE128" s="49"/>
      <c r="DF128" s="49"/>
      <c r="DG128" s="49"/>
      <c r="DH128" s="49"/>
    </row>
    <row r="129" spans="1:112" ht="13.5" hidden="1" customHeight="1">
      <c r="A129" s="177"/>
      <c r="B129" s="299">
        <v>62</v>
      </c>
      <c r="C129" s="270" t="e">
        <f>(VLOOKUP($B129,Пр.взв!$D$6:$J$63,2,0))</f>
        <v>#N/A</v>
      </c>
      <c r="D129" s="271" t="e">
        <f>(VLOOKUP($B129,Пр.взв!$D$6:$J$63,5,0))</f>
        <v>#N/A</v>
      </c>
      <c r="E129" s="272" t="e">
        <f>(VLOOKUP($B129,Пр.взв!$D$6:$M$63,8,0))</f>
        <v>#N/A</v>
      </c>
      <c r="F129" s="273"/>
      <c r="G129" s="87"/>
      <c r="H129" s="266"/>
      <c r="I129" s="87"/>
      <c r="J129" s="266" t="str">
        <f>IF(H129="Х","Х",IF($AC129&lt;6," ","Х"))</f>
        <v xml:space="preserve"> </v>
      </c>
      <c r="K129" s="87"/>
      <c r="L129" s="266" t="str">
        <f>IF(J129="Х","Х",IF(K129&lt;3," ",IF($AC129&lt;6," ","Х")))</f>
        <v xml:space="preserve"> </v>
      </c>
      <c r="M129" s="87"/>
      <c r="N129" s="266" t="str">
        <f>IF(L129="Х","Х",IF(M129&lt;3," ",IF($AC129&lt;6," ","Х")))</f>
        <v xml:space="preserve"> </v>
      </c>
      <c r="O129" s="87"/>
      <c r="P129" s="266" t="str">
        <f>IF(N129="Х","Х",IF(O129&lt;3," ",IF($AC129&lt;6," ","Х")))</f>
        <v xml:space="preserve"> </v>
      </c>
      <c r="Q129" s="87"/>
      <c r="R129" s="266" t="str">
        <f>IF(P129="Х","Х",IF(Q129&lt;3," ",IF($AC129&lt;6," ","Х")))</f>
        <v xml:space="preserve"> </v>
      </c>
      <c r="S129" s="87"/>
      <c r="T129" s="266" t="str">
        <f>IF(R129="Х","Х",IF(S129&lt;3," ",IF($AC129&lt;6," ","Х")))</f>
        <v xml:space="preserve"> </v>
      </c>
      <c r="U129" s="88"/>
      <c r="V129" s="266" t="str">
        <f>IF(T129="Х","Х",IF(U129&lt;3," ",IF($AC129&lt;6," ","Х")))</f>
        <v xml:space="preserve"> </v>
      </c>
      <c r="W129" s="88"/>
      <c r="X129" s="266" t="str">
        <f>IF(V129="А1",$AZ$7,IF(V129="Б2",$AZ$6,IF(V129="Б1",$BA$7,IF(V129="А2",$BA$6,IF(V129="Х","Х",IF(V129&lt;6," "," "))))))</f>
        <v xml:space="preserve"> </v>
      </c>
      <c r="Y129" s="89"/>
      <c r="Z129" s="266" t="str">
        <f>IF(V129="Х","Х",IF(ISBLANK(Y129),"",IF(Y129&gt;2.5," ",IF(B129=BB$6,BB$7,BB$6))))</f>
        <v/>
      </c>
      <c r="AA129" s="89"/>
      <c r="AB129" s="290" t="str">
        <f>IF(H129="Х",F$5,IF(J129="Х",H$5,IF(L129="Х",J$5,IF(N129="Х",L$5,IF(P129="Х",N$5,IF(R129="Х",P$5,IF(T129="Х",R$5,IF(X129="Х",T$5,""))))))))</f>
        <v/>
      </c>
      <c r="AC129" s="276">
        <f>SUM(G129+I129+K129+M129+O129+Q129+S129+U129+Y129+AA129)</f>
        <v>0</v>
      </c>
      <c r="AD129" s="291" t="str">
        <f>AF129</f>
        <v>27-71</v>
      </c>
      <c r="AE129" s="278" t="str">
        <f>AD129</f>
        <v>27-71</v>
      </c>
      <c r="AF129" s="280" t="str">
        <f>COUNTIF(AG$6:AG$148,"&gt;"&amp;AG$6:AG$148)+1&amp;REPT("-"&amp;COUNTIF(AG$6:AG$148,"&gt;="&amp;AG$6:AG$148),COUNTIF(AG$6:AG$148,AG129)&gt;1)</f>
        <v>27-71</v>
      </c>
      <c r="AG129" s="282">
        <f>(AR129*100)+(AP129*10)-AC129</f>
        <v>80</v>
      </c>
      <c r="AH129" s="288" t="str">
        <f>IF(OR(F129="Х",F129="св")," ",IF(AND(G129&gt;=0,G129&lt;3),"1"," "))</f>
        <v>1</v>
      </c>
      <c r="AI129" s="289" t="str">
        <f>IF(OR(H129="Х",H129="св")," ",IF(AND(I129&gt;=0,I129&lt;3),"1"," "))</f>
        <v>1</v>
      </c>
      <c r="AJ129" s="289" t="str">
        <f>IF(OR(J129="Х",J129="св")," ",IF(AND(K129&gt;=0,K129&lt;3),"1"," "))</f>
        <v>1</v>
      </c>
      <c r="AK129" s="289" t="str">
        <f>IF(OR(L129="Х",L129="св")," ",IF(AND(M129&gt;=0,M129&lt;3),"1"," "))</f>
        <v>1</v>
      </c>
      <c r="AL129" s="289" t="str">
        <f>IF(OR(N129="Х",N129="св")," ",IF(AND(O129&gt;=0,O129&lt;3),"1"," "))</f>
        <v>1</v>
      </c>
      <c r="AM129" s="289" t="str">
        <f>IF(OR(P129="Х",P129="св")," ",IF(AND(Q129&gt;=0,Q129&lt;3),"1"," "))</f>
        <v>1</v>
      </c>
      <c r="AN129" s="289" t="str">
        <f>IF(OR(R129="Х",R129="св")," ",IF(AND(S129&gt;=0,S129&lt;3),"1"," "))</f>
        <v>1</v>
      </c>
      <c r="AO129" s="289" t="str">
        <f>IF(OR(T129="Х",T129="св")," ",IF(AND(U129&gt;=0,U129&lt;3),"1"," "))</f>
        <v>1</v>
      </c>
      <c r="AP129" s="289">
        <f>COUNTIF(AH129:AO130,1)</f>
        <v>8</v>
      </c>
      <c r="AQ129" s="289">
        <f>AG129-AC129</f>
        <v>80</v>
      </c>
      <c r="AR129" s="292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289" t="str">
        <f>COUNTIF(AG$6:AG$134,"&gt;"&amp;AG$6:AG$134)+1&amp;REPT("-"&amp;COUNTIF(AG$6:AG$134,"&gt;="&amp;AG$6:AG$134),COUNTIF(AG$6:AG$134,AG129)&gt;1)</f>
        <v>27-64</v>
      </c>
      <c r="AT129" s="288" t="str">
        <f t="shared" ref="AT129:AW129" si="66">COUNTIF(AU$6:AU$134,"&gt;"&amp;AU$6:AU$134)+1&amp;REPT("-"&amp;COUNTIF(AU$6:AU$134,"&gt;="&amp;AU$6:AU$134),COUNTIF(AU$6:AU$134,AU129)&gt;1)</f>
        <v>1-64</v>
      </c>
      <c r="AU129" s="288" t="str">
        <f t="shared" si="66"/>
        <v>1-0</v>
      </c>
      <c r="AV129" s="288" t="str">
        <f t="shared" si="66"/>
        <v>1</v>
      </c>
      <c r="AW129" s="288" t="str">
        <f t="shared" si="66"/>
        <v>3</v>
      </c>
      <c r="AX129" s="293">
        <f>IF(X129="Х","Х",IF(Y129&lt;3,B129,"Х"))</f>
        <v>62</v>
      </c>
      <c r="AY129" s="49">
        <f ca="1"/>
        <v>0</v>
      </c>
      <c r="AZ129" s="49"/>
      <c r="BA129" s="49">
        <f ca="1"/>
        <v>0</v>
      </c>
      <c r="BB129" s="49"/>
      <c r="BC129" s="49">
        <f ca="1"/>
        <v>0</v>
      </c>
      <c r="BD129" s="49">
        <f ca="1"/>
        <v>0</v>
      </c>
      <c r="BE129" s="49">
        <f ca="1"/>
        <v>0</v>
      </c>
      <c r="BF129" s="49">
        <f ca="1"/>
        <v>0</v>
      </c>
      <c r="BG129" s="49">
        <f ca="1"/>
        <v>0</v>
      </c>
      <c r="BH129" s="49">
        <f ca="1"/>
        <v>0</v>
      </c>
      <c r="BI129" s="49"/>
      <c r="BJ129" s="49"/>
      <c r="BK129" s="49"/>
      <c r="BL129" s="49"/>
      <c r="BM129" s="294">
        <v>62</v>
      </c>
      <c r="BN129" s="287">
        <v>0</v>
      </c>
      <c r="BO129" s="98" t="str">
        <f>IF(BM129&lt;BN129,BM129,"")</f>
        <v/>
      </c>
      <c r="BP129" s="124" t="str">
        <v/>
      </c>
      <c r="BQ129" s="125"/>
      <c r="BR129" s="295" t="str">
        <v/>
      </c>
      <c r="BS129" s="287">
        <v>0</v>
      </c>
      <c r="BT129" s="109" t="str">
        <f>IF(BR129&lt;BS129,BR129,"")</f>
        <v/>
      </c>
      <c r="BU129" s="124" t="str">
        <v/>
      </c>
      <c r="BV129" s="124"/>
      <c r="BW129" s="284">
        <v>62</v>
      </c>
      <c r="BX129" s="286" t="str">
        <v xml:space="preserve"> </v>
      </c>
      <c r="BY129" s="102">
        <f t="array" ref="BY129">IF(BW129&lt;BX129,BW129,"")</f>
        <v>62</v>
      </c>
      <c r="BZ129" s="102">
        <f t="shared" si="17"/>
        <v>62</v>
      </c>
      <c r="CA129" s="63"/>
      <c r="CB129" s="63" t="str">
        <f t="shared" si="18"/>
        <v>св</v>
      </c>
      <c r="CC129" s="128"/>
      <c r="CD129" s="159"/>
      <c r="CE129" s="286">
        <v>62</v>
      </c>
      <c r="CF129" s="296" t="str">
        <v xml:space="preserve"> </v>
      </c>
      <c r="CG129" s="98">
        <f t="array" ref="CG129">IF(CE129&lt;CF129,CE129,"")</f>
        <v>62</v>
      </c>
      <c r="CH129" s="63">
        <v>62</v>
      </c>
      <c r="CI129" s="49"/>
      <c r="CJ129" s="65">
        <v>62</v>
      </c>
      <c r="CK129" s="151" t="str">
        <v xml:space="preserve"> </v>
      </c>
      <c r="CL129" s="98">
        <f t="array" ref="CL129">IF(CJ129&lt;CK129,CJ129,"")</f>
        <v>62</v>
      </c>
      <c r="CM129" s="49">
        <v>62</v>
      </c>
      <c r="CN129" s="49"/>
      <c r="CO129" s="286">
        <v>62</v>
      </c>
      <c r="CP129" s="286" t="str">
        <v xml:space="preserve"> </v>
      </c>
      <c r="CQ129" s="98">
        <f t="array" ref="CQ129">IF(CO129&lt;CP129,CO129,"")</f>
        <v>62</v>
      </c>
      <c r="CR129" s="65">
        <v>62</v>
      </c>
      <c r="CS129" s="49"/>
      <c r="CT129" s="286">
        <v>62</v>
      </c>
      <c r="CU129" s="286" t="str">
        <v xml:space="preserve"> </v>
      </c>
      <c r="CV129" s="98">
        <f t="array" ref="CV129">IF(CT129&lt;CU129,CT129,"")</f>
        <v>62</v>
      </c>
      <c r="CW129" s="49">
        <v>62</v>
      </c>
      <c r="CX129" s="49"/>
      <c r="CY129" s="49">
        <v>62</v>
      </c>
      <c r="CZ129" s="49" t="str">
        <v xml:space="preserve"> </v>
      </c>
      <c r="DA129" s="98">
        <f t="array" ref="DA129">IF(CY129&lt;CZ129,CY129,"")</f>
        <v>62</v>
      </c>
      <c r="DB129" s="49">
        <v>62</v>
      </c>
      <c r="DC129" s="49"/>
      <c r="DD129" s="49">
        <v>62</v>
      </c>
      <c r="DE129" s="49"/>
      <c r="DF129" s="49"/>
      <c r="DG129" s="49"/>
      <c r="DH129" s="49"/>
    </row>
    <row r="130" spans="1:112" ht="13.5" hidden="1" customHeight="1">
      <c r="A130" s="177"/>
      <c r="B130" s="269"/>
      <c r="C130" s="269"/>
      <c r="D130" s="269"/>
      <c r="E130" s="269"/>
      <c r="F130" s="274"/>
      <c r="G130" s="106"/>
      <c r="H130" s="267"/>
      <c r="I130" s="106"/>
      <c r="J130" s="267"/>
      <c r="K130" s="106"/>
      <c r="L130" s="267"/>
      <c r="M130" s="106"/>
      <c r="N130" s="267"/>
      <c r="O130" s="106"/>
      <c r="P130" s="267"/>
      <c r="Q130" s="106"/>
      <c r="R130" s="267"/>
      <c r="S130" s="106"/>
      <c r="T130" s="267"/>
      <c r="U130" s="107"/>
      <c r="V130" s="267"/>
      <c r="W130" s="107"/>
      <c r="X130" s="267"/>
      <c r="Y130" s="106"/>
      <c r="Z130" s="267"/>
      <c r="AA130" s="106"/>
      <c r="AB130" s="274"/>
      <c r="AC130" s="269"/>
      <c r="AD130" s="267"/>
      <c r="AE130" s="279"/>
      <c r="AF130" s="281"/>
      <c r="AG130" s="283"/>
      <c r="AH130" s="283"/>
      <c r="AI130" s="283"/>
      <c r="AJ130" s="283"/>
      <c r="AK130" s="283"/>
      <c r="AL130" s="283"/>
      <c r="AM130" s="283"/>
      <c r="AN130" s="283"/>
      <c r="AO130" s="283"/>
      <c r="AP130" s="283"/>
      <c r="AQ130" s="283"/>
      <c r="AR130" s="283"/>
      <c r="AS130" s="283"/>
      <c r="AT130" s="283"/>
      <c r="AU130" s="283"/>
      <c r="AV130" s="283"/>
      <c r="AW130" s="283"/>
      <c r="AX130" s="264"/>
      <c r="AY130" s="49">
        <f ca="1"/>
        <v>0</v>
      </c>
      <c r="AZ130" s="49"/>
      <c r="BA130" s="49">
        <f ca="1"/>
        <v>0</v>
      </c>
      <c r="BB130" s="49"/>
      <c r="BC130" s="49">
        <f ca="1"/>
        <v>0</v>
      </c>
      <c r="BD130" s="49">
        <f ca="1"/>
        <v>0</v>
      </c>
      <c r="BE130" s="49">
        <f ca="1"/>
        <v>0</v>
      </c>
      <c r="BF130" s="49">
        <f ca="1"/>
        <v>0</v>
      </c>
      <c r="BG130" s="49">
        <f ca="1"/>
        <v>0</v>
      </c>
      <c r="BH130" s="49">
        <f ca="1"/>
        <v>0</v>
      </c>
      <c r="BI130" s="49"/>
      <c r="BJ130" s="49"/>
      <c r="BK130" s="49"/>
      <c r="BL130" s="49"/>
      <c r="BM130" s="359" t="str">
        <v/>
      </c>
      <c r="BN130" s="324">
        <v>0</v>
      </c>
      <c r="BO130" s="109" t="str">
        <f>IF(BO129="","",BN129)</f>
        <v/>
      </c>
      <c r="BP130" s="171" t="str">
        <v/>
      </c>
      <c r="BQ130" s="172"/>
      <c r="BR130" s="264" t="str">
        <v/>
      </c>
      <c r="BS130" s="264">
        <v>0</v>
      </c>
      <c r="BT130" s="109" t="str">
        <f>IF(BT129="","",BS129)</f>
        <v/>
      </c>
      <c r="BU130" s="109" t="str">
        <v/>
      </c>
      <c r="BV130" s="124"/>
      <c r="BW130" s="359" t="str">
        <v/>
      </c>
      <c r="BX130" s="324">
        <v>0</v>
      </c>
      <c r="BY130" s="102" t="str">
        <f>IF(BY129="","",BX129)</f>
        <v xml:space="preserve"> </v>
      </c>
      <c r="BZ130" s="173" t="str">
        <f t="shared" si="17"/>
        <v xml:space="preserve"> </v>
      </c>
      <c r="CA130" s="174"/>
      <c r="CB130" s="175" t="str">
        <f t="shared" si="18"/>
        <v>св</v>
      </c>
      <c r="CC130" s="174"/>
      <c r="CD130" s="176"/>
      <c r="CE130" s="264" t="str">
        <v/>
      </c>
      <c r="CF130" s="264">
        <v>0</v>
      </c>
      <c r="CG130" s="113" t="str">
        <f>IF(CG129="","",CF129)</f>
        <v xml:space="preserve"> </v>
      </c>
      <c r="CH130" s="128" t="str">
        <v xml:space="preserve"> </v>
      </c>
      <c r="CI130" s="49"/>
      <c r="CJ130" s="49" t="str">
        <v/>
      </c>
      <c r="CK130" s="153">
        <v>0</v>
      </c>
      <c r="CL130" s="113" t="str">
        <f>IF(CL129="","",CK129)</f>
        <v xml:space="preserve"> </v>
      </c>
      <c r="CM130" s="49" t="str">
        <v xml:space="preserve"> </v>
      </c>
      <c r="CN130" s="49"/>
      <c r="CO130" s="264" t="str">
        <v/>
      </c>
      <c r="CP130" s="264">
        <v>0</v>
      </c>
      <c r="CQ130" s="113" t="str">
        <f>IF(CQ129="","",CP129)</f>
        <v xml:space="preserve"> </v>
      </c>
      <c r="CR130" s="49" t="str">
        <v xml:space="preserve"> </v>
      </c>
      <c r="CS130" s="49"/>
      <c r="CT130" s="264" t="str">
        <v/>
      </c>
      <c r="CU130" s="264">
        <v>0</v>
      </c>
      <c r="CV130" s="113" t="str">
        <f>IF(CV129="","",CU129)</f>
        <v xml:space="preserve"> </v>
      </c>
      <c r="CW130" s="49" t="str">
        <v xml:space="preserve"> </v>
      </c>
      <c r="CX130" s="49"/>
      <c r="CY130" s="49" t="str">
        <v/>
      </c>
      <c r="CZ130" s="49">
        <v>0</v>
      </c>
      <c r="DA130" s="113" t="str">
        <f>IF(DA129="","",CZ129)</f>
        <v xml:space="preserve"> </v>
      </c>
      <c r="DB130" s="49" t="str">
        <v xml:space="preserve"> </v>
      </c>
      <c r="DC130" s="49"/>
      <c r="DD130" s="49" t="str">
        <v/>
      </c>
      <c r="DE130" s="49"/>
      <c r="DF130" s="49"/>
      <c r="DG130" s="49"/>
      <c r="DH130" s="49"/>
    </row>
    <row r="131" spans="1:112" ht="13.5" hidden="1" customHeight="1">
      <c r="A131" s="177"/>
      <c r="B131" s="299">
        <v>63</v>
      </c>
      <c r="C131" s="270" t="e">
        <f>(VLOOKUP($B131,Пр.взв!$D$6:$J$63,2,0))</f>
        <v>#N/A</v>
      </c>
      <c r="D131" s="271" t="e">
        <f>(VLOOKUP($B131,Пр.взв!$D$6:$J$63,5,0))</f>
        <v>#N/A</v>
      </c>
      <c r="E131" s="272" t="e">
        <f>(VLOOKUP($B131,Пр.взв!$D$6:$M$63,8,0))</f>
        <v>#N/A</v>
      </c>
      <c r="F131" s="273"/>
      <c r="G131" s="87"/>
      <c r="H131" s="266"/>
      <c r="I131" s="87"/>
      <c r="J131" s="266" t="str">
        <f>IF(H131="Х","Х",IF($AC131&lt;6," ","Х"))</f>
        <v xml:space="preserve"> </v>
      </c>
      <c r="K131" s="87"/>
      <c r="L131" s="266" t="str">
        <f>IF(J131="Х","Х",IF(K131&lt;3," ",IF($AC131&lt;6," ","Х")))</f>
        <v xml:space="preserve"> </v>
      </c>
      <c r="M131" s="87"/>
      <c r="N131" s="266" t="str">
        <f>IF(L131="Х","Х",IF(M131&lt;3," ",IF($AC131&lt;6," ","Х")))</f>
        <v xml:space="preserve"> </v>
      </c>
      <c r="O131" s="87"/>
      <c r="P131" s="266" t="str">
        <f>IF(N131="Х","Х",IF(O131&lt;3," ",IF($AC131&lt;6," ","Х")))</f>
        <v xml:space="preserve"> </v>
      </c>
      <c r="Q131" s="87"/>
      <c r="R131" s="266" t="str">
        <f>IF(P131="Х","Х",IF(Q131&lt;3," ",IF($AC131&lt;6," ","Х")))</f>
        <v xml:space="preserve"> </v>
      </c>
      <c r="S131" s="87"/>
      <c r="T131" s="266" t="str">
        <f>IF(R131="Х","Х",IF(S131&lt;3," ",IF($AC131&lt;6," ","Х")))</f>
        <v xml:space="preserve"> </v>
      </c>
      <c r="U131" s="88"/>
      <c r="V131" s="266" t="str">
        <f>IF(T131="Х","Х",IF(U131&lt;3," ",IF($AC131&lt;6," ","Х")))</f>
        <v xml:space="preserve"> </v>
      </c>
      <c r="W131" s="88"/>
      <c r="X131" s="266" t="str">
        <f>IF(V131="А1",$AZ$7,IF(V131="Б2",$AZ$6,IF(V131="Б1",$BA$7,IF(V131="А2",$BA$6,IF(V131="Х","Х",IF(V131&lt;6," "," "))))))</f>
        <v xml:space="preserve"> </v>
      </c>
      <c r="Y131" s="89"/>
      <c r="Z131" s="266" t="str">
        <f>IF(V131="Х","Х",IF(ISBLANK(Y131),"",IF(Y131&gt;2.5," ",IF(B131=BB$6,BB$7,BB$6))))</f>
        <v/>
      </c>
      <c r="AA131" s="89"/>
      <c r="AB131" s="290" t="str">
        <f>IF(H131="Х",F$5,IF(J131="Х",H$5,IF(L131="Х",J$5,IF(N131="Х",L$5,IF(P131="Х",N$5,IF(R131="Х",P$5,IF(T131="Х",R$5,IF(X131="Х",T$5,""))))))))</f>
        <v/>
      </c>
      <c r="AC131" s="276">
        <f>SUM(G131+I131+K131+M131+O131+Q131+S131+U131+Y131+AA131)</f>
        <v>0</v>
      </c>
      <c r="AD131" s="291" t="str">
        <f>AF131</f>
        <v>27-71</v>
      </c>
      <c r="AE131" s="278" t="str">
        <f>AD131</f>
        <v>27-71</v>
      </c>
      <c r="AF131" s="280" t="str">
        <f>COUNTIF(AG$6:AG$148,"&gt;"&amp;AG$6:AG$148)+1&amp;REPT("-"&amp;COUNTIF(AG$6:AG$148,"&gt;="&amp;AG$6:AG$148),COUNTIF(AG$6:AG$148,AG131)&gt;1)</f>
        <v>27-71</v>
      </c>
      <c r="AG131" s="282">
        <f>(AR131*100)+(AP131*10)-AC131</f>
        <v>80</v>
      </c>
      <c r="AH131" s="288" t="str">
        <f>IF(OR(F131="Х",F131="св")," ",IF(AND(G131&gt;=0,G131&lt;3),"1"," "))</f>
        <v>1</v>
      </c>
      <c r="AI131" s="289" t="str">
        <f>IF(OR(H131="Х",H131="св")," ",IF(AND(I131&gt;=0,I131&lt;3),"1"," "))</f>
        <v>1</v>
      </c>
      <c r="AJ131" s="289" t="str">
        <f>IF(OR(J131="Х",J131="св")," ",IF(AND(K131&gt;=0,K131&lt;3),"1"," "))</f>
        <v>1</v>
      </c>
      <c r="AK131" s="289" t="str">
        <f>IF(OR(L131="Х",L131="св")," ",IF(AND(M131&gt;=0,M131&lt;3),"1"," "))</f>
        <v>1</v>
      </c>
      <c r="AL131" s="289" t="str">
        <f>IF(OR(N131="Х",N131="св")," ",IF(AND(O131&gt;=0,O131&lt;3),"1"," "))</f>
        <v>1</v>
      </c>
      <c r="AM131" s="289" t="str">
        <f>IF(OR(P131="Х",P131="св")," ",IF(AND(Q131&gt;=0,Q131&lt;3),"1"," "))</f>
        <v>1</v>
      </c>
      <c r="AN131" s="289" t="str">
        <f>IF(OR(R131="Х",R131="св")," ",IF(AND(S131&gt;=0,S131&lt;3),"1"," "))</f>
        <v>1</v>
      </c>
      <c r="AO131" s="289" t="str">
        <f>IF(OR(T131="Х",T131="св")," ",IF(AND(U131&gt;=0,U131&lt;3),"1"," "))</f>
        <v>1</v>
      </c>
      <c r="AP131" s="289">
        <f>COUNTIF(AH131:AO132,1)</f>
        <v>8</v>
      </c>
      <c r="AQ131" s="289">
        <f>AG131-AC131</f>
        <v>80</v>
      </c>
      <c r="AR131" s="292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289" t="str">
        <f>COUNTIF(AG$6:AG$134,"&gt;"&amp;AG$6:AG$134)+1&amp;REPT("-"&amp;COUNTIF(AG$6:AG$134,"&gt;="&amp;AG$6:AG$134),COUNTIF(AG$6:AG$134,AG131)&gt;1)</f>
        <v>27-64</v>
      </c>
      <c r="AT131" s="288" t="str">
        <f t="shared" ref="AT131:AW131" si="67">COUNTIF(AU$6:AU$134,"&gt;"&amp;AU$6:AU$134)+1&amp;REPT("-"&amp;COUNTIF(AU$6:AU$134,"&gt;="&amp;AU$6:AU$134),COUNTIF(AU$6:AU$134,AU131)&gt;1)</f>
        <v>1-64</v>
      </c>
      <c r="AU131" s="288" t="str">
        <f t="shared" si="67"/>
        <v>1-0</v>
      </c>
      <c r="AV131" s="288" t="str">
        <f t="shared" si="67"/>
        <v>1</v>
      </c>
      <c r="AW131" s="288" t="str">
        <f t="shared" si="67"/>
        <v>2</v>
      </c>
      <c r="AX131" s="293">
        <f>IF(X131="Х","Х",IF(Y131&lt;3,B131,"Х"))</f>
        <v>63</v>
      </c>
      <c r="AY131" s="49">
        <f ca="1"/>
        <v>0</v>
      </c>
      <c r="AZ131" s="49"/>
      <c r="BA131" s="49">
        <f ca="1"/>
        <v>0</v>
      </c>
      <c r="BB131" s="49"/>
      <c r="BC131" s="49">
        <f ca="1"/>
        <v>0</v>
      </c>
      <c r="BD131" s="49">
        <f ca="1"/>
        <v>0</v>
      </c>
      <c r="BE131" s="49">
        <f ca="1"/>
        <v>0</v>
      </c>
      <c r="BF131" s="49">
        <f ca="1"/>
        <v>0</v>
      </c>
      <c r="BG131" s="49">
        <f ca="1"/>
        <v>0</v>
      </c>
      <c r="BH131" s="49">
        <f ca="1"/>
        <v>0</v>
      </c>
      <c r="BI131" s="49"/>
      <c r="BJ131" s="49"/>
      <c r="BK131" s="49"/>
      <c r="BL131" s="49"/>
      <c r="BM131" s="294">
        <v>63</v>
      </c>
      <c r="BN131" s="287">
        <v>0</v>
      </c>
      <c r="BO131" s="98" t="str">
        <f>IF(BM131&lt;BN131,BM131,"")</f>
        <v/>
      </c>
      <c r="BP131" s="124" t="str">
        <v/>
      </c>
      <c r="BQ131" s="125"/>
      <c r="BR131" s="295" t="str">
        <v/>
      </c>
      <c r="BS131" s="287">
        <v>0</v>
      </c>
      <c r="BT131" s="109" t="str">
        <f>IF(BR131&lt;BS131,BR131,"")</f>
        <v/>
      </c>
      <c r="BU131" s="124" t="str">
        <v/>
      </c>
      <c r="BV131" s="124"/>
      <c r="BW131" s="284">
        <v>63</v>
      </c>
      <c r="BX131" s="286" t="str">
        <v xml:space="preserve"> </v>
      </c>
      <c r="BY131" s="102">
        <f t="array" ref="BY131">IF(BW131&lt;BX131,BW131,"")</f>
        <v>63</v>
      </c>
      <c r="BZ131" s="102">
        <f t="shared" si="17"/>
        <v>63</v>
      </c>
      <c r="CA131" s="63"/>
      <c r="CB131" s="63" t="str">
        <f t="shared" si="18"/>
        <v>св</v>
      </c>
      <c r="CC131" s="128"/>
      <c r="CD131" s="159"/>
      <c r="CE131" s="286">
        <v>63</v>
      </c>
      <c r="CF131" s="296" t="str">
        <v xml:space="preserve"> </v>
      </c>
      <c r="CG131" s="98">
        <f t="array" ref="CG131">IF(CE131&lt;CF131,CE131,"")</f>
        <v>63</v>
      </c>
      <c r="CH131" s="63">
        <v>63</v>
      </c>
      <c r="CI131" s="49"/>
      <c r="CJ131" s="65">
        <v>63</v>
      </c>
      <c r="CK131" s="151" t="str">
        <v xml:space="preserve"> </v>
      </c>
      <c r="CL131" s="98">
        <f t="array" ref="CL131">IF(CJ131&lt;CK131,CJ131,"")</f>
        <v>63</v>
      </c>
      <c r="CM131" s="49">
        <v>63</v>
      </c>
      <c r="CN131" s="49"/>
      <c r="CO131" s="286">
        <v>63</v>
      </c>
      <c r="CP131" s="286" t="str">
        <v xml:space="preserve"> </v>
      </c>
      <c r="CQ131" s="98">
        <f t="array" ref="CQ131">IF(CO131&lt;CP131,CO131,"")</f>
        <v>63</v>
      </c>
      <c r="CR131" s="65">
        <v>63</v>
      </c>
      <c r="CS131" s="49"/>
      <c r="CT131" s="286">
        <v>63</v>
      </c>
      <c r="CU131" s="286" t="str">
        <v xml:space="preserve"> </v>
      </c>
      <c r="CV131" s="98">
        <f t="array" ref="CV131">IF(CT131&lt;CU131,CT131,"")</f>
        <v>63</v>
      </c>
      <c r="CW131" s="49">
        <v>63</v>
      </c>
      <c r="CX131" s="49"/>
      <c r="CY131" s="49">
        <v>63</v>
      </c>
      <c r="CZ131" s="49" t="str">
        <v xml:space="preserve"> </v>
      </c>
      <c r="DA131" s="98">
        <f t="array" ref="DA131">IF(CY131&lt;CZ131,CY131,"")</f>
        <v>63</v>
      </c>
      <c r="DB131" s="49">
        <v>63</v>
      </c>
      <c r="DC131" s="49"/>
      <c r="DD131" s="49">
        <v>63</v>
      </c>
      <c r="DE131" s="49"/>
      <c r="DF131" s="49"/>
      <c r="DG131" s="49"/>
      <c r="DH131" s="49"/>
    </row>
    <row r="132" spans="1:112" ht="13.5" hidden="1" customHeight="1">
      <c r="A132" s="177"/>
      <c r="B132" s="269"/>
      <c r="C132" s="269"/>
      <c r="D132" s="269"/>
      <c r="E132" s="269"/>
      <c r="F132" s="274"/>
      <c r="G132" s="106"/>
      <c r="H132" s="267"/>
      <c r="I132" s="106"/>
      <c r="J132" s="267"/>
      <c r="K132" s="106"/>
      <c r="L132" s="267"/>
      <c r="M132" s="106"/>
      <c r="N132" s="267"/>
      <c r="O132" s="106"/>
      <c r="P132" s="267"/>
      <c r="Q132" s="106"/>
      <c r="R132" s="267"/>
      <c r="S132" s="106"/>
      <c r="T132" s="267"/>
      <c r="U132" s="107"/>
      <c r="V132" s="267"/>
      <c r="W132" s="107"/>
      <c r="X132" s="267"/>
      <c r="Y132" s="106"/>
      <c r="Z132" s="267"/>
      <c r="AA132" s="106"/>
      <c r="AB132" s="274"/>
      <c r="AC132" s="269"/>
      <c r="AD132" s="267"/>
      <c r="AE132" s="279"/>
      <c r="AF132" s="281"/>
      <c r="AG132" s="283"/>
      <c r="AH132" s="283"/>
      <c r="AI132" s="283"/>
      <c r="AJ132" s="283"/>
      <c r="AK132" s="283"/>
      <c r="AL132" s="283"/>
      <c r="AM132" s="283"/>
      <c r="AN132" s="283"/>
      <c r="AO132" s="283"/>
      <c r="AP132" s="283"/>
      <c r="AQ132" s="283"/>
      <c r="AR132" s="283"/>
      <c r="AS132" s="283"/>
      <c r="AT132" s="283"/>
      <c r="AU132" s="283"/>
      <c r="AV132" s="283"/>
      <c r="AW132" s="283"/>
      <c r="AX132" s="264"/>
      <c r="AY132" s="49">
        <f ca="1"/>
        <v>0</v>
      </c>
      <c r="AZ132" s="49"/>
      <c r="BA132" s="49">
        <f ca="1"/>
        <v>0</v>
      </c>
      <c r="BB132" s="49"/>
      <c r="BC132" s="49">
        <f ca="1"/>
        <v>0</v>
      </c>
      <c r="BD132" s="49">
        <f ca="1"/>
        <v>0</v>
      </c>
      <c r="BE132" s="49">
        <f ca="1"/>
        <v>0</v>
      </c>
      <c r="BF132" s="49">
        <f ca="1"/>
        <v>0</v>
      </c>
      <c r="BG132" s="49">
        <f ca="1"/>
        <v>0</v>
      </c>
      <c r="BH132" s="49">
        <f ca="1"/>
        <v>0</v>
      </c>
      <c r="BI132" s="49"/>
      <c r="BJ132" s="49"/>
      <c r="BK132" s="49"/>
      <c r="BL132" s="49"/>
      <c r="BM132" s="359" t="str">
        <v/>
      </c>
      <c r="BN132" s="324">
        <v>0</v>
      </c>
      <c r="BO132" s="109" t="str">
        <f>IF(BO131="","",BN131)</f>
        <v/>
      </c>
      <c r="BP132" s="171" t="str">
        <v/>
      </c>
      <c r="BQ132" s="172"/>
      <c r="BR132" s="264" t="str">
        <v/>
      </c>
      <c r="BS132" s="264">
        <v>0</v>
      </c>
      <c r="BT132" s="109" t="str">
        <f>IF(BT131="","",BS131)</f>
        <v/>
      </c>
      <c r="BU132" s="109" t="str">
        <v/>
      </c>
      <c r="BV132" s="124"/>
      <c r="BW132" s="359" t="str">
        <v/>
      </c>
      <c r="BX132" s="324">
        <v>0</v>
      </c>
      <c r="BY132" s="102" t="str">
        <f>IF(BY131="","",BX131)</f>
        <v xml:space="preserve"> </v>
      </c>
      <c r="BZ132" s="173" t="str">
        <f t="shared" si="17"/>
        <v xml:space="preserve"> </v>
      </c>
      <c r="CA132" s="174"/>
      <c r="CB132" s="175" t="str">
        <f t="shared" si="18"/>
        <v>св</v>
      </c>
      <c r="CC132" s="174"/>
      <c r="CD132" s="176"/>
      <c r="CE132" s="264" t="str">
        <v/>
      </c>
      <c r="CF132" s="264">
        <v>0</v>
      </c>
      <c r="CG132" s="113" t="str">
        <f>IF(CG131="","",CF131)</f>
        <v xml:space="preserve"> </v>
      </c>
      <c r="CH132" s="128" t="str">
        <v xml:space="preserve"> </v>
      </c>
      <c r="CI132" s="49"/>
      <c r="CJ132" s="49" t="str">
        <v/>
      </c>
      <c r="CK132" s="153">
        <v>0</v>
      </c>
      <c r="CL132" s="113" t="str">
        <f>IF(CL131="","",CK131)</f>
        <v xml:space="preserve"> </v>
      </c>
      <c r="CM132" s="49" t="str">
        <v xml:space="preserve"> </v>
      </c>
      <c r="CN132" s="49"/>
      <c r="CO132" s="264" t="str">
        <v/>
      </c>
      <c r="CP132" s="264">
        <v>0</v>
      </c>
      <c r="CQ132" s="113" t="str">
        <f>IF(CQ131="","",CP131)</f>
        <v xml:space="preserve"> </v>
      </c>
      <c r="CR132" s="49" t="str">
        <v xml:space="preserve"> </v>
      </c>
      <c r="CS132" s="49"/>
      <c r="CT132" s="264" t="str">
        <v/>
      </c>
      <c r="CU132" s="264">
        <v>0</v>
      </c>
      <c r="CV132" s="113" t="str">
        <f>IF(CV131="","",CU131)</f>
        <v xml:space="preserve"> </v>
      </c>
      <c r="CW132" s="49" t="str">
        <v xml:space="preserve"> </v>
      </c>
      <c r="CX132" s="49"/>
      <c r="CY132" s="49" t="str">
        <v/>
      </c>
      <c r="CZ132" s="49">
        <v>0</v>
      </c>
      <c r="DA132" s="113" t="str">
        <f>IF(DA131="","",CZ131)</f>
        <v xml:space="preserve"> </v>
      </c>
      <c r="DB132" s="49" t="str">
        <v xml:space="preserve"> </v>
      </c>
      <c r="DC132" s="49"/>
      <c r="DD132" s="49" t="str">
        <v/>
      </c>
      <c r="DE132" s="49"/>
      <c r="DF132" s="49"/>
      <c r="DG132" s="49"/>
      <c r="DH132" s="49"/>
    </row>
    <row r="133" spans="1:112" ht="13.5" hidden="1" customHeight="1">
      <c r="A133" s="177"/>
      <c r="B133" s="299">
        <v>64</v>
      </c>
      <c r="C133" s="270" t="e">
        <f>(VLOOKUP($B133,Пр.взв!$D$6:$J$63,2,0))</f>
        <v>#N/A</v>
      </c>
      <c r="D133" s="271" t="e">
        <f>(VLOOKUP($B133,Пр.взв!$D$6:$J$63,5,0))</f>
        <v>#N/A</v>
      </c>
      <c r="E133" s="272" t="e">
        <f>(VLOOKUP($B133,Пр.взв!$D$6:$M$63,8,0))</f>
        <v>#N/A</v>
      </c>
      <c r="F133" s="273"/>
      <c r="G133" s="87"/>
      <c r="H133" s="266"/>
      <c r="I133" s="87"/>
      <c r="J133" s="266" t="str">
        <f>IF(H133="Х","Х",IF($AC133&lt;6," ","Х"))</f>
        <v xml:space="preserve"> </v>
      </c>
      <c r="K133" s="87"/>
      <c r="L133" s="266" t="str">
        <f>IF(J133="Х","Х",IF(K133&lt;3," ",IF($AC133&lt;6," ","Х")))</f>
        <v xml:space="preserve"> </v>
      </c>
      <c r="M133" s="87"/>
      <c r="N133" s="266" t="str">
        <f>IF(L133="Х","Х",IF(M133&lt;3," ",IF($AC133&lt;6," ","Х")))</f>
        <v xml:space="preserve"> </v>
      </c>
      <c r="O133" s="87"/>
      <c r="P133" s="266" t="str">
        <f>IF(N133="Х","Х",IF(O133&lt;3," ",IF($AC133&lt;6," ","Х")))</f>
        <v xml:space="preserve"> </v>
      </c>
      <c r="Q133" s="87"/>
      <c r="R133" s="266" t="str">
        <f>IF(P133="Х","Х",IF(Q133&lt;3," ",IF($AC133&lt;6," ","Х")))</f>
        <v xml:space="preserve"> </v>
      </c>
      <c r="S133" s="87"/>
      <c r="T133" s="266" t="str">
        <f>IF(R133="Х","Х",IF(S133&lt;3," ",IF($AC133&lt;6," ","Х")))</f>
        <v xml:space="preserve"> </v>
      </c>
      <c r="U133" s="88"/>
      <c r="V133" s="266" t="str">
        <f>IF(T133="Х","Х",IF(U133&lt;3," ",IF($AC133&lt;6," ","Х")))</f>
        <v xml:space="preserve"> </v>
      </c>
      <c r="W133" s="88"/>
      <c r="X133" s="266" t="str">
        <f>IF(V133="А1",$AZ$7,IF(V133="Б2",$AZ$6,IF(V133="Б1",$BA$7,IF(V133="А2",$BA$6,IF(V133="Х","Х",IF(V133&lt;6," "," "))))))</f>
        <v xml:space="preserve"> </v>
      </c>
      <c r="Y133" s="89"/>
      <c r="Z133" s="266" t="str">
        <f>IF(V133="Х","Х",IF(ISBLANK(Y133),"",IF(Y133&gt;2.5," ",IF(B133=BB$6,BB$7,BB$6))))</f>
        <v/>
      </c>
      <c r="AA133" s="89"/>
      <c r="AB133" s="290" t="str">
        <f>IF(H133="Х",F$5,IF(J133="Х",H$5,IF(L133="Х",J$5,IF(N133="Х",L$5,IF(P133="Х",N$5,IF(R133="Х",P$5,IF(T133="Х",R$5,IF(X133="Х",T$5,""))))))))</f>
        <v/>
      </c>
      <c r="AC133" s="276">
        <f>SUM(G133+I133+K133+M133+O133+Q133+S133+U133+Y133+AA133)</f>
        <v>0</v>
      </c>
      <c r="AD133" s="291" t="str">
        <f>AF133</f>
        <v>27-71</v>
      </c>
      <c r="AE133" s="278" t="str">
        <f>AD133</f>
        <v>27-71</v>
      </c>
      <c r="AF133" s="280" t="str">
        <f>COUNTIF(AG$6:AG$148,"&gt;"&amp;AG$6:AG$148)+1&amp;REPT("-"&amp;COUNTIF(AG$6:AG$148,"&gt;="&amp;AG$6:AG$148),COUNTIF(AG$6:AG$148,AG133)&gt;1)</f>
        <v>27-71</v>
      </c>
      <c r="AG133" s="282">
        <f>(AR133*100)+(AP133*10)-AC133</f>
        <v>80</v>
      </c>
      <c r="AH133" s="288" t="str">
        <f>IF(OR(F133="Х",F133="св")," ",IF(AND(G133&gt;=0,G133&lt;3),"1"," "))</f>
        <v>1</v>
      </c>
      <c r="AI133" s="289" t="str">
        <f>IF(OR(H133="Х",H133="св")," ",IF(AND(I133&gt;=0,I133&lt;3),"1"," "))</f>
        <v>1</v>
      </c>
      <c r="AJ133" s="289" t="str">
        <f>IF(OR(J133="Х",J133="св")," ",IF(AND(K133&gt;=0,K133&lt;3),"1"," "))</f>
        <v>1</v>
      </c>
      <c r="AK133" s="289" t="str">
        <f>IF(OR(L133="Х",L133="св")," ",IF(AND(M133&gt;=0,M133&lt;3),"1"," "))</f>
        <v>1</v>
      </c>
      <c r="AL133" s="289" t="str">
        <f>IF(OR(N133="Х",N133="св")," ",IF(AND(O133&gt;=0,O133&lt;3),"1"," "))</f>
        <v>1</v>
      </c>
      <c r="AM133" s="289" t="str">
        <f>IF(OR(P133="Х",P133="св")," ",IF(AND(Q133&gt;=0,Q133&lt;3),"1"," "))</f>
        <v>1</v>
      </c>
      <c r="AN133" s="289" t="str">
        <f>IF(OR(R133="Х",R133="св")," ",IF(AND(S133&gt;=0,S133&lt;3),"1"," "))</f>
        <v>1</v>
      </c>
      <c r="AO133" s="289" t="str">
        <f>IF(OR(T133="Х",T133="св")," ",IF(AND(U133&gt;=0,U133&lt;3),"1"," "))</f>
        <v>1</v>
      </c>
      <c r="AP133" s="289">
        <f>COUNTIF(AH133:AO134,1)</f>
        <v>8</v>
      </c>
      <c r="AQ133" s="289">
        <f>AG133-AC133</f>
        <v>80</v>
      </c>
      <c r="AR133" s="292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289" t="str">
        <f>COUNTIF(AG$6:AG$134,"&gt;"&amp;AG$6:AG$134)+1&amp;REPT("-"&amp;COUNTIF(AG$6:AG$134,"&gt;="&amp;AG$6:AG$134),COUNTIF(AG$6:AG$134,AG133)&gt;1)</f>
        <v>27-64</v>
      </c>
      <c r="AT133" s="288" t="str">
        <f t="shared" ref="AT133:AW133" si="68">COUNTIF(AU$6:AU$134,"&gt;"&amp;AU$6:AU$134)+1&amp;REPT("-"&amp;COUNTIF(AU$6:AU$134,"&gt;="&amp;AU$6:AU$134),COUNTIF(AU$6:AU$134,AU133)&gt;1)</f>
        <v>1-64</v>
      </c>
      <c r="AU133" s="288" t="str">
        <f t="shared" si="68"/>
        <v>1-0</v>
      </c>
      <c r="AV133" s="288" t="str">
        <f t="shared" si="68"/>
        <v>1</v>
      </c>
      <c r="AW133" s="288" t="str">
        <f t="shared" si="68"/>
        <v>1</v>
      </c>
      <c r="AX133" s="293">
        <f>IF(X133="Х","Х",IF(Y133&lt;3,B133,"Х"))</f>
        <v>64</v>
      </c>
      <c r="AY133" s="49">
        <f ca="1"/>
        <v>0</v>
      </c>
      <c r="AZ133" s="49"/>
      <c r="BA133" s="49">
        <f ca="1"/>
        <v>0</v>
      </c>
      <c r="BB133" s="49"/>
      <c r="BC133" s="49">
        <f ca="1"/>
        <v>0</v>
      </c>
      <c r="BD133" s="49">
        <f ca="1"/>
        <v>0</v>
      </c>
      <c r="BE133" s="49">
        <f ca="1"/>
        <v>0</v>
      </c>
      <c r="BF133" s="49">
        <f ca="1"/>
        <v>0</v>
      </c>
      <c r="BG133" s="49">
        <f ca="1"/>
        <v>0</v>
      </c>
      <c r="BH133" s="49">
        <f ca="1"/>
        <v>0</v>
      </c>
      <c r="BI133" s="49"/>
      <c r="BJ133" s="49"/>
      <c r="BK133" s="49"/>
      <c r="BL133" s="49"/>
      <c r="BM133" s="294">
        <v>64</v>
      </c>
      <c r="BN133" s="287">
        <v>0</v>
      </c>
      <c r="BO133" s="98" t="str">
        <f>IF(BM133&lt;BN133,BM133,"")</f>
        <v/>
      </c>
      <c r="BP133" s="124" t="str">
        <v/>
      </c>
      <c r="BQ133" s="125"/>
      <c r="BR133" s="295" t="str">
        <v/>
      </c>
      <c r="BS133" s="287">
        <v>0</v>
      </c>
      <c r="BT133" s="109" t="str">
        <f>IF(BR133&lt;BS133,BR133,"")</f>
        <v/>
      </c>
      <c r="BU133" s="124" t="str">
        <v/>
      </c>
      <c r="BV133" s="124"/>
      <c r="BW133" s="284">
        <v>64</v>
      </c>
      <c r="BX133" s="286" t="str">
        <v xml:space="preserve"> </v>
      </c>
      <c r="BY133" s="102">
        <f t="array" ref="BY133">IF(BW133&lt;BX133,BW133,"")</f>
        <v>64</v>
      </c>
      <c r="BZ133" s="102">
        <f t="shared" si="17"/>
        <v>64</v>
      </c>
      <c r="CA133" s="63"/>
      <c r="CB133" s="63" t="str">
        <f t="shared" si="18"/>
        <v>св</v>
      </c>
      <c r="CC133" s="128"/>
      <c r="CD133" s="159"/>
      <c r="CE133" s="286">
        <v>64</v>
      </c>
      <c r="CF133" s="296" t="str">
        <v xml:space="preserve"> </v>
      </c>
      <c r="CG133" s="98">
        <f t="array" ref="CG133">IF(CE133&lt;CF133,CE133,"")</f>
        <v>64</v>
      </c>
      <c r="CH133" s="63">
        <v>64</v>
      </c>
      <c r="CI133" s="49"/>
      <c r="CJ133" s="65">
        <v>64</v>
      </c>
      <c r="CK133" s="151" t="str">
        <v xml:space="preserve"> </v>
      </c>
      <c r="CL133" s="98">
        <f t="array" ref="CL133">IF(CJ133&lt;CK133,CJ133,"")</f>
        <v>64</v>
      </c>
      <c r="CM133" s="49">
        <v>64</v>
      </c>
      <c r="CN133" s="49"/>
      <c r="CO133" s="286">
        <v>64</v>
      </c>
      <c r="CP133" s="286" t="str">
        <v xml:space="preserve"> </v>
      </c>
      <c r="CQ133" s="98">
        <f t="array" ref="CQ133">IF(CO133&lt;CP133,CO133,"")</f>
        <v>64</v>
      </c>
      <c r="CR133" s="65">
        <v>64</v>
      </c>
      <c r="CS133" s="49"/>
      <c r="CT133" s="286">
        <v>64</v>
      </c>
      <c r="CU133" s="286" t="str">
        <v xml:space="preserve"> </v>
      </c>
      <c r="CV133" s="98">
        <f t="array" ref="CV133">IF(CT133&lt;CU133,CT133,"")</f>
        <v>64</v>
      </c>
      <c r="CW133" s="49">
        <v>64</v>
      </c>
      <c r="CX133" s="49"/>
      <c r="CY133" s="49">
        <v>64</v>
      </c>
      <c r="CZ133" s="49" t="str">
        <v xml:space="preserve"> </v>
      </c>
      <c r="DA133" s="98">
        <f t="array" ref="DA133">IF(CY133&lt;CZ133,CY133,"")</f>
        <v>64</v>
      </c>
      <c r="DB133" s="49">
        <v>64</v>
      </c>
      <c r="DC133" s="49"/>
      <c r="DD133" s="49">
        <v>64</v>
      </c>
      <c r="DE133" s="49"/>
      <c r="DF133" s="49"/>
      <c r="DG133" s="49"/>
      <c r="DH133" s="49"/>
    </row>
    <row r="134" spans="1:112" ht="13.5" hidden="1" customHeight="1">
      <c r="A134" s="177"/>
      <c r="B134" s="269"/>
      <c r="C134" s="269"/>
      <c r="D134" s="269"/>
      <c r="E134" s="269"/>
      <c r="F134" s="274"/>
      <c r="G134" s="106"/>
      <c r="H134" s="267"/>
      <c r="I134" s="106"/>
      <c r="J134" s="267"/>
      <c r="K134" s="106"/>
      <c r="L134" s="267"/>
      <c r="M134" s="106"/>
      <c r="N134" s="267"/>
      <c r="O134" s="106"/>
      <c r="P134" s="267"/>
      <c r="Q134" s="106"/>
      <c r="R134" s="267"/>
      <c r="S134" s="106"/>
      <c r="T134" s="267"/>
      <c r="U134" s="107"/>
      <c r="V134" s="267"/>
      <c r="W134" s="107"/>
      <c r="X134" s="267"/>
      <c r="Y134" s="106"/>
      <c r="Z134" s="267"/>
      <c r="AA134" s="106"/>
      <c r="AB134" s="274"/>
      <c r="AC134" s="269"/>
      <c r="AD134" s="267"/>
      <c r="AE134" s="279"/>
      <c r="AF134" s="281"/>
      <c r="AG134" s="283"/>
      <c r="AH134" s="283"/>
      <c r="AI134" s="283"/>
      <c r="AJ134" s="283"/>
      <c r="AK134" s="283"/>
      <c r="AL134" s="283"/>
      <c r="AM134" s="283"/>
      <c r="AN134" s="283"/>
      <c r="AO134" s="283"/>
      <c r="AP134" s="283"/>
      <c r="AQ134" s="283"/>
      <c r="AR134" s="283"/>
      <c r="AS134" s="283"/>
      <c r="AT134" s="283"/>
      <c r="AU134" s="283"/>
      <c r="AV134" s="283"/>
      <c r="AW134" s="283"/>
      <c r="AX134" s="264"/>
      <c r="AY134" s="49">
        <f ca="1"/>
        <v>0</v>
      </c>
      <c r="AZ134" s="49"/>
      <c r="BA134" s="49">
        <f ca="1"/>
        <v>0</v>
      </c>
      <c r="BB134" s="49"/>
      <c r="BC134" s="49">
        <f ca="1"/>
        <v>0</v>
      </c>
      <c r="BD134" s="49">
        <f ca="1"/>
        <v>0</v>
      </c>
      <c r="BE134" s="49">
        <f ca="1"/>
        <v>0</v>
      </c>
      <c r="BF134" s="49">
        <f ca="1"/>
        <v>0</v>
      </c>
      <c r="BG134" s="49">
        <f ca="1"/>
        <v>0</v>
      </c>
      <c r="BH134" s="49">
        <f ca="1"/>
        <v>0</v>
      </c>
      <c r="BI134" s="49"/>
      <c r="BJ134" s="49"/>
      <c r="BK134" s="49"/>
      <c r="BL134" s="49"/>
      <c r="BM134" s="359" t="str">
        <v/>
      </c>
      <c r="BN134" s="324">
        <v>0</v>
      </c>
      <c r="BO134" s="109" t="str">
        <f>IF(BO133="","",BN133)</f>
        <v/>
      </c>
      <c r="BP134" s="171" t="str">
        <v/>
      </c>
      <c r="BQ134" s="172"/>
      <c r="BR134" s="264" t="str">
        <v/>
      </c>
      <c r="BS134" s="264">
        <v>0</v>
      </c>
      <c r="BT134" s="109" t="str">
        <f>IF(BT133="","",BS133)</f>
        <v/>
      </c>
      <c r="BU134" s="109" t="str">
        <v/>
      </c>
      <c r="BV134" s="124"/>
      <c r="BW134" s="359" t="str">
        <v/>
      </c>
      <c r="BX134" s="324">
        <v>0</v>
      </c>
      <c r="BY134" s="102" t="str">
        <f>IF(BY133="","",BX133)</f>
        <v xml:space="preserve"> </v>
      </c>
      <c r="BZ134" s="173" t="str">
        <f t="shared" si="17"/>
        <v xml:space="preserve"> </v>
      </c>
      <c r="CA134" s="174"/>
      <c r="CB134" s="175" t="str">
        <f t="shared" si="18"/>
        <v>св</v>
      </c>
      <c r="CC134" s="174"/>
      <c r="CD134" s="176"/>
      <c r="CE134" s="264" t="str">
        <v/>
      </c>
      <c r="CF134" s="264">
        <v>0</v>
      </c>
      <c r="CG134" s="113" t="str">
        <f>IF(CG133="","",CF133)</f>
        <v xml:space="preserve"> </v>
      </c>
      <c r="CH134" s="128" t="str">
        <v xml:space="preserve"> </v>
      </c>
      <c r="CI134" s="49"/>
      <c r="CJ134" s="49" t="str">
        <v/>
      </c>
      <c r="CK134" s="153">
        <v>0</v>
      </c>
      <c r="CL134" s="113" t="str">
        <f>IF(CL133="","",CK133)</f>
        <v xml:space="preserve"> </v>
      </c>
      <c r="CM134" s="49" t="str">
        <v xml:space="preserve"> </v>
      </c>
      <c r="CN134" s="49"/>
      <c r="CO134" s="264" t="str">
        <v/>
      </c>
      <c r="CP134" s="264">
        <v>0</v>
      </c>
      <c r="CQ134" s="113" t="str">
        <f>IF(CQ133="","",CP133)</f>
        <v xml:space="preserve"> </v>
      </c>
      <c r="CR134" s="49" t="str">
        <v xml:space="preserve"> </v>
      </c>
      <c r="CS134" s="49"/>
      <c r="CT134" s="264" t="str">
        <v/>
      </c>
      <c r="CU134" s="264">
        <v>0</v>
      </c>
      <c r="CV134" s="113" t="str">
        <f>IF(CV133="","",CU133)</f>
        <v xml:space="preserve"> </v>
      </c>
      <c r="CW134" s="49" t="str">
        <v xml:space="preserve"> </v>
      </c>
      <c r="CX134" s="49"/>
      <c r="CY134" s="49" t="str">
        <v/>
      </c>
      <c r="CZ134" s="49">
        <v>0</v>
      </c>
      <c r="DA134" s="113" t="str">
        <f>IF(DA133="","",CZ133)</f>
        <v xml:space="preserve"> </v>
      </c>
      <c r="DB134" s="49" t="str">
        <v xml:space="preserve"> </v>
      </c>
      <c r="DC134" s="49"/>
      <c r="DD134" s="49" t="str">
        <v/>
      </c>
      <c r="DE134" s="49"/>
      <c r="DF134" s="49"/>
      <c r="DG134" s="49"/>
      <c r="DH134" s="49"/>
    </row>
    <row r="135" spans="1:112" ht="13.5" hidden="1" customHeight="1">
      <c r="A135" s="177"/>
      <c r="B135" s="299">
        <v>65</v>
      </c>
      <c r="C135" s="270" t="e">
        <f>(VLOOKUP($B135,Пр.взв!$D$6:$J$63,2,0))</f>
        <v>#N/A</v>
      </c>
      <c r="D135" s="271" t="e">
        <f>(VLOOKUP($B135,Пр.взв!$D$6:$J$63,5,0))</f>
        <v>#N/A</v>
      </c>
      <c r="E135" s="272" t="e">
        <f>(VLOOKUP($B135,Пр.взв!$D$6:$M$63,8,0))</f>
        <v>#N/A</v>
      </c>
      <c r="F135" s="273"/>
      <c r="G135" s="87"/>
      <c r="H135" s="266"/>
      <c r="I135" s="89"/>
      <c r="J135" s="266" t="str">
        <f>IF(H135="Х","Х",IF($AC135&lt;6," ","Х"))</f>
        <v xml:space="preserve"> </v>
      </c>
      <c r="K135" s="87"/>
      <c r="L135" s="266" t="str">
        <f>IF(J135="Х","Х",IF(K135&lt;3," ",IF($AC135&lt;6," ","Х")))</f>
        <v xml:space="preserve"> </v>
      </c>
      <c r="M135" s="87"/>
      <c r="N135" s="266" t="str">
        <f>IF(L135="Х","Х",IF(M135&lt;3," ",IF($AC135&lt;6," ","Х")))</f>
        <v xml:space="preserve"> </v>
      </c>
      <c r="O135" s="87"/>
      <c r="P135" s="266" t="str">
        <f>IF(N135="Х","Х",IF(O135&lt;3," ",IF($AC135&lt;6," ","Х")))</f>
        <v xml:space="preserve"> </v>
      </c>
      <c r="Q135" s="87"/>
      <c r="R135" s="266" t="str">
        <f>IF(P135="Х","Х",IF(Q135&lt;3," ",IF($AC135&lt;6," ","Х")))</f>
        <v xml:space="preserve"> </v>
      </c>
      <c r="S135" s="87"/>
      <c r="T135" s="266" t="str">
        <f>IF(R135="Х","Х",IF(S135&lt;3," ",IF($AC135&lt;6," ","Х")))</f>
        <v xml:space="preserve"> </v>
      </c>
      <c r="U135" s="88"/>
      <c r="V135" s="266" t="str">
        <f>IF(T135="Х","Х",IF(U135&lt;3," ",IF($AC135&lt;6," ","Х")))</f>
        <v xml:space="preserve"> </v>
      </c>
      <c r="W135" s="88"/>
      <c r="X135" s="266" t="str">
        <f>IF(V135="А1",$AZ$7,IF(V135="Б2",$AZ$6,IF(V135="Б1",$BA$7,IF(V135="А2",$BA$6,IF(V135="Х","Х",IF(V135&lt;6," "," "))))))</f>
        <v xml:space="preserve"> </v>
      </c>
      <c r="Y135" s="89"/>
      <c r="Z135" s="266" t="str">
        <f>IF(V135="Х","Х",IF(ISBLANK(Y135),"",IF(Y135&gt;2.5," ",IF(B135=BB$6,BB$7,BB$6))))</f>
        <v/>
      </c>
      <c r="AA135" s="89"/>
      <c r="AB135" s="290" t="str">
        <f>IF(H135="Х",F$5,IF(J135="Х",H$5,IF(L135="Х",J$5,IF(N135="Х",L$5,IF(P135="Х",N$5,IF(R135="Х",P$5,IF(T135="Х",R$5,IF(X135="Х",T$5,""))))))))</f>
        <v/>
      </c>
      <c r="AC135" s="276">
        <f>SUM(G135+I135+K135+M135+O135+Q135+S135+U135+Y135+AA135)</f>
        <v>0</v>
      </c>
      <c r="AD135" s="291" t="str">
        <f>AF135</f>
        <v>27-71</v>
      </c>
      <c r="AE135" s="278" t="str">
        <f>AD135</f>
        <v>27-71</v>
      </c>
      <c r="AF135" s="280" t="str">
        <f>COUNTIF(AG$6:AG$148,"&gt;"&amp;AG$6:AG$148)+1&amp;REPT("-"&amp;COUNTIF(AG$6:AG$148,"&gt;="&amp;AG$6:AG$148),COUNTIF(AG$6:AG$148,AG135)&gt;1)</f>
        <v>27-71</v>
      </c>
      <c r="AG135" s="282">
        <f>(AR135*100)+(AP135*10)-AC135</f>
        <v>80</v>
      </c>
      <c r="AH135" s="288" t="str">
        <f>IF(OR(F135="Х",F135="св")," ",IF(AND(G135&gt;=0,G135&lt;3),"1"," "))</f>
        <v>1</v>
      </c>
      <c r="AI135" s="289" t="str">
        <f>IF(OR(H135="Х",H135="св")," ",IF(AND(I135&gt;=0,I135&lt;3),"1"," "))</f>
        <v>1</v>
      </c>
      <c r="AJ135" s="289" t="str">
        <f>IF(OR(J135="Х",J135="св")," ",IF(AND(K135&gt;=0,K135&lt;3),"1"," "))</f>
        <v>1</v>
      </c>
      <c r="AK135" s="289" t="str">
        <f>IF(OR(L135="Х",L135="св")," ",IF(AND(M135&gt;=0,M135&lt;3),"1"," "))</f>
        <v>1</v>
      </c>
      <c r="AL135" s="289" t="str">
        <f>IF(OR(N135="Х",N135="св")," ",IF(AND(O135&gt;=0,O135&lt;3),"1"," "))</f>
        <v>1</v>
      </c>
      <c r="AM135" s="289" t="str">
        <f>IF(OR(P135="Х",P135="св")," ",IF(AND(Q135&gt;=0,Q135&lt;3),"1"," "))</f>
        <v>1</v>
      </c>
      <c r="AN135" s="289" t="str">
        <f>IF(OR(R135="Х",R135="св")," ",IF(AND(S135&gt;=0,S135&lt;3),"1"," "))</f>
        <v>1</v>
      </c>
      <c r="AO135" s="289" t="str">
        <f>IF(OR(T135="Х",T135="св")," ",IF(AND(U135&gt;=0,U135&lt;3),"1"," "))</f>
        <v>1</v>
      </c>
      <c r="AP135" s="289">
        <f>COUNTIF(AH135:AO136,1)</f>
        <v>8</v>
      </c>
      <c r="AQ135" s="289">
        <f>AG135-AC135</f>
        <v>80</v>
      </c>
      <c r="AR135" s="292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289" t="str">
        <f>COUNTIF(AG$6:AG$134,"&gt;"&amp;AG$6:AG$134)+1&amp;REPT("-"&amp;COUNTIF(AG$6:AG$134,"&gt;="&amp;AG$6:AG$134),COUNTIF(AG$6:AG$134,AG135)&gt;1)</f>
        <v>1-0</v>
      </c>
      <c r="AT135" s="288" t="str">
        <f t="shared" ref="AT135:AW135" si="69">COUNTIF(AU$6:AU$134,"&gt;"&amp;AU$6:AU$134)+1&amp;REPT("-"&amp;COUNTIF(AU$6:AU$134,"&gt;="&amp;AU$6:AU$134),COUNTIF(AU$6:AU$134,AU135)&gt;1)</f>
        <v>1-0</v>
      </c>
      <c r="AU135" s="288" t="str">
        <f t="shared" si="69"/>
        <v>1-0</v>
      </c>
      <c r="AV135" s="288" t="str">
        <f t="shared" si="69"/>
        <v>1</v>
      </c>
      <c r="AW135" s="288" t="str">
        <f t="shared" si="69"/>
        <v>1</v>
      </c>
      <c r="AX135" s="293">
        <f>IF(X135="Х","Х",IF(Y135&lt;3,B135,"Х"))</f>
        <v>65</v>
      </c>
      <c r="AY135" s="49">
        <f ca="1"/>
        <v>0</v>
      </c>
      <c r="AZ135" s="49"/>
      <c r="BA135" s="49">
        <f ca="1"/>
        <v>0</v>
      </c>
      <c r="BB135" s="49"/>
      <c r="BC135" s="49">
        <f ca="1"/>
        <v>0</v>
      </c>
      <c r="BD135" s="49">
        <f ca="1"/>
        <v>0</v>
      </c>
      <c r="BE135" s="49">
        <f ca="1"/>
        <v>0</v>
      </c>
      <c r="BF135" s="49">
        <f ca="1"/>
        <v>0</v>
      </c>
      <c r="BG135" s="49">
        <f ca="1"/>
        <v>0</v>
      </c>
      <c r="BH135" s="49">
        <f ca="1"/>
        <v>0</v>
      </c>
      <c r="BI135" s="49"/>
      <c r="BJ135" s="49"/>
      <c r="BK135" s="49"/>
      <c r="BL135" s="49"/>
      <c r="BM135" s="50">
        <v>65</v>
      </c>
      <c r="BN135" s="49">
        <v>0</v>
      </c>
      <c r="BO135" s="98" t="str">
        <f>IF(BM135&lt;BN135,BM135,"")</f>
        <v/>
      </c>
      <c r="BP135" s="49" t="str">
        <v/>
      </c>
      <c r="BQ135" s="49"/>
      <c r="BR135" s="50" t="str">
        <v/>
      </c>
      <c r="BS135" s="49">
        <v>0</v>
      </c>
      <c r="BT135" s="109" t="str">
        <f>IF(BR135&lt;BS135,BR135,"")</f>
        <v/>
      </c>
      <c r="BU135" s="49" t="str">
        <v/>
      </c>
      <c r="BV135" s="49"/>
      <c r="BW135" s="49">
        <v>65</v>
      </c>
      <c r="BX135" s="49" t="str">
        <v xml:space="preserve"> </v>
      </c>
      <c r="BY135" s="102">
        <f t="array" ref="BY135">IF(BW135&lt;BX135,BW135,"")</f>
        <v>65</v>
      </c>
      <c r="BZ135" s="102">
        <f t="shared" si="17"/>
        <v>65</v>
      </c>
      <c r="CA135" s="49"/>
      <c r="CB135" s="63" t="str">
        <f t="shared" si="18"/>
        <v>св</v>
      </c>
      <c r="CC135" s="49"/>
      <c r="CD135" s="49"/>
      <c r="CE135" s="49">
        <v>65</v>
      </c>
      <c r="CF135" s="49" t="str">
        <v xml:space="preserve"> </v>
      </c>
      <c r="CG135" s="98">
        <f t="array" ref="CG135">IF(CE135&lt;CF135,CE135,"")</f>
        <v>65</v>
      </c>
      <c r="CH135" s="49">
        <v>65</v>
      </c>
      <c r="CI135" s="49"/>
      <c r="CJ135" s="49">
        <v>65</v>
      </c>
      <c r="CK135" s="49" t="str">
        <v xml:space="preserve"> </v>
      </c>
      <c r="CL135" s="98">
        <f t="array" ref="CL135">IF(CJ135&lt;CK135,CJ135,"")</f>
        <v>65</v>
      </c>
      <c r="CM135" s="49">
        <v>65</v>
      </c>
      <c r="CN135" s="49"/>
      <c r="CO135" s="49">
        <v>65</v>
      </c>
      <c r="CP135" s="49" t="str">
        <v xml:space="preserve"> </v>
      </c>
      <c r="CQ135" s="98">
        <f t="array" ref="CQ135">IF(CO135&lt;CP135,CO135,"")</f>
        <v>65</v>
      </c>
      <c r="CR135" s="49">
        <v>65</v>
      </c>
      <c r="CS135" s="49"/>
      <c r="CT135" s="49">
        <v>65</v>
      </c>
      <c r="CU135" s="49" t="str">
        <v xml:space="preserve"> </v>
      </c>
      <c r="CV135" s="98">
        <f t="array" ref="CV135">IF(CT135&lt;CU135,CT135,"")</f>
        <v>65</v>
      </c>
      <c r="CW135" s="49">
        <v>65</v>
      </c>
      <c r="CX135" s="49"/>
      <c r="CY135" s="49">
        <v>65</v>
      </c>
      <c r="CZ135" s="49" t="str">
        <v xml:space="preserve"> </v>
      </c>
      <c r="DA135" s="98">
        <f t="array" ref="DA135">IF(CY135&lt;CZ135,CY135,"")</f>
        <v>65</v>
      </c>
      <c r="DB135" s="49">
        <v>65</v>
      </c>
      <c r="DC135" s="49"/>
      <c r="DD135" s="49">
        <v>65</v>
      </c>
      <c r="DE135" s="49"/>
      <c r="DF135" s="49"/>
      <c r="DG135" s="49"/>
      <c r="DH135" s="49"/>
    </row>
    <row r="136" spans="1:112" ht="13.5" hidden="1" customHeight="1">
      <c r="A136" s="177"/>
      <c r="B136" s="269"/>
      <c r="C136" s="269"/>
      <c r="D136" s="269"/>
      <c r="E136" s="269"/>
      <c r="F136" s="274"/>
      <c r="G136" s="106"/>
      <c r="H136" s="267"/>
      <c r="I136" s="106"/>
      <c r="J136" s="267"/>
      <c r="K136" s="106"/>
      <c r="L136" s="267"/>
      <c r="M136" s="106"/>
      <c r="N136" s="267"/>
      <c r="O136" s="106"/>
      <c r="P136" s="267"/>
      <c r="Q136" s="106"/>
      <c r="R136" s="267"/>
      <c r="S136" s="106"/>
      <c r="T136" s="267"/>
      <c r="U136" s="107"/>
      <c r="V136" s="267"/>
      <c r="W136" s="107"/>
      <c r="X136" s="267"/>
      <c r="Y136" s="106"/>
      <c r="Z136" s="267"/>
      <c r="AA136" s="106"/>
      <c r="AB136" s="274"/>
      <c r="AC136" s="269"/>
      <c r="AD136" s="267"/>
      <c r="AE136" s="279"/>
      <c r="AF136" s="281"/>
      <c r="AG136" s="283"/>
      <c r="AH136" s="283"/>
      <c r="AI136" s="283"/>
      <c r="AJ136" s="283"/>
      <c r="AK136" s="283"/>
      <c r="AL136" s="283"/>
      <c r="AM136" s="283"/>
      <c r="AN136" s="283"/>
      <c r="AO136" s="283"/>
      <c r="AP136" s="283"/>
      <c r="AQ136" s="283"/>
      <c r="AR136" s="283"/>
      <c r="AS136" s="283"/>
      <c r="AT136" s="283"/>
      <c r="AU136" s="283"/>
      <c r="AV136" s="283"/>
      <c r="AW136" s="283"/>
      <c r="AX136" s="264"/>
      <c r="AY136" s="49">
        <f ca="1"/>
        <v>0</v>
      </c>
      <c r="AZ136" s="49"/>
      <c r="BA136" s="49">
        <f ca="1"/>
        <v>0</v>
      </c>
      <c r="BB136" s="49"/>
      <c r="BC136" s="49">
        <f ca="1"/>
        <v>0</v>
      </c>
      <c r="BD136" s="49">
        <f ca="1"/>
        <v>0</v>
      </c>
      <c r="BE136" s="49">
        <f ca="1"/>
        <v>0</v>
      </c>
      <c r="BF136" s="49">
        <f ca="1"/>
        <v>0</v>
      </c>
      <c r="BG136" s="49">
        <f ca="1"/>
        <v>0</v>
      </c>
      <c r="BH136" s="49">
        <f ca="1"/>
        <v>0</v>
      </c>
      <c r="BI136" s="49"/>
      <c r="BJ136" s="49"/>
      <c r="BK136" s="49"/>
      <c r="BL136" s="49"/>
      <c r="BM136" s="50" t="str">
        <v/>
      </c>
      <c r="BN136" s="49">
        <v>0</v>
      </c>
      <c r="BO136" s="109" t="str">
        <f>IF(BO135="","",BN135)</f>
        <v/>
      </c>
      <c r="BP136" s="49" t="str">
        <v/>
      </c>
      <c r="BQ136" s="49"/>
      <c r="BR136" s="50" t="str">
        <v/>
      </c>
      <c r="BS136" s="49">
        <v>0</v>
      </c>
      <c r="BT136" s="109" t="str">
        <f>IF(BT135="","",BS135)</f>
        <v/>
      </c>
      <c r="BU136" s="49" t="str">
        <v/>
      </c>
      <c r="BV136" s="49"/>
      <c r="BW136" s="49" t="str">
        <v/>
      </c>
      <c r="BX136" s="49">
        <v>0</v>
      </c>
      <c r="BY136" s="102" t="str">
        <f>IF(BY135="","",BX135)</f>
        <v xml:space="preserve"> </v>
      </c>
      <c r="BZ136" s="173" t="str">
        <f t="shared" si="17"/>
        <v xml:space="preserve"> </v>
      </c>
      <c r="CA136" s="49"/>
      <c r="CB136" s="175" t="str">
        <f t="shared" si="18"/>
        <v>св</v>
      </c>
      <c r="CC136" s="49"/>
      <c r="CD136" s="49"/>
      <c r="CE136" s="49" t="str">
        <v/>
      </c>
      <c r="CF136" s="49">
        <v>0</v>
      </c>
      <c r="CG136" s="113" t="str">
        <f>IF(CG135="","",CF135)</f>
        <v xml:space="preserve"> </v>
      </c>
      <c r="CH136" s="49" t="str">
        <v xml:space="preserve"> </v>
      </c>
      <c r="CI136" s="49"/>
      <c r="CJ136" s="49" t="str">
        <v/>
      </c>
      <c r="CK136" s="49">
        <v>0</v>
      </c>
      <c r="CL136" s="113" t="str">
        <f>IF(CL135="","",CK135)</f>
        <v xml:space="preserve"> </v>
      </c>
      <c r="CM136" s="49" t="str">
        <v xml:space="preserve"> </v>
      </c>
      <c r="CN136" s="49"/>
      <c r="CO136" s="49" t="str">
        <v/>
      </c>
      <c r="CP136" s="49">
        <v>0</v>
      </c>
      <c r="CQ136" s="113" t="str">
        <f>IF(CQ135="","",CP135)</f>
        <v xml:space="preserve"> </v>
      </c>
      <c r="CR136" s="49" t="str">
        <v xml:space="preserve"> </v>
      </c>
      <c r="CS136" s="49"/>
      <c r="CT136" s="49" t="str">
        <v/>
      </c>
      <c r="CU136" s="49">
        <v>0</v>
      </c>
      <c r="CV136" s="113" t="str">
        <f>IF(CV135="","",CU135)</f>
        <v xml:space="preserve"> </v>
      </c>
      <c r="CW136" s="49" t="str">
        <v xml:space="preserve"> </v>
      </c>
      <c r="CX136" s="49"/>
      <c r="CY136" s="49" t="str">
        <v/>
      </c>
      <c r="CZ136" s="49">
        <v>0</v>
      </c>
      <c r="DA136" s="113" t="str">
        <f>IF(DA135="","",CZ135)</f>
        <v xml:space="preserve"> </v>
      </c>
      <c r="DB136" s="49" t="str">
        <v xml:space="preserve"> </v>
      </c>
      <c r="DC136" s="49"/>
      <c r="DD136" s="49" t="str">
        <v/>
      </c>
      <c r="DE136" s="49"/>
      <c r="DF136" s="49"/>
      <c r="DG136" s="49"/>
      <c r="DH136" s="49"/>
    </row>
    <row r="137" spans="1:112" ht="13.5" hidden="1" customHeight="1">
      <c r="A137" s="177"/>
      <c r="B137" s="299">
        <v>66</v>
      </c>
      <c r="C137" s="270" t="e">
        <f>(VLOOKUP($B137,Пр.взв!$D$6:$J$63,2,0))</f>
        <v>#N/A</v>
      </c>
      <c r="D137" s="271" t="e">
        <f>(VLOOKUP($B137,Пр.взв!$D$6:$J$63,5,0))</f>
        <v>#N/A</v>
      </c>
      <c r="E137" s="272" t="e">
        <f>(VLOOKUP($B137,Пр.взв!$D$6:$M$63,8,0))</f>
        <v>#N/A</v>
      </c>
      <c r="F137" s="273"/>
      <c r="G137" s="87"/>
      <c r="H137" s="266"/>
      <c r="I137" s="87"/>
      <c r="J137" s="266" t="str">
        <f>IF(H137="Х","Х",IF($AC137&lt;6," ","Х"))</f>
        <v xml:space="preserve"> </v>
      </c>
      <c r="K137" s="87"/>
      <c r="L137" s="266" t="str">
        <f>IF(J137="Х","Х",IF(K137&lt;3," ",IF($AC137&lt;6," ","Х")))</f>
        <v xml:space="preserve"> </v>
      </c>
      <c r="M137" s="87"/>
      <c r="N137" s="266" t="str">
        <f>IF(L137="Х","Х",IF(M137&lt;3," ",IF($AC137&lt;6," ","Х")))</f>
        <v xml:space="preserve"> </v>
      </c>
      <c r="O137" s="87"/>
      <c r="P137" s="266" t="str">
        <f>IF(N137="Х","Х",IF(O137&lt;3," ",IF($AC137&lt;6," ","Х")))</f>
        <v xml:space="preserve"> </v>
      </c>
      <c r="Q137" s="87"/>
      <c r="R137" s="266" t="str">
        <f>IF(P137="Х","Х",IF(Q137&lt;3," ",IF($AC137&lt;6," ","Х")))</f>
        <v xml:space="preserve"> </v>
      </c>
      <c r="S137" s="87"/>
      <c r="T137" s="266" t="str">
        <f>IF(R137="Х","Х",IF(S137&lt;3," ",IF($AC137&lt;6," ","Х")))</f>
        <v xml:space="preserve"> </v>
      </c>
      <c r="U137" s="88"/>
      <c r="V137" s="266" t="str">
        <f>IF(T137="Х","Х",IF(U137&lt;3," ",IF($AC137&lt;6," ","Х")))</f>
        <v xml:space="preserve"> </v>
      </c>
      <c r="W137" s="88"/>
      <c r="X137" s="266" t="str">
        <f>IF(V137="А1",$AZ$7,IF(V137="Б2",$AZ$6,IF(V137="Б1",$BA$7,IF(V137="А2",$BA$6,IF(V137="Х","Х",IF(V137&lt;6," "," "))))))</f>
        <v xml:space="preserve"> </v>
      </c>
      <c r="Y137" s="89"/>
      <c r="Z137" s="266" t="str">
        <f>IF(V137="Х","Х",IF(ISBLANK(Y137),"",IF(Y137&gt;2.5," ",IF(B137=BB$6,BB$7,BB$6))))</f>
        <v/>
      </c>
      <c r="AA137" s="89"/>
      <c r="AB137" s="290" t="str">
        <f>IF(H137="Х",F$5,IF(J137="Х",H$5,IF(L137="Х",J$5,IF(N137="Х",L$5,IF(P137="Х",N$5,IF(R137="Х",P$5,IF(T137="Х",R$5,IF(X137="Х",T$5,""))))))))</f>
        <v/>
      </c>
      <c r="AC137" s="276">
        <f>SUM(G137+I137+K137+M137+O137+Q137+S137+U137+Y137+AA137)</f>
        <v>0</v>
      </c>
      <c r="AD137" s="291" t="str">
        <f>AF137</f>
        <v>27-71</v>
      </c>
      <c r="AE137" s="278" t="str">
        <f>AD137</f>
        <v>27-71</v>
      </c>
      <c r="AF137" s="280" t="str">
        <f>COUNTIF(AG$6:AG$148,"&gt;"&amp;AG$6:AG$148)+1&amp;REPT("-"&amp;COUNTIF(AG$6:AG$148,"&gt;="&amp;AG$6:AG$148),COUNTIF(AG$6:AG$148,AG137)&gt;1)</f>
        <v>27-71</v>
      </c>
      <c r="AG137" s="282">
        <f>(AR137*100)+(AP137*10)-AC137</f>
        <v>80</v>
      </c>
      <c r="AH137" s="288" t="str">
        <f>IF(OR(F137="Х",F137="св")," ",IF(AND(G137&gt;=0,G137&lt;3),"1"," "))</f>
        <v>1</v>
      </c>
      <c r="AI137" s="289" t="str">
        <f>IF(OR(H137="Х",H137="св")," ",IF(AND(I137&gt;=0,I137&lt;3),"1"," "))</f>
        <v>1</v>
      </c>
      <c r="AJ137" s="289" t="str">
        <f>IF(OR(J137="Х",J137="св")," ",IF(AND(K137&gt;=0,K137&lt;3),"1"," "))</f>
        <v>1</v>
      </c>
      <c r="AK137" s="289" t="str">
        <f>IF(OR(L137="Х",L137="св")," ",IF(AND(M137&gt;=0,M137&lt;3),"1"," "))</f>
        <v>1</v>
      </c>
      <c r="AL137" s="289" t="str">
        <f>IF(OR(N137="Х",N137="св")," ",IF(AND(O137&gt;=0,O137&lt;3),"1"," "))</f>
        <v>1</v>
      </c>
      <c r="AM137" s="289" t="str">
        <f>IF(OR(P137="Х",P137="св")," ",IF(AND(Q137&gt;=0,Q137&lt;3),"1"," "))</f>
        <v>1</v>
      </c>
      <c r="AN137" s="289" t="str">
        <f>IF(OR(R137="Х",R137="св")," ",IF(AND(S137&gt;=0,S137&lt;3),"1"," "))</f>
        <v>1</v>
      </c>
      <c r="AO137" s="289" t="str">
        <f>IF(OR(T137="Х",T137="св")," ",IF(AND(U137&gt;=0,U137&lt;3),"1"," "))</f>
        <v>1</v>
      </c>
      <c r="AP137" s="289">
        <f>COUNTIF(AH137:AO138,1)</f>
        <v>8</v>
      </c>
      <c r="AQ137" s="289">
        <f>AG137-AC137</f>
        <v>80</v>
      </c>
      <c r="AR137" s="292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289" t="str">
        <f>COUNTIF(AG$6:AG$134,"&gt;"&amp;AG$6:AG$134)+1&amp;REPT("-"&amp;COUNTIF(AG$6:AG$134,"&gt;="&amp;AG$6:AG$134),COUNTIF(AG$6:AG$134,AG137)&gt;1)</f>
        <v>1-0</v>
      </c>
      <c r="AT137" s="288" t="str">
        <f t="shared" ref="AT137:AW137" si="70">COUNTIF(AU$6:AU$134,"&gt;"&amp;AU$6:AU$134)+1&amp;REPT("-"&amp;COUNTIF(AU$6:AU$134,"&gt;="&amp;AU$6:AU$134),COUNTIF(AU$6:AU$134,AU137)&gt;1)</f>
        <v>1-0</v>
      </c>
      <c r="AU137" s="288" t="str">
        <f t="shared" si="70"/>
        <v>1-0</v>
      </c>
      <c r="AV137" s="288" t="str">
        <f t="shared" si="70"/>
        <v>1</v>
      </c>
      <c r="AW137" s="288" t="str">
        <f t="shared" si="70"/>
        <v>1</v>
      </c>
      <c r="AX137" s="293">
        <f>IF(X137="Х","Х",IF(Y137&lt;3,B137,"Х"))</f>
        <v>66</v>
      </c>
      <c r="AY137" s="49">
        <f ca="1"/>
        <v>0</v>
      </c>
      <c r="AZ137" s="49"/>
      <c r="BA137" s="49">
        <f ca="1"/>
        <v>0</v>
      </c>
      <c r="BB137" s="49"/>
      <c r="BC137" s="49">
        <f ca="1"/>
        <v>0</v>
      </c>
      <c r="BD137" s="49">
        <f ca="1"/>
        <v>0</v>
      </c>
      <c r="BE137" s="49">
        <f ca="1"/>
        <v>0</v>
      </c>
      <c r="BF137" s="49">
        <f ca="1"/>
        <v>0</v>
      </c>
      <c r="BG137" s="49">
        <f ca="1"/>
        <v>0</v>
      </c>
      <c r="BH137" s="49">
        <f ca="1"/>
        <v>0</v>
      </c>
      <c r="BI137" s="49"/>
      <c r="BJ137" s="49"/>
      <c r="BK137" s="49"/>
      <c r="BL137" s="49"/>
      <c r="BM137" s="50">
        <v>66</v>
      </c>
      <c r="BN137" s="49">
        <v>0</v>
      </c>
      <c r="BO137" s="98" t="str">
        <f>IF(BM137&lt;BN137,BM137,"")</f>
        <v/>
      </c>
      <c r="BP137" s="49" t="str">
        <v/>
      </c>
      <c r="BQ137" s="49"/>
      <c r="BR137" s="50" t="str">
        <v/>
      </c>
      <c r="BS137" s="49">
        <v>0</v>
      </c>
      <c r="BT137" s="109" t="str">
        <f>IF(BR137&lt;BS137,BR137,"")</f>
        <v/>
      </c>
      <c r="BU137" s="49" t="str">
        <v/>
      </c>
      <c r="BV137" s="49"/>
      <c r="BW137" s="49">
        <v>66</v>
      </c>
      <c r="BX137" s="49" t="str">
        <v xml:space="preserve"> </v>
      </c>
      <c r="BY137" s="102">
        <f t="array" ref="BY137">IF(BW137&lt;BX137,BW137,"")</f>
        <v>66</v>
      </c>
      <c r="BZ137" s="102">
        <f t="shared" si="17"/>
        <v>66</v>
      </c>
      <c r="CA137" s="49"/>
      <c r="CB137" s="63" t="str">
        <f t="shared" si="18"/>
        <v>св</v>
      </c>
      <c r="CC137" s="49"/>
      <c r="CD137" s="49"/>
      <c r="CE137" s="49">
        <v>66</v>
      </c>
      <c r="CF137" s="49" t="str">
        <v xml:space="preserve"> </v>
      </c>
      <c r="CG137" s="98">
        <f t="array" ref="CG137">IF(CE137&lt;CF137,CE137,"")</f>
        <v>66</v>
      </c>
      <c r="CH137" s="49">
        <v>66</v>
      </c>
      <c r="CI137" s="49"/>
      <c r="CJ137" s="49">
        <v>66</v>
      </c>
      <c r="CK137" s="49" t="str">
        <v xml:space="preserve"> </v>
      </c>
      <c r="CL137" s="98">
        <f t="array" ref="CL137">IF(CJ137&lt;CK137,CJ137,"")</f>
        <v>66</v>
      </c>
      <c r="CM137" s="49">
        <v>66</v>
      </c>
      <c r="CN137" s="49"/>
      <c r="CO137" s="49">
        <v>66</v>
      </c>
      <c r="CP137" s="49" t="str">
        <v xml:space="preserve"> </v>
      </c>
      <c r="CQ137" s="98">
        <f t="array" ref="CQ137">IF(CO137&lt;CP137,CO137,"")</f>
        <v>66</v>
      </c>
      <c r="CR137" s="49">
        <v>66</v>
      </c>
      <c r="CS137" s="49"/>
      <c r="CT137" s="49">
        <v>66</v>
      </c>
      <c r="CU137" s="49" t="str">
        <v xml:space="preserve"> </v>
      </c>
      <c r="CV137" s="98">
        <f t="array" ref="CV137">IF(CT137&lt;CU137,CT137,"")</f>
        <v>66</v>
      </c>
      <c r="CW137" s="49">
        <v>66</v>
      </c>
      <c r="CX137" s="49"/>
      <c r="CY137" s="49">
        <v>66</v>
      </c>
      <c r="CZ137" s="49" t="str">
        <v xml:space="preserve"> </v>
      </c>
      <c r="DA137" s="98">
        <f t="array" ref="DA137">IF(CY137&lt;CZ137,CY137,"")</f>
        <v>66</v>
      </c>
      <c r="DB137" s="49">
        <v>66</v>
      </c>
      <c r="DC137" s="49"/>
      <c r="DD137" s="49">
        <v>66</v>
      </c>
      <c r="DE137" s="49"/>
      <c r="DF137" s="49"/>
      <c r="DG137" s="49"/>
      <c r="DH137" s="49"/>
    </row>
    <row r="138" spans="1:112" ht="13.5" hidden="1" customHeight="1">
      <c r="A138" s="177"/>
      <c r="B138" s="269"/>
      <c r="C138" s="269"/>
      <c r="D138" s="269"/>
      <c r="E138" s="269"/>
      <c r="F138" s="274"/>
      <c r="G138" s="106"/>
      <c r="H138" s="267"/>
      <c r="I138" s="106"/>
      <c r="J138" s="267"/>
      <c r="K138" s="106"/>
      <c r="L138" s="267"/>
      <c r="M138" s="106"/>
      <c r="N138" s="267"/>
      <c r="O138" s="106"/>
      <c r="P138" s="267"/>
      <c r="Q138" s="106"/>
      <c r="R138" s="267"/>
      <c r="S138" s="106"/>
      <c r="T138" s="267"/>
      <c r="U138" s="107"/>
      <c r="V138" s="267"/>
      <c r="W138" s="107"/>
      <c r="X138" s="267"/>
      <c r="Y138" s="106"/>
      <c r="Z138" s="267"/>
      <c r="AA138" s="106"/>
      <c r="AB138" s="274"/>
      <c r="AC138" s="269"/>
      <c r="AD138" s="267"/>
      <c r="AE138" s="279"/>
      <c r="AF138" s="281"/>
      <c r="AG138" s="283"/>
      <c r="AH138" s="283"/>
      <c r="AI138" s="283"/>
      <c r="AJ138" s="283"/>
      <c r="AK138" s="283"/>
      <c r="AL138" s="283"/>
      <c r="AM138" s="283"/>
      <c r="AN138" s="283"/>
      <c r="AO138" s="283"/>
      <c r="AP138" s="283"/>
      <c r="AQ138" s="283"/>
      <c r="AR138" s="283"/>
      <c r="AS138" s="283"/>
      <c r="AT138" s="283"/>
      <c r="AU138" s="283"/>
      <c r="AV138" s="283"/>
      <c r="AW138" s="283"/>
      <c r="AX138" s="264"/>
      <c r="AY138" s="49">
        <f ca="1"/>
        <v>0</v>
      </c>
      <c r="AZ138" s="49"/>
      <c r="BA138" s="49">
        <f ca="1"/>
        <v>0</v>
      </c>
      <c r="BB138" s="49"/>
      <c r="BC138" s="49">
        <f ca="1"/>
        <v>0</v>
      </c>
      <c r="BD138" s="49">
        <f ca="1"/>
        <v>0</v>
      </c>
      <c r="BE138" s="49">
        <f ca="1"/>
        <v>0</v>
      </c>
      <c r="BF138" s="49">
        <f ca="1"/>
        <v>0</v>
      </c>
      <c r="BG138" s="49">
        <f ca="1"/>
        <v>0</v>
      </c>
      <c r="BH138" s="49">
        <f ca="1"/>
        <v>0</v>
      </c>
      <c r="BI138" s="49"/>
      <c r="BJ138" s="49"/>
      <c r="BK138" s="49"/>
      <c r="BL138" s="49"/>
      <c r="BM138" s="50" t="str">
        <v/>
      </c>
      <c r="BN138" s="49">
        <v>0</v>
      </c>
      <c r="BO138" s="109" t="str">
        <f>IF(BO137="","",BN137)</f>
        <v/>
      </c>
      <c r="BP138" s="49" t="str">
        <v/>
      </c>
      <c r="BQ138" s="49"/>
      <c r="BR138" s="50" t="str">
        <v/>
      </c>
      <c r="BS138" s="49">
        <v>0</v>
      </c>
      <c r="BT138" s="109" t="str">
        <f>IF(BT137="","",BS137)</f>
        <v/>
      </c>
      <c r="BU138" s="49" t="str">
        <v/>
      </c>
      <c r="BV138" s="49"/>
      <c r="BW138" s="49" t="str">
        <v/>
      </c>
      <c r="BX138" s="49">
        <v>0</v>
      </c>
      <c r="BY138" s="102" t="str">
        <f>IF(BY137="","",BX137)</f>
        <v xml:space="preserve"> </v>
      </c>
      <c r="BZ138" s="173" t="str">
        <f t="shared" si="17"/>
        <v xml:space="preserve"> </v>
      </c>
      <c r="CA138" s="49"/>
      <c r="CB138" s="175" t="str">
        <f t="shared" si="18"/>
        <v>св</v>
      </c>
      <c r="CC138" s="49"/>
      <c r="CD138" s="49"/>
      <c r="CE138" s="49" t="str">
        <v/>
      </c>
      <c r="CF138" s="49">
        <v>0</v>
      </c>
      <c r="CG138" s="113" t="str">
        <f>IF(CG137="","",CF137)</f>
        <v xml:space="preserve"> </v>
      </c>
      <c r="CH138" s="49" t="str">
        <v xml:space="preserve"> </v>
      </c>
      <c r="CI138" s="49"/>
      <c r="CJ138" s="49" t="str">
        <v/>
      </c>
      <c r="CK138" s="49">
        <v>0</v>
      </c>
      <c r="CL138" s="113" t="str">
        <f>IF(CL137="","",CK137)</f>
        <v xml:space="preserve"> </v>
      </c>
      <c r="CM138" s="49" t="str">
        <v xml:space="preserve"> </v>
      </c>
      <c r="CN138" s="49"/>
      <c r="CO138" s="49" t="str">
        <v/>
      </c>
      <c r="CP138" s="49">
        <v>0</v>
      </c>
      <c r="CQ138" s="113" t="str">
        <f>IF(CQ137="","",CP137)</f>
        <v xml:space="preserve"> </v>
      </c>
      <c r="CR138" s="49" t="str">
        <v xml:space="preserve"> </v>
      </c>
      <c r="CS138" s="49"/>
      <c r="CT138" s="49" t="str">
        <v/>
      </c>
      <c r="CU138" s="49">
        <v>0</v>
      </c>
      <c r="CV138" s="113" t="str">
        <f>IF(CV137="","",CU137)</f>
        <v xml:space="preserve"> </v>
      </c>
      <c r="CW138" s="49" t="str">
        <v xml:space="preserve"> </v>
      </c>
      <c r="CX138" s="49"/>
      <c r="CY138" s="49" t="str">
        <v/>
      </c>
      <c r="CZ138" s="49">
        <v>0</v>
      </c>
      <c r="DA138" s="113" t="str">
        <f>IF(DA137="","",CZ137)</f>
        <v xml:space="preserve"> </v>
      </c>
      <c r="DB138" s="49" t="str">
        <v xml:space="preserve"> </v>
      </c>
      <c r="DC138" s="49"/>
      <c r="DD138" s="49" t="str">
        <v/>
      </c>
      <c r="DE138" s="49"/>
      <c r="DF138" s="49"/>
      <c r="DG138" s="49"/>
      <c r="DH138" s="49"/>
    </row>
    <row r="139" spans="1:112" ht="13.5" hidden="1" customHeight="1">
      <c r="A139" s="177"/>
      <c r="B139" s="299">
        <v>67</v>
      </c>
      <c r="C139" s="270" t="e">
        <f>(VLOOKUP($B139,Пр.взв!$D$6:$J$63,2,0))</f>
        <v>#N/A</v>
      </c>
      <c r="D139" s="271" t="e">
        <f>(VLOOKUP($B139,Пр.взв!$D$6:$J$63,5,0))</f>
        <v>#N/A</v>
      </c>
      <c r="E139" s="272" t="e">
        <f>(VLOOKUP($B139,Пр.взв!$D$6:$M$63,8,0))</f>
        <v>#N/A</v>
      </c>
      <c r="F139" s="273"/>
      <c r="G139" s="87"/>
      <c r="H139" s="266"/>
      <c r="I139" s="87"/>
      <c r="J139" s="266" t="str">
        <f>IF(H139="Х","Х",IF($AC139&lt;6," ","Х"))</f>
        <v xml:space="preserve"> </v>
      </c>
      <c r="K139" s="87"/>
      <c r="L139" s="266" t="str">
        <f>IF(J139="Х","Х",IF(K139&lt;3," ",IF($AC139&lt;6," ","Х")))</f>
        <v xml:space="preserve"> </v>
      </c>
      <c r="M139" s="87"/>
      <c r="N139" s="266" t="str">
        <f>IF(L139="Х","Х",IF(M139&lt;3," ",IF($AC139&lt;6," ","Х")))</f>
        <v xml:space="preserve"> </v>
      </c>
      <c r="O139" s="87"/>
      <c r="P139" s="266" t="str">
        <f>IF(N139="Х","Х",IF(O139&lt;3," ",IF($AC139&lt;6," ","Х")))</f>
        <v xml:space="preserve"> </v>
      </c>
      <c r="Q139" s="87"/>
      <c r="R139" s="266" t="str">
        <f>IF(P139="Х","Х",IF(Q139&lt;3," ",IF($AC139&lt;6," ","Х")))</f>
        <v xml:space="preserve"> </v>
      </c>
      <c r="S139" s="87"/>
      <c r="T139" s="266" t="str">
        <f>IF(R139="Х","Х",IF(S139&lt;3," ",IF($AC139&lt;6," ","Х")))</f>
        <v xml:space="preserve"> </v>
      </c>
      <c r="U139" s="88"/>
      <c r="V139" s="266" t="str">
        <f>IF(T139="Х","Х",IF(U139&lt;3," ",IF($AC139&lt;6," ","Х")))</f>
        <v xml:space="preserve"> </v>
      </c>
      <c r="W139" s="88"/>
      <c r="X139" s="266" t="str">
        <f>IF(V139="А1",$AZ$7,IF(V139="Б2",$AZ$6,IF(V139="Б1",$BA$7,IF(V139="А2",$BA$6,IF(V139="Х","Х",IF(V139&lt;6," "," "))))))</f>
        <v xml:space="preserve"> </v>
      </c>
      <c r="Y139" s="89"/>
      <c r="Z139" s="266" t="str">
        <f>IF(V139="Х","Х",IF(ISBLANK(Y139),"",IF(Y139&gt;2.5," ",IF(B139=BB$6,BB$7,BB$6))))</f>
        <v/>
      </c>
      <c r="AA139" s="89"/>
      <c r="AB139" s="290" t="str">
        <f>IF(H139="Х",F$5,IF(J139="Х",H$5,IF(L139="Х",J$5,IF(N139="Х",L$5,IF(P139="Х",N$5,IF(R139="Х",P$5,IF(T139="Х",R$5,IF(X139="Х",T$5,""))))))))</f>
        <v/>
      </c>
      <c r="AC139" s="276">
        <f>SUM(G139+I139+K139+M139+O139+Q139+S139+U139+Y139+AA139)</f>
        <v>0</v>
      </c>
      <c r="AD139" s="291" t="str">
        <f>AF139</f>
        <v>27-71</v>
      </c>
      <c r="AE139" s="278" t="str">
        <f>AD139</f>
        <v>27-71</v>
      </c>
      <c r="AF139" s="280" t="str">
        <f>COUNTIF(AG$6:AG$148,"&gt;"&amp;AG$6:AG$148)+1&amp;REPT("-"&amp;COUNTIF(AG$6:AG$148,"&gt;="&amp;AG$6:AG$148),COUNTIF(AG$6:AG$148,AG139)&gt;1)</f>
        <v>27-71</v>
      </c>
      <c r="AG139" s="282">
        <f>(AR139*100)+(AP139*10)-AC139</f>
        <v>80</v>
      </c>
      <c r="AH139" s="288" t="str">
        <f>IF(OR(F139="Х",F139="св")," ",IF(AND(G139&gt;=0,G139&lt;3),"1"," "))</f>
        <v>1</v>
      </c>
      <c r="AI139" s="289" t="str">
        <f>IF(OR(H139="Х",H139="св")," ",IF(AND(I139&gt;=0,I139&lt;3),"1"," "))</f>
        <v>1</v>
      </c>
      <c r="AJ139" s="289" t="str">
        <f>IF(OR(J139="Х",J139="св")," ",IF(AND(K139&gt;=0,K139&lt;3),"1"," "))</f>
        <v>1</v>
      </c>
      <c r="AK139" s="289" t="str">
        <f>IF(OR(L139="Х",L139="св")," ",IF(AND(M139&gt;=0,M139&lt;3),"1"," "))</f>
        <v>1</v>
      </c>
      <c r="AL139" s="289" t="str">
        <f>IF(OR(N139="Х",N139="св")," ",IF(AND(O139&gt;=0,O139&lt;3),"1"," "))</f>
        <v>1</v>
      </c>
      <c r="AM139" s="289" t="str">
        <f>IF(OR(P139="Х",P139="св")," ",IF(AND(Q139&gt;=0,Q139&lt;3),"1"," "))</f>
        <v>1</v>
      </c>
      <c r="AN139" s="289" t="str">
        <f>IF(OR(R139="Х",R139="св")," ",IF(AND(S139&gt;=0,S139&lt;3),"1"," "))</f>
        <v>1</v>
      </c>
      <c r="AO139" s="289" t="str">
        <f>IF(OR(T139="Х",T139="св")," ",IF(AND(U139&gt;=0,U139&lt;3),"1"," "))</f>
        <v>1</v>
      </c>
      <c r="AP139" s="289">
        <f>COUNTIF(AH139:AO140,1)</f>
        <v>8</v>
      </c>
      <c r="AQ139" s="289">
        <f>AG139-AC139</f>
        <v>80</v>
      </c>
      <c r="AR139" s="292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289" t="str">
        <f>COUNTIF(AG$6:AG$134,"&gt;"&amp;AG$6:AG$134)+1&amp;REPT("-"&amp;COUNTIF(AG$6:AG$134,"&gt;="&amp;AG$6:AG$134),COUNTIF(AG$6:AG$134,AG139)&gt;1)</f>
        <v>1-0</v>
      </c>
      <c r="AT139" s="288" t="str">
        <f t="shared" ref="AT139:AW139" si="71">COUNTIF(AU$6:AU$134,"&gt;"&amp;AU$6:AU$134)+1&amp;REPT("-"&amp;COUNTIF(AU$6:AU$134,"&gt;="&amp;AU$6:AU$134),COUNTIF(AU$6:AU$134,AU139)&gt;1)</f>
        <v>1-0</v>
      </c>
      <c r="AU139" s="288" t="str">
        <f t="shared" si="71"/>
        <v>1-0</v>
      </c>
      <c r="AV139" s="288" t="str">
        <f t="shared" si="71"/>
        <v>1</v>
      </c>
      <c r="AW139" s="288" t="str">
        <f t="shared" si="71"/>
        <v>1</v>
      </c>
      <c r="AX139" s="293">
        <f>IF(X139="Х","Х",IF(Y139&lt;3,B139,"Х"))</f>
        <v>67</v>
      </c>
      <c r="AY139" s="49">
        <f ca="1"/>
        <v>0</v>
      </c>
      <c r="AZ139" s="49"/>
      <c r="BA139" s="49">
        <f ca="1"/>
        <v>0</v>
      </c>
      <c r="BB139" s="49"/>
      <c r="BC139" s="49">
        <f ca="1"/>
        <v>0</v>
      </c>
      <c r="BD139" s="49">
        <f ca="1"/>
        <v>0</v>
      </c>
      <c r="BE139" s="49">
        <f ca="1"/>
        <v>0</v>
      </c>
      <c r="BF139" s="49">
        <f ca="1"/>
        <v>0</v>
      </c>
      <c r="BG139" s="49">
        <f ca="1"/>
        <v>0</v>
      </c>
      <c r="BH139" s="49">
        <f ca="1"/>
        <v>0</v>
      </c>
      <c r="BI139" s="49"/>
      <c r="BJ139" s="49"/>
      <c r="BK139" s="49"/>
      <c r="BL139" s="49"/>
      <c r="BM139" s="50">
        <v>67</v>
      </c>
      <c r="BN139" s="49">
        <v>0</v>
      </c>
      <c r="BO139" s="98" t="str">
        <f>IF(BM139&lt;BN139,BM139,"")</f>
        <v/>
      </c>
      <c r="BP139" s="49" t="str">
        <v/>
      </c>
      <c r="BQ139" s="49"/>
      <c r="BR139" s="50" t="str">
        <v/>
      </c>
      <c r="BS139" s="49">
        <v>0</v>
      </c>
      <c r="BT139" s="109" t="str">
        <f>IF(BR139&lt;BS139,BR139,"")</f>
        <v/>
      </c>
      <c r="BU139" s="49" t="str">
        <v/>
      </c>
      <c r="BV139" s="49"/>
      <c r="BW139" s="49">
        <v>67</v>
      </c>
      <c r="BX139" s="49" t="str">
        <v xml:space="preserve"> </v>
      </c>
      <c r="BY139" s="102">
        <f t="array" ref="BY139">IF(BW139&lt;BX139,BW139,"")</f>
        <v>67</v>
      </c>
      <c r="BZ139" s="102">
        <f t="shared" si="17"/>
        <v>67</v>
      </c>
      <c r="CA139" s="49"/>
      <c r="CB139" s="63" t="str">
        <f t="shared" si="18"/>
        <v>св</v>
      </c>
      <c r="CC139" s="49"/>
      <c r="CD139" s="49"/>
      <c r="CE139" s="49">
        <v>67</v>
      </c>
      <c r="CF139" s="49" t="str">
        <v xml:space="preserve"> </v>
      </c>
      <c r="CG139" s="98">
        <f t="array" ref="CG139">IF(CE139&lt;CF139,CE139,"")</f>
        <v>67</v>
      </c>
      <c r="CH139" s="49">
        <v>67</v>
      </c>
      <c r="CI139" s="49"/>
      <c r="CJ139" s="49">
        <v>67</v>
      </c>
      <c r="CK139" s="49" t="str">
        <v xml:space="preserve"> </v>
      </c>
      <c r="CL139" s="98">
        <f t="array" ref="CL139">IF(CJ139&lt;CK139,CJ139,"")</f>
        <v>67</v>
      </c>
      <c r="CM139" s="49">
        <v>67</v>
      </c>
      <c r="CN139" s="49"/>
      <c r="CO139" s="49">
        <v>67</v>
      </c>
      <c r="CP139" s="49" t="str">
        <v xml:space="preserve"> </v>
      </c>
      <c r="CQ139" s="98">
        <f t="array" ref="CQ139">IF(CO139&lt;CP139,CO139,"")</f>
        <v>67</v>
      </c>
      <c r="CR139" s="49">
        <v>67</v>
      </c>
      <c r="CS139" s="49"/>
      <c r="CT139" s="49">
        <v>67</v>
      </c>
      <c r="CU139" s="49" t="str">
        <v xml:space="preserve"> </v>
      </c>
      <c r="CV139" s="98">
        <f t="array" ref="CV139">IF(CT139&lt;CU139,CT139,"")</f>
        <v>67</v>
      </c>
      <c r="CW139" s="49">
        <v>67</v>
      </c>
      <c r="CX139" s="49"/>
      <c r="CY139" s="49">
        <v>67</v>
      </c>
      <c r="CZ139" s="49" t="str">
        <v xml:space="preserve"> </v>
      </c>
      <c r="DA139" s="98">
        <f t="array" ref="DA139">IF(CY139&lt;CZ139,CY139,"")</f>
        <v>67</v>
      </c>
      <c r="DB139" s="49">
        <v>67</v>
      </c>
      <c r="DC139" s="49"/>
      <c r="DD139" s="49">
        <v>67</v>
      </c>
      <c r="DE139" s="49"/>
      <c r="DF139" s="49"/>
      <c r="DG139" s="49"/>
      <c r="DH139" s="49"/>
    </row>
    <row r="140" spans="1:112" ht="13.5" hidden="1" customHeight="1">
      <c r="A140" s="177"/>
      <c r="B140" s="269"/>
      <c r="C140" s="269"/>
      <c r="D140" s="269"/>
      <c r="E140" s="269"/>
      <c r="F140" s="274"/>
      <c r="G140" s="106"/>
      <c r="H140" s="267"/>
      <c r="I140" s="106"/>
      <c r="J140" s="267"/>
      <c r="K140" s="106"/>
      <c r="L140" s="267"/>
      <c r="M140" s="106"/>
      <c r="N140" s="267"/>
      <c r="O140" s="106"/>
      <c r="P140" s="267"/>
      <c r="Q140" s="106"/>
      <c r="R140" s="267"/>
      <c r="S140" s="106"/>
      <c r="T140" s="267"/>
      <c r="U140" s="107"/>
      <c r="V140" s="267"/>
      <c r="W140" s="107"/>
      <c r="X140" s="267"/>
      <c r="Y140" s="106"/>
      <c r="Z140" s="267"/>
      <c r="AA140" s="106"/>
      <c r="AB140" s="274"/>
      <c r="AC140" s="269"/>
      <c r="AD140" s="267"/>
      <c r="AE140" s="279"/>
      <c r="AF140" s="281"/>
      <c r="AG140" s="283"/>
      <c r="AH140" s="283"/>
      <c r="AI140" s="283"/>
      <c r="AJ140" s="283"/>
      <c r="AK140" s="283"/>
      <c r="AL140" s="283"/>
      <c r="AM140" s="283"/>
      <c r="AN140" s="283"/>
      <c r="AO140" s="283"/>
      <c r="AP140" s="283"/>
      <c r="AQ140" s="283"/>
      <c r="AR140" s="283"/>
      <c r="AS140" s="283"/>
      <c r="AT140" s="283"/>
      <c r="AU140" s="283"/>
      <c r="AV140" s="283"/>
      <c r="AW140" s="283"/>
      <c r="AX140" s="264"/>
      <c r="AY140" s="49">
        <f ca="1"/>
        <v>0</v>
      </c>
      <c r="AZ140" s="49"/>
      <c r="BA140" s="49">
        <f ca="1"/>
        <v>0</v>
      </c>
      <c r="BB140" s="49"/>
      <c r="BC140" s="49">
        <f ca="1"/>
        <v>0</v>
      </c>
      <c r="BD140" s="49">
        <f ca="1"/>
        <v>0</v>
      </c>
      <c r="BE140" s="49">
        <f ca="1"/>
        <v>0</v>
      </c>
      <c r="BF140" s="49">
        <f ca="1"/>
        <v>0</v>
      </c>
      <c r="BG140" s="49">
        <f ca="1"/>
        <v>0</v>
      </c>
      <c r="BH140" s="49">
        <f ca="1"/>
        <v>0</v>
      </c>
      <c r="BI140" s="49"/>
      <c r="BJ140" s="49"/>
      <c r="BK140" s="49"/>
      <c r="BL140" s="49"/>
      <c r="BM140" s="50" t="str">
        <v/>
      </c>
      <c r="BN140" s="49">
        <v>0</v>
      </c>
      <c r="BO140" s="109" t="str">
        <f>IF(BO139="","",BN139)</f>
        <v/>
      </c>
      <c r="BP140" s="49" t="str">
        <v/>
      </c>
      <c r="BQ140" s="49"/>
      <c r="BR140" s="50" t="str">
        <v/>
      </c>
      <c r="BS140" s="49">
        <v>0</v>
      </c>
      <c r="BT140" s="109" t="str">
        <f>IF(BT139="","",BS139)</f>
        <v/>
      </c>
      <c r="BU140" s="49" t="str">
        <v/>
      </c>
      <c r="BV140" s="49"/>
      <c r="BW140" s="49" t="str">
        <v/>
      </c>
      <c r="BX140" s="49">
        <v>0</v>
      </c>
      <c r="BY140" s="102" t="str">
        <f>IF(BY139="","",BX139)</f>
        <v xml:space="preserve"> </v>
      </c>
      <c r="BZ140" s="173" t="str">
        <f t="shared" si="17"/>
        <v xml:space="preserve"> </v>
      </c>
      <c r="CA140" s="49"/>
      <c r="CB140" s="175" t="str">
        <f t="shared" si="18"/>
        <v>св</v>
      </c>
      <c r="CC140" s="49"/>
      <c r="CD140" s="49"/>
      <c r="CE140" s="49" t="str">
        <v/>
      </c>
      <c r="CF140" s="49">
        <v>0</v>
      </c>
      <c r="CG140" s="113" t="str">
        <f>IF(CG139="","",CF139)</f>
        <v xml:space="preserve"> </v>
      </c>
      <c r="CH140" s="49" t="str">
        <v xml:space="preserve"> </v>
      </c>
      <c r="CI140" s="49"/>
      <c r="CJ140" s="49" t="str">
        <v/>
      </c>
      <c r="CK140" s="49">
        <v>0</v>
      </c>
      <c r="CL140" s="113" t="str">
        <f>IF(CL139="","",CK139)</f>
        <v xml:space="preserve"> </v>
      </c>
      <c r="CM140" s="49" t="str">
        <v xml:space="preserve"> </v>
      </c>
      <c r="CN140" s="49"/>
      <c r="CO140" s="49" t="str">
        <v/>
      </c>
      <c r="CP140" s="49">
        <v>0</v>
      </c>
      <c r="CQ140" s="113" t="str">
        <f>IF(CQ139="","",CP139)</f>
        <v xml:space="preserve"> </v>
      </c>
      <c r="CR140" s="49" t="str">
        <v xml:space="preserve"> </v>
      </c>
      <c r="CS140" s="49"/>
      <c r="CT140" s="49" t="str">
        <v/>
      </c>
      <c r="CU140" s="49">
        <v>0</v>
      </c>
      <c r="CV140" s="113" t="str">
        <f>IF(CV139="","",CU139)</f>
        <v xml:space="preserve"> </v>
      </c>
      <c r="CW140" s="49" t="str">
        <v xml:space="preserve"> </v>
      </c>
      <c r="CX140" s="49"/>
      <c r="CY140" s="49" t="str">
        <v/>
      </c>
      <c r="CZ140" s="49">
        <v>0</v>
      </c>
      <c r="DA140" s="113" t="str">
        <f>IF(DA139="","",CZ139)</f>
        <v xml:space="preserve"> </v>
      </c>
      <c r="DB140" s="49" t="str">
        <v xml:space="preserve"> </v>
      </c>
      <c r="DC140" s="49"/>
      <c r="DD140" s="49" t="str">
        <v/>
      </c>
      <c r="DE140" s="49"/>
      <c r="DF140" s="49"/>
      <c r="DG140" s="49"/>
      <c r="DH140" s="49"/>
    </row>
    <row r="141" spans="1:112" ht="13.5" hidden="1" customHeight="1">
      <c r="A141" s="177"/>
      <c r="B141" s="299">
        <v>68</v>
      </c>
      <c r="C141" s="270" t="e">
        <f>(VLOOKUP($B141,Пр.взв!$D$6:$J$63,2,0))</f>
        <v>#N/A</v>
      </c>
      <c r="D141" s="271" t="e">
        <f>(VLOOKUP($B141,Пр.взв!$D$6:$J$63,5,0))</f>
        <v>#N/A</v>
      </c>
      <c r="E141" s="272" t="e">
        <f>(VLOOKUP($B141,Пр.взв!$D$6:$M$63,8,0))</f>
        <v>#N/A</v>
      </c>
      <c r="F141" s="273"/>
      <c r="G141" s="87"/>
      <c r="H141" s="266"/>
      <c r="I141" s="87"/>
      <c r="J141" s="266" t="str">
        <f>IF(H141="Х","Х",IF($AC141&lt;6," ","Х"))</f>
        <v xml:space="preserve"> </v>
      </c>
      <c r="K141" s="87"/>
      <c r="L141" s="266" t="str">
        <f>IF(J141="Х","Х",IF(K141&lt;3," ",IF($AC141&lt;6," ","Х")))</f>
        <v xml:space="preserve"> </v>
      </c>
      <c r="M141" s="87"/>
      <c r="N141" s="266" t="str">
        <f>IF(L141="Х","Х",IF(M141&lt;3," ",IF($AC141&lt;6," ","Х")))</f>
        <v xml:space="preserve"> </v>
      </c>
      <c r="O141" s="87"/>
      <c r="P141" s="266" t="str">
        <f>IF(N141="Х","Х",IF(O141&lt;3," ",IF($AC141&lt;6," ","Х")))</f>
        <v xml:space="preserve"> </v>
      </c>
      <c r="Q141" s="87"/>
      <c r="R141" s="266" t="str">
        <f>IF(P141="Х","Х",IF(Q141&lt;3," ",IF($AC141&lt;6," ","Х")))</f>
        <v xml:space="preserve"> </v>
      </c>
      <c r="S141" s="87"/>
      <c r="T141" s="266" t="str">
        <f>IF(R141="Х","Х",IF(S141&lt;3," ",IF($AC141&lt;6," ","Х")))</f>
        <v xml:space="preserve"> </v>
      </c>
      <c r="U141" s="88"/>
      <c r="V141" s="266" t="str">
        <f>IF(T141="Х","Х",IF(U141&lt;3," ",IF($AC141&lt;6," ","Х")))</f>
        <v xml:space="preserve"> </v>
      </c>
      <c r="W141" s="88"/>
      <c r="X141" s="266" t="str">
        <f>IF(V141="А1",$AZ$7,IF(V141="Б2",$AZ$6,IF(V141="Б1",$BA$7,IF(V141="А2",$BA$6,IF(V141="Х","Х",IF(V141&lt;6," "," "))))))</f>
        <v xml:space="preserve"> </v>
      </c>
      <c r="Y141" s="89"/>
      <c r="Z141" s="266" t="str">
        <f>IF(V141="Х","Х",IF(ISBLANK(Y141),"",IF(Y141&gt;2.5," ",IF(B141=BB$6,BB$7,BB$6))))</f>
        <v/>
      </c>
      <c r="AA141" s="89"/>
      <c r="AB141" s="290" t="str">
        <f>IF(H141="Х",F$5,IF(J141="Х",H$5,IF(L141="Х",J$5,IF(N141="Х",L$5,IF(P141="Х",N$5,IF(R141="Х",P$5,IF(T141="Х",R$5,IF(X141="Х",T$5,""))))))))</f>
        <v/>
      </c>
      <c r="AC141" s="276">
        <f>SUM(G141+I141+K141+M141+O141+Q141+S141+U141+Y141+AA141)</f>
        <v>0</v>
      </c>
      <c r="AD141" s="291" t="str">
        <f>AF141</f>
        <v>27-71</v>
      </c>
      <c r="AE141" s="278" t="str">
        <f>AD141</f>
        <v>27-71</v>
      </c>
      <c r="AF141" s="280" t="str">
        <f>COUNTIF(AG$6:AG$148,"&gt;"&amp;AG$6:AG$148)+1&amp;REPT("-"&amp;COUNTIF(AG$6:AG$148,"&gt;="&amp;AG$6:AG$148),COUNTIF(AG$6:AG$148,AG141)&gt;1)</f>
        <v>27-71</v>
      </c>
      <c r="AG141" s="282">
        <f>(AR141*100)+(AP141*10)-AC141</f>
        <v>80</v>
      </c>
      <c r="AH141" s="288" t="str">
        <f>IF(OR(F141="Х",F141="св")," ",IF(AND(G141&gt;=0,G141&lt;3),"1"," "))</f>
        <v>1</v>
      </c>
      <c r="AI141" s="289" t="str">
        <f>IF(OR(H141="Х",H141="св")," ",IF(AND(I141&gt;=0,I141&lt;3),"1"," "))</f>
        <v>1</v>
      </c>
      <c r="AJ141" s="289" t="str">
        <f>IF(OR(J141="Х",J141="св")," ",IF(AND(K141&gt;=0,K141&lt;3),"1"," "))</f>
        <v>1</v>
      </c>
      <c r="AK141" s="289" t="str">
        <f>IF(OR(L141="Х",L141="св")," ",IF(AND(M141&gt;=0,M141&lt;3),"1"," "))</f>
        <v>1</v>
      </c>
      <c r="AL141" s="289" t="str">
        <f>IF(OR(N141="Х",N141="св")," ",IF(AND(O141&gt;=0,O141&lt;3),"1"," "))</f>
        <v>1</v>
      </c>
      <c r="AM141" s="289" t="str">
        <f>IF(OR(P141="Х",P141="св")," ",IF(AND(Q141&gt;=0,Q141&lt;3),"1"," "))</f>
        <v>1</v>
      </c>
      <c r="AN141" s="289" t="str">
        <f>IF(OR(R141="Х",R141="св")," ",IF(AND(S141&gt;=0,S141&lt;3),"1"," "))</f>
        <v>1</v>
      </c>
      <c r="AO141" s="289" t="str">
        <f>IF(OR(T141="Х",T141="св")," ",IF(AND(U141&gt;=0,U141&lt;3),"1"," "))</f>
        <v>1</v>
      </c>
      <c r="AP141" s="289">
        <f>COUNTIF(AH141:AO142,1)</f>
        <v>8</v>
      </c>
      <c r="AQ141" s="289">
        <f>AG141-AC141</f>
        <v>80</v>
      </c>
      <c r="AR141" s="292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289" t="str">
        <f>COUNTIF(AG$6:AG$134,"&gt;"&amp;AG$6:AG$134)+1&amp;REPT("-"&amp;COUNTIF(AG$6:AG$134,"&gt;="&amp;AG$6:AG$134),COUNTIF(AG$6:AG$134,AG141)&gt;1)</f>
        <v>1-0</v>
      </c>
      <c r="AT141" s="288" t="str">
        <f t="shared" ref="AT141:AW141" si="72">COUNTIF(AU$6:AU$134,"&gt;"&amp;AU$6:AU$134)+1&amp;REPT("-"&amp;COUNTIF(AU$6:AU$134,"&gt;="&amp;AU$6:AU$134),COUNTIF(AU$6:AU$134,AU141)&gt;1)</f>
        <v>1-0</v>
      </c>
      <c r="AU141" s="288" t="str">
        <f t="shared" si="72"/>
        <v>1-0</v>
      </c>
      <c r="AV141" s="288" t="str">
        <f t="shared" si="72"/>
        <v>1</v>
      </c>
      <c r="AW141" s="288" t="str">
        <f t="shared" si="72"/>
        <v>1</v>
      </c>
      <c r="AX141" s="293">
        <f>IF(X141="Х","Х",IF(Y141&lt;3,B141,"Х"))</f>
        <v>68</v>
      </c>
      <c r="AY141" s="49">
        <f ca="1"/>
        <v>0</v>
      </c>
      <c r="AZ141" s="49"/>
      <c r="BA141" s="49">
        <f ca="1"/>
        <v>0</v>
      </c>
      <c r="BB141" s="49"/>
      <c r="BC141" s="49">
        <f ca="1"/>
        <v>0</v>
      </c>
      <c r="BD141" s="49">
        <f ca="1"/>
        <v>0</v>
      </c>
      <c r="BE141" s="49">
        <f ca="1"/>
        <v>0</v>
      </c>
      <c r="BF141" s="49">
        <f ca="1"/>
        <v>0</v>
      </c>
      <c r="BG141" s="49">
        <f ca="1"/>
        <v>0</v>
      </c>
      <c r="BH141" s="49">
        <f ca="1"/>
        <v>0</v>
      </c>
      <c r="BI141" s="49"/>
      <c r="BJ141" s="49"/>
      <c r="BK141" s="49"/>
      <c r="BL141" s="49"/>
      <c r="BM141" s="50">
        <v>68</v>
      </c>
      <c r="BN141" s="49">
        <v>0</v>
      </c>
      <c r="BO141" s="98" t="str">
        <f>IF(BM141&lt;BN141,BM141,"")</f>
        <v/>
      </c>
      <c r="BP141" s="49" t="str">
        <v/>
      </c>
      <c r="BQ141" s="49"/>
      <c r="BR141" s="50" t="str">
        <v/>
      </c>
      <c r="BS141" s="49">
        <v>0</v>
      </c>
      <c r="BT141" s="109" t="str">
        <f>IF(BR141&lt;BS141,BR141,"")</f>
        <v/>
      </c>
      <c r="BU141" s="49" t="str">
        <v/>
      </c>
      <c r="BV141" s="49"/>
      <c r="BW141" s="49">
        <v>68</v>
      </c>
      <c r="BX141" s="49" t="str">
        <v xml:space="preserve"> </v>
      </c>
      <c r="BY141" s="102">
        <f t="array" ref="BY141">IF(BW141&lt;BX141,BW141,"")</f>
        <v>68</v>
      </c>
      <c r="BZ141" s="102">
        <f t="shared" si="17"/>
        <v>68</v>
      </c>
      <c r="CA141" s="49"/>
      <c r="CB141" s="63" t="str">
        <f t="shared" si="18"/>
        <v>св</v>
      </c>
      <c r="CC141" s="49"/>
      <c r="CD141" s="49"/>
      <c r="CE141" s="49">
        <v>68</v>
      </c>
      <c r="CF141" s="49" t="str">
        <v xml:space="preserve"> </v>
      </c>
      <c r="CG141" s="98">
        <f t="array" ref="CG141">IF(CE141&lt;CF141,CE141,"")</f>
        <v>68</v>
      </c>
      <c r="CH141" s="49">
        <v>68</v>
      </c>
      <c r="CI141" s="49"/>
      <c r="CJ141" s="49">
        <v>68</v>
      </c>
      <c r="CK141" s="49" t="str">
        <v xml:space="preserve"> </v>
      </c>
      <c r="CL141" s="98">
        <f t="array" ref="CL141">IF(CJ141&lt;CK141,CJ141,"")</f>
        <v>68</v>
      </c>
      <c r="CM141" s="49">
        <v>68</v>
      </c>
      <c r="CN141" s="49"/>
      <c r="CO141" s="49">
        <v>68</v>
      </c>
      <c r="CP141" s="49" t="str">
        <v xml:space="preserve"> </v>
      </c>
      <c r="CQ141" s="98">
        <f t="array" ref="CQ141">IF(CO141&lt;CP141,CO141,"")</f>
        <v>68</v>
      </c>
      <c r="CR141" s="49">
        <v>68</v>
      </c>
      <c r="CS141" s="49"/>
      <c r="CT141" s="49">
        <v>68</v>
      </c>
      <c r="CU141" s="49" t="str">
        <v xml:space="preserve"> </v>
      </c>
      <c r="CV141" s="98">
        <f t="array" ref="CV141">IF(CT141&lt;CU141,CT141,"")</f>
        <v>68</v>
      </c>
      <c r="CW141" s="49">
        <v>68</v>
      </c>
      <c r="CX141" s="49"/>
      <c r="CY141" s="49">
        <v>68</v>
      </c>
      <c r="CZ141" s="49" t="str">
        <v xml:space="preserve"> </v>
      </c>
      <c r="DA141" s="98">
        <f t="array" ref="DA141">IF(CY141&lt;CZ141,CY141,"")</f>
        <v>68</v>
      </c>
      <c r="DB141" s="49">
        <v>68</v>
      </c>
      <c r="DC141" s="49"/>
      <c r="DD141" s="49">
        <v>68</v>
      </c>
      <c r="DE141" s="49"/>
      <c r="DF141" s="49"/>
      <c r="DG141" s="49"/>
      <c r="DH141" s="49"/>
    </row>
    <row r="142" spans="1:112" ht="13.5" hidden="1" customHeight="1">
      <c r="A142" s="177"/>
      <c r="B142" s="269"/>
      <c r="C142" s="269"/>
      <c r="D142" s="269"/>
      <c r="E142" s="269"/>
      <c r="F142" s="274"/>
      <c r="G142" s="106"/>
      <c r="H142" s="267"/>
      <c r="I142" s="106"/>
      <c r="J142" s="267"/>
      <c r="K142" s="106"/>
      <c r="L142" s="267"/>
      <c r="M142" s="106"/>
      <c r="N142" s="267"/>
      <c r="O142" s="106"/>
      <c r="P142" s="267"/>
      <c r="Q142" s="106"/>
      <c r="R142" s="267"/>
      <c r="S142" s="106"/>
      <c r="T142" s="267"/>
      <c r="U142" s="107"/>
      <c r="V142" s="267"/>
      <c r="W142" s="107"/>
      <c r="X142" s="267"/>
      <c r="Y142" s="106"/>
      <c r="Z142" s="267"/>
      <c r="AA142" s="106"/>
      <c r="AB142" s="274"/>
      <c r="AC142" s="269"/>
      <c r="AD142" s="267"/>
      <c r="AE142" s="279"/>
      <c r="AF142" s="281"/>
      <c r="AG142" s="283"/>
      <c r="AH142" s="283"/>
      <c r="AI142" s="283"/>
      <c r="AJ142" s="283"/>
      <c r="AK142" s="283"/>
      <c r="AL142" s="283"/>
      <c r="AM142" s="283"/>
      <c r="AN142" s="283"/>
      <c r="AO142" s="283"/>
      <c r="AP142" s="283"/>
      <c r="AQ142" s="283"/>
      <c r="AR142" s="283"/>
      <c r="AS142" s="283"/>
      <c r="AT142" s="283"/>
      <c r="AU142" s="283"/>
      <c r="AV142" s="283"/>
      <c r="AW142" s="283"/>
      <c r="AX142" s="264"/>
      <c r="AY142" s="49">
        <f ca="1"/>
        <v>0</v>
      </c>
      <c r="AZ142" s="49"/>
      <c r="BA142" s="49">
        <f ca="1"/>
        <v>0</v>
      </c>
      <c r="BB142" s="49"/>
      <c r="BC142" s="49">
        <f ca="1"/>
        <v>0</v>
      </c>
      <c r="BD142" s="49">
        <f ca="1"/>
        <v>0</v>
      </c>
      <c r="BE142" s="49">
        <f ca="1"/>
        <v>0</v>
      </c>
      <c r="BF142" s="49">
        <f ca="1"/>
        <v>0</v>
      </c>
      <c r="BG142" s="49">
        <f ca="1"/>
        <v>0</v>
      </c>
      <c r="BH142" s="49">
        <f ca="1"/>
        <v>0</v>
      </c>
      <c r="BI142" s="49"/>
      <c r="BJ142" s="49"/>
      <c r="BK142" s="49"/>
      <c r="BL142" s="49"/>
      <c r="BM142" s="50" t="str">
        <v/>
      </c>
      <c r="BN142" s="49">
        <v>0</v>
      </c>
      <c r="BO142" s="109" t="str">
        <f>IF(BO141="","",BN141)</f>
        <v/>
      </c>
      <c r="BP142" s="49" t="str">
        <v/>
      </c>
      <c r="BQ142" s="49"/>
      <c r="BR142" s="50" t="str">
        <v/>
      </c>
      <c r="BS142" s="49">
        <v>0</v>
      </c>
      <c r="BT142" s="109" t="str">
        <f>IF(BT141="","",BS141)</f>
        <v/>
      </c>
      <c r="BU142" s="49" t="str">
        <v/>
      </c>
      <c r="BV142" s="49"/>
      <c r="BW142" s="49" t="str">
        <v/>
      </c>
      <c r="BX142" s="49">
        <v>0</v>
      </c>
      <c r="BY142" s="102" t="str">
        <f>IF(BY141="","",BX141)</f>
        <v xml:space="preserve"> </v>
      </c>
      <c r="BZ142" s="173" t="str">
        <f t="shared" si="17"/>
        <v xml:space="preserve"> </v>
      </c>
      <c r="CA142" s="49"/>
      <c r="CB142" s="175" t="str">
        <f t="shared" si="18"/>
        <v>св</v>
      </c>
      <c r="CC142" s="49"/>
      <c r="CD142" s="49"/>
      <c r="CE142" s="49" t="str">
        <v/>
      </c>
      <c r="CF142" s="49">
        <v>0</v>
      </c>
      <c r="CG142" s="113" t="str">
        <f>IF(CG141="","",CF141)</f>
        <v xml:space="preserve"> </v>
      </c>
      <c r="CH142" s="49" t="str">
        <v xml:space="preserve"> </v>
      </c>
      <c r="CI142" s="49"/>
      <c r="CJ142" s="49" t="str">
        <v/>
      </c>
      <c r="CK142" s="49">
        <v>0</v>
      </c>
      <c r="CL142" s="113" t="str">
        <f>IF(CL141="","",CK141)</f>
        <v xml:space="preserve"> </v>
      </c>
      <c r="CM142" s="49" t="str">
        <v xml:space="preserve"> </v>
      </c>
      <c r="CN142" s="49"/>
      <c r="CO142" s="49" t="str">
        <v/>
      </c>
      <c r="CP142" s="49">
        <v>0</v>
      </c>
      <c r="CQ142" s="113" t="str">
        <f>IF(CQ141="","",CP141)</f>
        <v xml:space="preserve"> </v>
      </c>
      <c r="CR142" s="49" t="str">
        <v xml:space="preserve"> </v>
      </c>
      <c r="CS142" s="49"/>
      <c r="CT142" s="49" t="str">
        <v/>
      </c>
      <c r="CU142" s="49">
        <v>0</v>
      </c>
      <c r="CV142" s="113" t="str">
        <f>IF(CV141="","",CU141)</f>
        <v xml:space="preserve"> </v>
      </c>
      <c r="CW142" s="49" t="str">
        <v xml:space="preserve"> </v>
      </c>
      <c r="CX142" s="49"/>
      <c r="CY142" s="49" t="str">
        <v/>
      </c>
      <c r="CZ142" s="49">
        <v>0</v>
      </c>
      <c r="DA142" s="113" t="str">
        <f>IF(DA141="","",CZ141)</f>
        <v xml:space="preserve"> </v>
      </c>
      <c r="DB142" s="49" t="str">
        <v xml:space="preserve"> </v>
      </c>
      <c r="DC142" s="49"/>
      <c r="DD142" s="49" t="str">
        <v/>
      </c>
      <c r="DE142" s="49"/>
      <c r="DF142" s="49"/>
      <c r="DG142" s="49"/>
      <c r="DH142" s="49"/>
    </row>
    <row r="143" spans="1:112" ht="13.5" hidden="1" customHeight="1">
      <c r="A143" s="177"/>
      <c r="B143" s="299">
        <v>69</v>
      </c>
      <c r="C143" s="270" t="e">
        <f>(VLOOKUP($B143,Пр.взв!$D$6:$J$63,2,0))</f>
        <v>#N/A</v>
      </c>
      <c r="D143" s="271" t="e">
        <f>(VLOOKUP($B143,Пр.взв!$D$6:$J$63,5,0))</f>
        <v>#N/A</v>
      </c>
      <c r="E143" s="272" t="e">
        <f>(VLOOKUP($B143,Пр.взв!$D$6:$M$63,8,0))</f>
        <v>#N/A</v>
      </c>
      <c r="F143" s="273"/>
      <c r="G143" s="87"/>
      <c r="H143" s="266"/>
      <c r="I143" s="87"/>
      <c r="J143" s="266" t="str">
        <f>IF(H143="Х","Х",IF($AC143&lt;6," ","Х"))</f>
        <v xml:space="preserve"> </v>
      </c>
      <c r="K143" s="87"/>
      <c r="L143" s="266" t="str">
        <f>IF(J143="Х","Х",IF(K143&lt;3," ",IF($AC143&lt;6," ","Х")))</f>
        <v xml:space="preserve"> </v>
      </c>
      <c r="M143" s="87"/>
      <c r="N143" s="266" t="str">
        <f>IF(L143="Х","Х",IF(M143&lt;3," ",IF($AC143&lt;6," ","Х")))</f>
        <v xml:space="preserve"> </v>
      </c>
      <c r="O143" s="87"/>
      <c r="P143" s="266" t="str">
        <f>IF(N143="Х","Х",IF(O143&lt;3," ",IF($AC143&lt;6," ","Х")))</f>
        <v xml:space="preserve"> </v>
      </c>
      <c r="Q143" s="87"/>
      <c r="R143" s="266" t="str">
        <f>IF(P143="Х","Х",IF(Q143&lt;3," ",IF($AC143&lt;6," ","Х")))</f>
        <v xml:space="preserve"> </v>
      </c>
      <c r="S143" s="87"/>
      <c r="T143" s="266" t="str">
        <f>IF(R143="Х","Х",IF(S143&lt;3," ",IF($AC143&lt;6," ","Х")))</f>
        <v xml:space="preserve"> </v>
      </c>
      <c r="U143" s="88"/>
      <c r="V143" s="266" t="str">
        <f>IF(T143="Х","Х",IF(U143&lt;3," ",IF($AC143&lt;6," ","Х")))</f>
        <v xml:space="preserve"> </v>
      </c>
      <c r="W143" s="88"/>
      <c r="X143" s="266" t="str">
        <f>IF(V143="А1",$AZ$7,IF(V143="Б2",$AZ$6,IF(V143="Б1",$BA$7,IF(V143="А2",$BA$6,IF(V143="Х","Х",IF(V143&lt;6," "," "))))))</f>
        <v xml:space="preserve"> </v>
      </c>
      <c r="Y143" s="89"/>
      <c r="Z143" s="266" t="str">
        <f>IF(V143="Х","Х",IF(ISBLANK(Y143),"",IF(Y143&gt;2.5," ",IF(B143=BB$6,BB$7,BB$6))))</f>
        <v/>
      </c>
      <c r="AA143" s="89"/>
      <c r="AB143" s="290" t="str">
        <f>IF(H143="Х",F$5,IF(J143="Х",H$5,IF(L143="Х",J$5,IF(N143="Х",L$5,IF(P143="Х",N$5,IF(R143="Х",P$5,IF(T143="Х",R$5,IF(X143="Х",T$5,""))))))))</f>
        <v/>
      </c>
      <c r="AC143" s="276">
        <f>SUM(G143+I143+K143+M143+O143+Q143+S143+U143+Y143+AA143)</f>
        <v>0</v>
      </c>
      <c r="AD143" s="291" t="str">
        <f>AF143</f>
        <v>27-71</v>
      </c>
      <c r="AE143" s="278" t="str">
        <f>AD143</f>
        <v>27-71</v>
      </c>
      <c r="AF143" s="280" t="str">
        <f>COUNTIF(AG$6:AG$148,"&gt;"&amp;AG$6:AG$148)+1&amp;REPT("-"&amp;COUNTIF(AG$6:AG$148,"&gt;="&amp;AG$6:AG$148),COUNTIF(AG$6:AG$148,AG143)&gt;1)</f>
        <v>27-71</v>
      </c>
      <c r="AG143" s="282">
        <f>(AR143*100)+(AP143*10)-AC143</f>
        <v>80</v>
      </c>
      <c r="AH143" s="288" t="str">
        <f>IF(OR(F143="Х",F143="св")," ",IF(AND(G143&gt;=0,G143&lt;3),"1"," "))</f>
        <v>1</v>
      </c>
      <c r="AI143" s="289" t="str">
        <f>IF(OR(H143="Х",H143="св")," ",IF(AND(I143&gt;=0,I143&lt;3),"1"," "))</f>
        <v>1</v>
      </c>
      <c r="AJ143" s="289" t="str">
        <f>IF(OR(J143="Х",J143="св")," ",IF(AND(K143&gt;=0,K143&lt;3),"1"," "))</f>
        <v>1</v>
      </c>
      <c r="AK143" s="289" t="str">
        <f>IF(OR(L143="Х",L143="св")," ",IF(AND(M143&gt;=0,M143&lt;3),"1"," "))</f>
        <v>1</v>
      </c>
      <c r="AL143" s="289" t="str">
        <f>IF(OR(N143="Х",N143="св")," ",IF(AND(O143&gt;=0,O143&lt;3),"1"," "))</f>
        <v>1</v>
      </c>
      <c r="AM143" s="289" t="str">
        <f>IF(OR(P143="Х",P143="св")," ",IF(AND(Q143&gt;=0,Q143&lt;3),"1"," "))</f>
        <v>1</v>
      </c>
      <c r="AN143" s="289" t="str">
        <f>IF(OR(R143="Х",R143="св")," ",IF(AND(S143&gt;=0,S143&lt;3),"1"," "))</f>
        <v>1</v>
      </c>
      <c r="AO143" s="289" t="str">
        <f>IF(OR(T143="Х",T143="св")," ",IF(AND(U143&gt;=0,U143&lt;3),"1"," "))</f>
        <v>1</v>
      </c>
      <c r="AP143" s="289">
        <f>COUNTIF(AH143:AO144,1)</f>
        <v>8</v>
      </c>
      <c r="AQ143" s="289">
        <f>AG143-AC143</f>
        <v>80</v>
      </c>
      <c r="AR143" s="292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289" t="str">
        <f>COUNTIF(AG$6:AG$134,"&gt;"&amp;AG$6:AG$134)+1&amp;REPT("-"&amp;COUNTIF(AG$6:AG$134,"&gt;="&amp;AG$6:AG$134),COUNTIF(AG$6:AG$134,AG143)&gt;1)</f>
        <v>1-0</v>
      </c>
      <c r="AT143" s="288" t="str">
        <f t="shared" ref="AT143:AW143" si="73">COUNTIF(AU$6:AU$134,"&gt;"&amp;AU$6:AU$134)+1&amp;REPT("-"&amp;COUNTIF(AU$6:AU$134,"&gt;="&amp;AU$6:AU$134),COUNTIF(AU$6:AU$134,AU143)&gt;1)</f>
        <v>1-0</v>
      </c>
      <c r="AU143" s="288" t="str">
        <f t="shared" si="73"/>
        <v>1-0</v>
      </c>
      <c r="AV143" s="288" t="str">
        <f t="shared" si="73"/>
        <v>1</v>
      </c>
      <c r="AW143" s="288" t="str">
        <f t="shared" si="73"/>
        <v>1</v>
      </c>
      <c r="AX143" s="293">
        <f>IF(X143="Х","Х",IF(Y143&lt;3,B143,"Х"))</f>
        <v>69</v>
      </c>
      <c r="AY143" s="49">
        <f ca="1"/>
        <v>0</v>
      </c>
      <c r="AZ143" s="49"/>
      <c r="BA143" s="49">
        <f ca="1"/>
        <v>0</v>
      </c>
      <c r="BB143" s="49"/>
      <c r="BC143" s="49">
        <f ca="1"/>
        <v>0</v>
      </c>
      <c r="BD143" s="49">
        <f ca="1"/>
        <v>0</v>
      </c>
      <c r="BE143" s="49">
        <f ca="1"/>
        <v>0</v>
      </c>
      <c r="BF143" s="49">
        <f ca="1"/>
        <v>0</v>
      </c>
      <c r="BG143" s="49">
        <f ca="1"/>
        <v>0</v>
      </c>
      <c r="BH143" s="49">
        <f ca="1"/>
        <v>0</v>
      </c>
      <c r="BI143" s="49"/>
      <c r="BJ143" s="49"/>
      <c r="BK143" s="49"/>
      <c r="BL143" s="49"/>
      <c r="BM143" s="50">
        <v>69</v>
      </c>
      <c r="BN143" s="49">
        <v>0</v>
      </c>
      <c r="BO143" s="98" t="str">
        <f>IF(BM143&lt;BN143,BM143,"")</f>
        <v/>
      </c>
      <c r="BP143" s="49" t="str">
        <v/>
      </c>
      <c r="BQ143" s="49"/>
      <c r="BR143" s="50" t="str">
        <v/>
      </c>
      <c r="BS143" s="49">
        <v>0</v>
      </c>
      <c r="BT143" s="109" t="str">
        <f>IF(BR143&lt;BS143,BR143,"")</f>
        <v/>
      </c>
      <c r="BU143" s="49" t="str">
        <v/>
      </c>
      <c r="BV143" s="49"/>
      <c r="BW143" s="49">
        <v>69</v>
      </c>
      <c r="BX143" s="49" t="str">
        <v xml:space="preserve"> </v>
      </c>
      <c r="BY143" s="102">
        <f t="array" ref="BY143">IF(BW143&lt;BX143,BW143,"")</f>
        <v>69</v>
      </c>
      <c r="BZ143" s="102">
        <f t="shared" si="17"/>
        <v>69</v>
      </c>
      <c r="CA143" s="49"/>
      <c r="CB143" s="63" t="str">
        <f t="shared" si="18"/>
        <v>св</v>
      </c>
      <c r="CC143" s="49"/>
      <c r="CD143" s="49"/>
      <c r="CE143" s="49">
        <v>69</v>
      </c>
      <c r="CF143" s="49" t="str">
        <v xml:space="preserve"> </v>
      </c>
      <c r="CG143" s="98">
        <f t="array" ref="CG143">IF(CE143&lt;CF143,CE143,"")</f>
        <v>69</v>
      </c>
      <c r="CH143" s="49">
        <v>69</v>
      </c>
      <c r="CI143" s="49"/>
      <c r="CJ143" s="49">
        <v>69</v>
      </c>
      <c r="CK143" s="49" t="str">
        <v xml:space="preserve"> </v>
      </c>
      <c r="CL143" s="98">
        <f t="array" ref="CL143">IF(CJ143&lt;CK143,CJ143,"")</f>
        <v>69</v>
      </c>
      <c r="CM143" s="49">
        <v>69</v>
      </c>
      <c r="CN143" s="49"/>
      <c r="CO143" s="49">
        <v>69</v>
      </c>
      <c r="CP143" s="49" t="str">
        <v xml:space="preserve"> </v>
      </c>
      <c r="CQ143" s="98">
        <f t="array" ref="CQ143">IF(CO143&lt;CP143,CO143,"")</f>
        <v>69</v>
      </c>
      <c r="CR143" s="49">
        <v>69</v>
      </c>
      <c r="CS143" s="49"/>
      <c r="CT143" s="49">
        <v>69</v>
      </c>
      <c r="CU143" s="49" t="str">
        <v xml:space="preserve"> </v>
      </c>
      <c r="CV143" s="98">
        <f t="array" ref="CV143">IF(CT143&lt;CU143,CT143,"")</f>
        <v>69</v>
      </c>
      <c r="CW143" s="49">
        <v>69</v>
      </c>
      <c r="CX143" s="49"/>
      <c r="CY143" s="49">
        <v>69</v>
      </c>
      <c r="CZ143" s="49" t="str">
        <v xml:space="preserve"> </v>
      </c>
      <c r="DA143" s="98">
        <f t="array" ref="DA143">IF(CY143&lt;CZ143,CY143,"")</f>
        <v>69</v>
      </c>
      <c r="DB143" s="49">
        <v>69</v>
      </c>
      <c r="DC143" s="49"/>
      <c r="DD143" s="49">
        <v>69</v>
      </c>
      <c r="DE143" s="49"/>
      <c r="DF143" s="49"/>
      <c r="DG143" s="49"/>
      <c r="DH143" s="49"/>
    </row>
    <row r="144" spans="1:112" ht="13.5" hidden="1" customHeight="1">
      <c r="A144" s="177"/>
      <c r="B144" s="269"/>
      <c r="C144" s="269"/>
      <c r="D144" s="269"/>
      <c r="E144" s="269"/>
      <c r="F144" s="274"/>
      <c r="G144" s="106"/>
      <c r="H144" s="267"/>
      <c r="I144" s="106"/>
      <c r="J144" s="267"/>
      <c r="K144" s="106"/>
      <c r="L144" s="267"/>
      <c r="M144" s="106"/>
      <c r="N144" s="267"/>
      <c r="O144" s="106"/>
      <c r="P144" s="267"/>
      <c r="Q144" s="106"/>
      <c r="R144" s="267"/>
      <c r="S144" s="106"/>
      <c r="T144" s="267"/>
      <c r="U144" s="107"/>
      <c r="V144" s="267"/>
      <c r="W144" s="107"/>
      <c r="X144" s="267"/>
      <c r="Y144" s="106"/>
      <c r="Z144" s="267"/>
      <c r="AA144" s="106"/>
      <c r="AB144" s="274"/>
      <c r="AC144" s="269"/>
      <c r="AD144" s="267"/>
      <c r="AE144" s="279"/>
      <c r="AF144" s="281"/>
      <c r="AG144" s="283"/>
      <c r="AH144" s="283"/>
      <c r="AI144" s="283"/>
      <c r="AJ144" s="283"/>
      <c r="AK144" s="283"/>
      <c r="AL144" s="283"/>
      <c r="AM144" s="283"/>
      <c r="AN144" s="283"/>
      <c r="AO144" s="283"/>
      <c r="AP144" s="283"/>
      <c r="AQ144" s="283"/>
      <c r="AR144" s="283"/>
      <c r="AS144" s="283"/>
      <c r="AT144" s="283"/>
      <c r="AU144" s="283"/>
      <c r="AV144" s="283"/>
      <c r="AW144" s="283"/>
      <c r="AX144" s="264"/>
      <c r="AY144" s="49">
        <f ca="1"/>
        <v>0</v>
      </c>
      <c r="AZ144" s="49"/>
      <c r="BA144" s="49">
        <f ca="1"/>
        <v>0</v>
      </c>
      <c r="BB144" s="49"/>
      <c r="BC144" s="49">
        <f ca="1"/>
        <v>0</v>
      </c>
      <c r="BD144" s="49">
        <f ca="1"/>
        <v>0</v>
      </c>
      <c r="BE144" s="49">
        <f ca="1"/>
        <v>0</v>
      </c>
      <c r="BF144" s="49">
        <f ca="1"/>
        <v>0</v>
      </c>
      <c r="BG144" s="49">
        <f ca="1"/>
        <v>0</v>
      </c>
      <c r="BH144" s="49">
        <f ca="1"/>
        <v>0</v>
      </c>
      <c r="BI144" s="49"/>
      <c r="BJ144" s="49"/>
      <c r="BK144" s="49"/>
      <c r="BL144" s="49"/>
      <c r="BM144" s="50" t="str">
        <v/>
      </c>
      <c r="BN144" s="49">
        <v>0</v>
      </c>
      <c r="BO144" s="109" t="str">
        <f>IF(BO143="","",BN143)</f>
        <v/>
      </c>
      <c r="BP144" s="49" t="str">
        <v/>
      </c>
      <c r="BQ144" s="49"/>
      <c r="BR144" s="50" t="str">
        <v/>
      </c>
      <c r="BS144" s="49">
        <v>0</v>
      </c>
      <c r="BT144" s="109" t="str">
        <f>IF(BT143="","",BS143)</f>
        <v/>
      </c>
      <c r="BU144" s="49" t="str">
        <v/>
      </c>
      <c r="BV144" s="49"/>
      <c r="BW144" s="49" t="str">
        <v/>
      </c>
      <c r="BX144" s="49">
        <v>0</v>
      </c>
      <c r="BY144" s="102" t="str">
        <f>IF(BY143="","",BX143)</f>
        <v xml:space="preserve"> </v>
      </c>
      <c r="BZ144" s="173" t="str">
        <f t="shared" si="17"/>
        <v xml:space="preserve"> </v>
      </c>
      <c r="CA144" s="49"/>
      <c r="CB144" s="175" t="str">
        <f t="shared" si="18"/>
        <v>св</v>
      </c>
      <c r="CC144" s="49"/>
      <c r="CD144" s="49"/>
      <c r="CE144" s="49" t="str">
        <v/>
      </c>
      <c r="CF144" s="49">
        <v>0</v>
      </c>
      <c r="CG144" s="113" t="str">
        <f>IF(CG143="","",CF143)</f>
        <v xml:space="preserve"> </v>
      </c>
      <c r="CH144" s="49" t="str">
        <v xml:space="preserve"> </v>
      </c>
      <c r="CI144" s="49"/>
      <c r="CJ144" s="49" t="str">
        <v/>
      </c>
      <c r="CK144" s="49">
        <v>0</v>
      </c>
      <c r="CL144" s="113" t="str">
        <f>IF(CL143="","",CK143)</f>
        <v xml:space="preserve"> </v>
      </c>
      <c r="CM144" s="49" t="str">
        <v xml:space="preserve"> </v>
      </c>
      <c r="CN144" s="49"/>
      <c r="CO144" s="49" t="str">
        <v/>
      </c>
      <c r="CP144" s="49">
        <v>0</v>
      </c>
      <c r="CQ144" s="113" t="str">
        <f>IF(CQ143="","",CP143)</f>
        <v xml:space="preserve"> </v>
      </c>
      <c r="CR144" s="49" t="str">
        <v xml:space="preserve"> </v>
      </c>
      <c r="CS144" s="49"/>
      <c r="CT144" s="49" t="str">
        <v/>
      </c>
      <c r="CU144" s="49">
        <v>0</v>
      </c>
      <c r="CV144" s="113" t="str">
        <f>IF(CV143="","",CU143)</f>
        <v xml:space="preserve"> </v>
      </c>
      <c r="CW144" s="49" t="str">
        <v xml:space="preserve"> </v>
      </c>
      <c r="CX144" s="49"/>
      <c r="CY144" s="49" t="str">
        <v/>
      </c>
      <c r="CZ144" s="49">
        <v>0</v>
      </c>
      <c r="DA144" s="113" t="str">
        <f>IF(DA143="","",CZ143)</f>
        <v xml:space="preserve"> </v>
      </c>
      <c r="DB144" s="49" t="str">
        <v xml:space="preserve"> </v>
      </c>
      <c r="DC144" s="49"/>
      <c r="DD144" s="49" t="str">
        <v/>
      </c>
      <c r="DE144" s="49"/>
      <c r="DF144" s="49"/>
      <c r="DG144" s="49"/>
      <c r="DH144" s="49"/>
    </row>
    <row r="145" spans="1:112" ht="13.5" hidden="1" customHeight="1">
      <c r="A145" s="177"/>
      <c r="B145" s="299">
        <v>70</v>
      </c>
      <c r="C145" s="270" t="e">
        <f>(VLOOKUP($B145,Пр.взв!$D$6:$J$63,2,0))</f>
        <v>#N/A</v>
      </c>
      <c r="D145" s="271" t="e">
        <f>(VLOOKUP($B145,Пр.взв!$D$6:$J$63,5,0))</f>
        <v>#N/A</v>
      </c>
      <c r="E145" s="272" t="e">
        <f>(VLOOKUP($B145,Пр.взв!$D$6:$M$63,8,0))</f>
        <v>#N/A</v>
      </c>
      <c r="F145" s="273"/>
      <c r="G145" s="87"/>
      <c r="H145" s="266"/>
      <c r="I145" s="87"/>
      <c r="J145" s="266" t="str">
        <f>IF(H145="Х","Х",IF($AC145&lt;6," ","Х"))</f>
        <v xml:space="preserve"> </v>
      </c>
      <c r="K145" s="87"/>
      <c r="L145" s="266" t="str">
        <f>IF(J145="Х","Х",IF(K145&lt;3," ",IF($AC145&lt;6," ","Х")))</f>
        <v xml:space="preserve"> </v>
      </c>
      <c r="M145" s="87"/>
      <c r="N145" s="266" t="str">
        <f>IF(L145="Х","Х",IF(M145&lt;3," ",IF($AC145&lt;6," ","Х")))</f>
        <v xml:space="preserve"> </v>
      </c>
      <c r="O145" s="87"/>
      <c r="P145" s="266" t="str">
        <f>IF(N145="Х","Х",IF(O145&lt;3," ",IF($AC145&lt;6," ","Х")))</f>
        <v xml:space="preserve"> </v>
      </c>
      <c r="Q145" s="87"/>
      <c r="R145" s="266" t="str">
        <f>IF(P145="Х","Х",IF(Q145&lt;3," ",IF($AC145&lt;6," ","Х")))</f>
        <v xml:space="preserve"> </v>
      </c>
      <c r="S145" s="87"/>
      <c r="T145" s="266" t="str">
        <f>IF(R145="Х","Х",IF(S145&lt;3," ",IF($AC145&lt;6," ","Х")))</f>
        <v xml:space="preserve"> </v>
      </c>
      <c r="U145" s="88"/>
      <c r="V145" s="266" t="str">
        <f>IF(T145="Х","Х",IF(U145&lt;3," ",IF($AC145&lt;6," ","Х")))</f>
        <v xml:space="preserve"> </v>
      </c>
      <c r="W145" s="88"/>
      <c r="X145" s="266" t="str">
        <f>IF(V145="А1",$AZ$7,IF(V145="Б2",$AZ$6,IF(V145="Б1",$BA$7,IF(V145="А2",$BA$6,IF(V145="Х","Х",IF(V145&lt;6," "," "))))))</f>
        <v xml:space="preserve"> </v>
      </c>
      <c r="Y145" s="89"/>
      <c r="Z145" s="266" t="str">
        <f>IF(V145="Х","Х",IF(ISBLANK(Y145),"",IF(Y145&gt;2.5," ",IF(B145=BB$6,BB$7,BB$6))))</f>
        <v/>
      </c>
      <c r="AA145" s="89"/>
      <c r="AB145" s="290" t="str">
        <f>IF(H145="Х",F$5,IF(J145="Х",H$5,IF(L145="Х",J$5,IF(N145="Х",L$5,IF(P145="Х",N$5,IF(R145="Х",P$5,IF(T145="Х",R$5,IF(X145="Х",T$5,""))))))))</f>
        <v/>
      </c>
      <c r="AC145" s="276">
        <f>SUM(G145+I145+K145+M145+O145+Q145+S145+U145+Y145+AA145)</f>
        <v>0</v>
      </c>
      <c r="AD145" s="291" t="str">
        <f>AF145</f>
        <v>27-71</v>
      </c>
      <c r="AE145" s="278" t="str">
        <f>AD145</f>
        <v>27-71</v>
      </c>
      <c r="AF145" s="280" t="str">
        <f>COUNTIF(AG$6:AG$148,"&gt;"&amp;AG$6:AG$148)+1&amp;REPT("-"&amp;COUNTIF(AG$6:AG$148,"&gt;="&amp;AG$6:AG$148),COUNTIF(AG$6:AG$148,AG145)&gt;1)</f>
        <v>27-71</v>
      </c>
      <c r="AG145" s="282">
        <f>(AR145*100)+(AP145*10)-AC145</f>
        <v>80</v>
      </c>
      <c r="AH145" s="288" t="str">
        <f>IF(OR(F145="Х",F145="св")," ",IF(AND(G145&gt;=0,G145&lt;3),"1"," "))</f>
        <v>1</v>
      </c>
      <c r="AI145" s="289" t="str">
        <f>IF(OR(H145="Х",H145="св")," ",IF(AND(I145&gt;=0,I145&lt;3),"1"," "))</f>
        <v>1</v>
      </c>
      <c r="AJ145" s="289" t="str">
        <f>IF(OR(J145="Х",J145="св")," ",IF(AND(K145&gt;=0,K145&lt;3),"1"," "))</f>
        <v>1</v>
      </c>
      <c r="AK145" s="289" t="str">
        <f>IF(OR(L145="Х",L145="св")," ",IF(AND(M145&gt;=0,M145&lt;3),"1"," "))</f>
        <v>1</v>
      </c>
      <c r="AL145" s="289" t="str">
        <f>IF(OR(N145="Х",N145="св")," ",IF(AND(O145&gt;=0,O145&lt;3),"1"," "))</f>
        <v>1</v>
      </c>
      <c r="AM145" s="289" t="str">
        <f>IF(OR(P145="Х",P145="св")," ",IF(AND(Q145&gt;=0,Q145&lt;3),"1"," "))</f>
        <v>1</v>
      </c>
      <c r="AN145" s="289" t="str">
        <f>IF(OR(R145="Х",R145="св")," ",IF(AND(S145&gt;=0,S145&lt;3),"1"," "))</f>
        <v>1</v>
      </c>
      <c r="AO145" s="289" t="str">
        <f>IF(OR(T145="Х",T145="св")," ",IF(AND(U145&gt;=0,U145&lt;3),"1"," "))</f>
        <v>1</v>
      </c>
      <c r="AP145" s="289">
        <f>COUNTIF(AH145:AO146,1)</f>
        <v>8</v>
      </c>
      <c r="AQ145" s="289">
        <f>AG145-AC145</f>
        <v>80</v>
      </c>
      <c r="AR145" s="292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289" t="str">
        <f>COUNTIF(AG$6:AG$134,"&gt;"&amp;AG$6:AG$134)+1&amp;REPT("-"&amp;COUNTIF(AG$6:AG$134,"&gt;="&amp;AG$6:AG$134),COUNTIF(AG$6:AG$134,AG145)&gt;1)</f>
        <v>1-0</v>
      </c>
      <c r="AT145" s="288" t="str">
        <f t="shared" ref="AT145:AW145" si="74">COUNTIF(AU$6:AU$134,"&gt;"&amp;AU$6:AU$134)+1&amp;REPT("-"&amp;COUNTIF(AU$6:AU$134,"&gt;="&amp;AU$6:AU$134),COUNTIF(AU$6:AU$134,AU145)&gt;1)</f>
        <v>1-0</v>
      </c>
      <c r="AU145" s="288" t="str">
        <f t="shared" si="74"/>
        <v>1-0</v>
      </c>
      <c r="AV145" s="288" t="str">
        <f t="shared" si="74"/>
        <v>1</v>
      </c>
      <c r="AW145" s="288" t="str">
        <f t="shared" si="74"/>
        <v>1</v>
      </c>
      <c r="AX145" s="293">
        <f>IF(X145="Х","Х",IF(Y145&lt;3,B145,"Х"))</f>
        <v>70</v>
      </c>
      <c r="AY145" s="49">
        <f ca="1"/>
        <v>0</v>
      </c>
      <c r="AZ145" s="49"/>
      <c r="BA145" s="49">
        <f ca="1"/>
        <v>0</v>
      </c>
      <c r="BB145" s="49"/>
      <c r="BC145" s="49">
        <f ca="1"/>
        <v>0</v>
      </c>
      <c r="BD145" s="49">
        <f ca="1"/>
        <v>0</v>
      </c>
      <c r="BE145" s="49">
        <f ca="1"/>
        <v>0</v>
      </c>
      <c r="BF145" s="49">
        <f ca="1"/>
        <v>0</v>
      </c>
      <c r="BG145" s="49">
        <f ca="1"/>
        <v>0</v>
      </c>
      <c r="BH145" s="49">
        <f ca="1"/>
        <v>0</v>
      </c>
      <c r="BI145" s="49"/>
      <c r="BJ145" s="49"/>
      <c r="BK145" s="49"/>
      <c r="BL145" s="49"/>
      <c r="BM145" s="50">
        <v>70</v>
      </c>
      <c r="BN145" s="49">
        <v>0</v>
      </c>
      <c r="BO145" s="98" t="str">
        <f>IF(BM145&lt;BN145,BM145,"")</f>
        <v/>
      </c>
      <c r="BP145" s="49" t="str">
        <v/>
      </c>
      <c r="BQ145" s="49"/>
      <c r="BR145" s="50" t="str">
        <v/>
      </c>
      <c r="BS145" s="49">
        <v>0</v>
      </c>
      <c r="BT145" s="109" t="str">
        <f>IF(BR145&lt;BS145,BR145,"")</f>
        <v/>
      </c>
      <c r="BU145" s="49" t="str">
        <v/>
      </c>
      <c r="BV145" s="49"/>
      <c r="BW145" s="49">
        <v>70</v>
      </c>
      <c r="BX145" s="49" t="str">
        <v xml:space="preserve"> </v>
      </c>
      <c r="BY145" s="102">
        <f t="array" ref="BY145">IF(BW145&lt;BX145,BW145,"")</f>
        <v>70</v>
      </c>
      <c r="BZ145" s="102">
        <f t="shared" si="17"/>
        <v>70</v>
      </c>
      <c r="CA145" s="49"/>
      <c r="CB145" s="63" t="str">
        <f t="shared" si="18"/>
        <v>св</v>
      </c>
      <c r="CC145" s="49"/>
      <c r="CD145" s="49"/>
      <c r="CE145" s="49">
        <v>70</v>
      </c>
      <c r="CF145" s="49" t="str">
        <v xml:space="preserve"> </v>
      </c>
      <c r="CG145" s="98">
        <f t="array" ref="CG145">IF(CE145&lt;CF145,CE145,"")</f>
        <v>70</v>
      </c>
      <c r="CH145" s="49">
        <v>70</v>
      </c>
      <c r="CI145" s="49"/>
      <c r="CJ145" s="49">
        <v>70</v>
      </c>
      <c r="CK145" s="49" t="str">
        <v xml:space="preserve"> </v>
      </c>
      <c r="CL145" s="98">
        <f t="array" ref="CL145">IF(CJ145&lt;CK145,CJ145,"")</f>
        <v>70</v>
      </c>
      <c r="CM145" s="49">
        <v>70</v>
      </c>
      <c r="CN145" s="49"/>
      <c r="CO145" s="49">
        <v>70</v>
      </c>
      <c r="CP145" s="49" t="str">
        <v xml:space="preserve"> </v>
      </c>
      <c r="CQ145" s="98">
        <f t="array" ref="CQ145">IF(CO145&lt;CP145,CO145,"")</f>
        <v>70</v>
      </c>
      <c r="CR145" s="49">
        <v>70</v>
      </c>
      <c r="CS145" s="49"/>
      <c r="CT145" s="49">
        <v>70</v>
      </c>
      <c r="CU145" s="49" t="str">
        <v xml:space="preserve"> </v>
      </c>
      <c r="CV145" s="98">
        <f t="array" ref="CV145">IF(CT145&lt;CU145,CT145,"")</f>
        <v>70</v>
      </c>
      <c r="CW145" s="49">
        <v>70</v>
      </c>
      <c r="CX145" s="49"/>
      <c r="CY145" s="49">
        <v>70</v>
      </c>
      <c r="CZ145" s="49" t="str">
        <v xml:space="preserve"> </v>
      </c>
      <c r="DA145" s="98">
        <f t="array" ref="DA145">IF(CY145&lt;CZ145,CY145,"")</f>
        <v>70</v>
      </c>
      <c r="DB145" s="49">
        <v>70</v>
      </c>
      <c r="DC145" s="49"/>
      <c r="DD145" s="49">
        <v>70</v>
      </c>
      <c r="DE145" s="49"/>
      <c r="DF145" s="49"/>
      <c r="DG145" s="49"/>
      <c r="DH145" s="49"/>
    </row>
    <row r="146" spans="1:112" ht="13.5" hidden="1" customHeight="1">
      <c r="A146" s="177"/>
      <c r="B146" s="269"/>
      <c r="C146" s="269"/>
      <c r="D146" s="269"/>
      <c r="E146" s="269"/>
      <c r="F146" s="274"/>
      <c r="G146" s="106"/>
      <c r="H146" s="267"/>
      <c r="I146" s="106"/>
      <c r="J146" s="267"/>
      <c r="K146" s="106"/>
      <c r="L146" s="267"/>
      <c r="M146" s="106"/>
      <c r="N146" s="267"/>
      <c r="O146" s="106"/>
      <c r="P146" s="267"/>
      <c r="Q146" s="106"/>
      <c r="R146" s="267"/>
      <c r="S146" s="106"/>
      <c r="T146" s="267"/>
      <c r="U146" s="107"/>
      <c r="V146" s="267"/>
      <c r="W146" s="107"/>
      <c r="X146" s="267"/>
      <c r="Y146" s="106"/>
      <c r="Z146" s="267"/>
      <c r="AA146" s="106"/>
      <c r="AB146" s="274"/>
      <c r="AC146" s="269"/>
      <c r="AD146" s="267"/>
      <c r="AE146" s="279"/>
      <c r="AF146" s="281"/>
      <c r="AG146" s="283"/>
      <c r="AH146" s="283"/>
      <c r="AI146" s="283"/>
      <c r="AJ146" s="283"/>
      <c r="AK146" s="283"/>
      <c r="AL146" s="283"/>
      <c r="AM146" s="283"/>
      <c r="AN146" s="283"/>
      <c r="AO146" s="283"/>
      <c r="AP146" s="283"/>
      <c r="AQ146" s="283"/>
      <c r="AR146" s="283"/>
      <c r="AS146" s="283"/>
      <c r="AT146" s="283"/>
      <c r="AU146" s="283"/>
      <c r="AV146" s="283"/>
      <c r="AW146" s="283"/>
      <c r="AX146" s="264"/>
      <c r="AY146" s="49">
        <f ca="1"/>
        <v>0</v>
      </c>
      <c r="AZ146" s="49"/>
      <c r="BA146" s="49">
        <f ca="1"/>
        <v>0</v>
      </c>
      <c r="BB146" s="49"/>
      <c r="BC146" s="49">
        <f ca="1"/>
        <v>0</v>
      </c>
      <c r="BD146" s="49">
        <f ca="1"/>
        <v>0</v>
      </c>
      <c r="BE146" s="49">
        <f ca="1"/>
        <v>0</v>
      </c>
      <c r="BF146" s="49">
        <f ca="1"/>
        <v>0</v>
      </c>
      <c r="BG146" s="49">
        <f ca="1"/>
        <v>0</v>
      </c>
      <c r="BH146" s="49">
        <f ca="1"/>
        <v>0</v>
      </c>
      <c r="BI146" s="49"/>
      <c r="BJ146" s="49"/>
      <c r="BK146" s="49"/>
      <c r="BL146" s="49"/>
      <c r="BM146" s="50" t="str">
        <v/>
      </c>
      <c r="BN146" s="49">
        <v>0</v>
      </c>
      <c r="BO146" s="109" t="str">
        <f>IF(BO145="","",BN145)</f>
        <v/>
      </c>
      <c r="BP146" s="49" t="str">
        <v/>
      </c>
      <c r="BQ146" s="49"/>
      <c r="BR146" s="50" t="str">
        <v/>
      </c>
      <c r="BS146" s="49">
        <v>0</v>
      </c>
      <c r="BT146" s="109" t="str">
        <f>IF(BT145="","",BS145)</f>
        <v/>
      </c>
      <c r="BU146" s="49" t="str">
        <v/>
      </c>
      <c r="BV146" s="49"/>
      <c r="BW146" s="49" t="str">
        <v/>
      </c>
      <c r="BX146" s="49">
        <v>0</v>
      </c>
      <c r="BY146" s="102" t="str">
        <f>IF(BY145="","",BX145)</f>
        <v xml:space="preserve"> </v>
      </c>
      <c r="BZ146" s="173" t="str">
        <f t="shared" si="17"/>
        <v xml:space="preserve"> </v>
      </c>
      <c r="CA146" s="49"/>
      <c r="CB146" s="175" t="str">
        <f t="shared" si="18"/>
        <v>св</v>
      </c>
      <c r="CC146" s="49"/>
      <c r="CD146" s="49"/>
      <c r="CE146" s="49" t="str">
        <v/>
      </c>
      <c r="CF146" s="49">
        <v>0</v>
      </c>
      <c r="CG146" s="113" t="str">
        <f>IF(CG145="","",CF145)</f>
        <v xml:space="preserve"> </v>
      </c>
      <c r="CH146" s="49" t="str">
        <v xml:space="preserve"> </v>
      </c>
      <c r="CI146" s="49"/>
      <c r="CJ146" s="49" t="str">
        <v/>
      </c>
      <c r="CK146" s="49">
        <v>0</v>
      </c>
      <c r="CL146" s="113" t="str">
        <f>IF(CL145="","",CK145)</f>
        <v xml:space="preserve"> </v>
      </c>
      <c r="CM146" s="49" t="str">
        <v xml:space="preserve"> </v>
      </c>
      <c r="CN146" s="49"/>
      <c r="CO146" s="49" t="str">
        <v/>
      </c>
      <c r="CP146" s="49">
        <v>0</v>
      </c>
      <c r="CQ146" s="113" t="str">
        <f>IF(CQ145="","",CP145)</f>
        <v xml:space="preserve"> </v>
      </c>
      <c r="CR146" s="49" t="str">
        <v xml:space="preserve"> </v>
      </c>
      <c r="CS146" s="49"/>
      <c r="CT146" s="49" t="str">
        <v/>
      </c>
      <c r="CU146" s="49">
        <v>0</v>
      </c>
      <c r="CV146" s="113" t="str">
        <f>IF(CV145="","",CU145)</f>
        <v xml:space="preserve"> </v>
      </c>
      <c r="CW146" s="49" t="str">
        <v xml:space="preserve"> </v>
      </c>
      <c r="CX146" s="49"/>
      <c r="CY146" s="49" t="str">
        <v/>
      </c>
      <c r="CZ146" s="49">
        <v>0</v>
      </c>
      <c r="DA146" s="113" t="str">
        <f>IF(DA145="","",CZ145)</f>
        <v xml:space="preserve"> </v>
      </c>
      <c r="DB146" s="49" t="str">
        <v xml:space="preserve"> </v>
      </c>
      <c r="DC146" s="49"/>
      <c r="DD146" s="49" t="str">
        <v/>
      </c>
      <c r="DE146" s="49"/>
      <c r="DF146" s="49"/>
      <c r="DG146" s="49"/>
      <c r="DH146" s="49"/>
    </row>
    <row r="147" spans="1:112" ht="13.5" hidden="1" customHeight="1">
      <c r="A147" s="177"/>
      <c r="B147" s="299">
        <v>71</v>
      </c>
      <c r="C147" s="270" t="e">
        <f>(VLOOKUP($B147,Пр.взв!$D$6:$J$63,2,0))</f>
        <v>#N/A</v>
      </c>
      <c r="D147" s="271" t="e">
        <f>(VLOOKUP($B147,Пр.взв!$D$6:$J$63,5,0))</f>
        <v>#N/A</v>
      </c>
      <c r="E147" s="272" t="e">
        <f>(VLOOKUP($B147,Пр.взв!$D$6:$M$63,8,0))</f>
        <v>#N/A</v>
      </c>
      <c r="F147" s="273"/>
      <c r="G147" s="87"/>
      <c r="H147" s="266"/>
      <c r="I147" s="87"/>
      <c r="J147" s="266" t="str">
        <f>IF(H147="Х","Х",IF($AC147&lt;6," ","Х"))</f>
        <v xml:space="preserve"> </v>
      </c>
      <c r="K147" s="87"/>
      <c r="L147" s="266" t="str">
        <f>IF(J147="Х","Х",IF(K147&lt;3," ",IF($AC147&lt;6," ","Х")))</f>
        <v xml:space="preserve"> </v>
      </c>
      <c r="M147" s="87"/>
      <c r="N147" s="266" t="str">
        <f>IF(L147="Х","Х",IF(M147&lt;3," ",IF($AC147&lt;6," ","Х")))</f>
        <v xml:space="preserve"> </v>
      </c>
      <c r="O147" s="87"/>
      <c r="P147" s="266" t="str">
        <f>IF(N147="Х","Х",IF(O147&lt;3," ",IF($AC147&lt;6," ","Х")))</f>
        <v xml:space="preserve"> </v>
      </c>
      <c r="Q147" s="87"/>
      <c r="R147" s="266" t="str">
        <f>IF(P147="Х","Х",IF(Q147&lt;3," ",IF($AC147&lt;6," ","Х")))</f>
        <v xml:space="preserve"> </v>
      </c>
      <c r="S147" s="87"/>
      <c r="T147" s="266" t="str">
        <f>IF(R147="Х","Х",IF(S147&lt;3," ",IF($AC147&lt;6," ","Х")))</f>
        <v xml:space="preserve"> </v>
      </c>
      <c r="U147" s="88"/>
      <c r="V147" s="266" t="str">
        <f>IF(T147="Х","Х",IF(U147&lt;3," ",IF($AC147&lt;6," ","Х")))</f>
        <v xml:space="preserve"> </v>
      </c>
      <c r="W147" s="88"/>
      <c r="X147" s="266" t="str">
        <f>IF(V147="А1",$AZ$7,IF(V147="Б2",$AZ$6,IF(V147="Б1",$BA$7,IF(V147="А2",$BA$6,IF(V147="Х","Х",IF(V147&lt;6," "," "))))))</f>
        <v xml:space="preserve"> </v>
      </c>
      <c r="Y147" s="89"/>
      <c r="Z147" s="266" t="str">
        <f>IF(V147="Х","Х",IF(ISBLANK(Y147),"",IF(Y147&gt;2.5," ",IF(B147=BB$6,BB$7,BB$6))))</f>
        <v/>
      </c>
      <c r="AA147" s="89"/>
      <c r="AB147" s="290" t="str">
        <f>IF(H147="Х",F$5,IF(J147="Х",H$5,IF(L147="Х",J$5,IF(N147="Х",L$5,IF(P147="Х",N$5,IF(R147="Х",P$5,IF(T147="Х",R$5,IF(X147="Х",T$5,""))))))))</f>
        <v/>
      </c>
      <c r="AC147" s="276">
        <f>SUM(G147+I147+K147+M147+O147+Q147+S147+U147+Y147+AA147)</f>
        <v>0</v>
      </c>
      <c r="AD147" s="291" t="str">
        <f>AF147</f>
        <v>27-71</v>
      </c>
      <c r="AE147" s="278" t="str">
        <f>AD147</f>
        <v>27-71</v>
      </c>
      <c r="AF147" s="280" t="str">
        <f>COUNTIF(AG$6:AG$148,"&gt;"&amp;AG$6:AG$148)+1&amp;REPT("-"&amp;COUNTIF(AG$6:AG$148,"&gt;="&amp;AG$6:AG$148),COUNTIF(AG$6:AG$148,AG147)&gt;1)</f>
        <v>27-71</v>
      </c>
      <c r="AG147" s="282">
        <f>(AR147*100)+(AP147*10)-AC147</f>
        <v>80</v>
      </c>
      <c r="AH147" s="288" t="str">
        <f>IF(OR(F147="Х",F147="св")," ",IF(AND(G147&gt;=0,G147&lt;3),"1"," "))</f>
        <v>1</v>
      </c>
      <c r="AI147" s="289" t="str">
        <f>IF(OR(H147="Х",H147="св")," ",IF(AND(I147&gt;=0,I147&lt;3),"1"," "))</f>
        <v>1</v>
      </c>
      <c r="AJ147" s="289" t="str">
        <f>IF(OR(J147="Х",J147="св")," ",IF(AND(K147&gt;=0,K147&lt;3),"1"," "))</f>
        <v>1</v>
      </c>
      <c r="AK147" s="289" t="str">
        <f>IF(OR(L147="Х",L147="св")," ",IF(AND(M147&gt;=0,M147&lt;3),"1"," "))</f>
        <v>1</v>
      </c>
      <c r="AL147" s="289" t="str">
        <f>IF(OR(N147="Х",N147="св")," ",IF(AND(O147&gt;=0,O147&lt;3),"1"," "))</f>
        <v>1</v>
      </c>
      <c r="AM147" s="289" t="str">
        <f>IF(OR(P147="Х",P147="св")," ",IF(AND(Q147&gt;=0,Q147&lt;3),"1"," "))</f>
        <v>1</v>
      </c>
      <c r="AN147" s="289" t="str">
        <f>IF(OR(R147="Х",R147="св")," ",IF(AND(S147&gt;=0,S147&lt;3),"1"," "))</f>
        <v>1</v>
      </c>
      <c r="AO147" s="289" t="str">
        <f>IF(OR(T147="Х",T147="св")," ",IF(AND(U147&gt;=0,U147&lt;3),"1"," "))</f>
        <v>1</v>
      </c>
      <c r="AP147" s="289">
        <f>COUNTIF(AH147:AO148,1)</f>
        <v>8</v>
      </c>
      <c r="AQ147" s="289">
        <f>AG147-AC147</f>
        <v>80</v>
      </c>
      <c r="AR147" s="292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289" t="str">
        <f>COUNTIF(AG$6:AG$134,"&gt;"&amp;AG$6:AG$134)+1&amp;REPT("-"&amp;COUNTIF(AG$6:AG$134,"&gt;="&amp;AG$6:AG$134),COUNTIF(AG$6:AG$134,AG147)&gt;1)</f>
        <v>1-0</v>
      </c>
      <c r="AT147" s="288" t="str">
        <f t="shared" ref="AT147:AW147" si="75">COUNTIF(AU$6:AU$134,"&gt;"&amp;AU$6:AU$134)+1&amp;REPT("-"&amp;COUNTIF(AU$6:AU$134,"&gt;="&amp;AU$6:AU$134),COUNTIF(AU$6:AU$134,AU147)&gt;1)</f>
        <v>1-0</v>
      </c>
      <c r="AU147" s="288" t="str">
        <f t="shared" si="75"/>
        <v>1-0</v>
      </c>
      <c r="AV147" s="288" t="str">
        <f t="shared" si="75"/>
        <v>1</v>
      </c>
      <c r="AW147" s="288" t="str">
        <f t="shared" si="75"/>
        <v>1</v>
      </c>
      <c r="AX147" s="293">
        <f>IF(X147="Х","Х",IF(Y147&lt;3,B147,"Х"))</f>
        <v>71</v>
      </c>
      <c r="AY147" s="49">
        <f ca="1"/>
        <v>0</v>
      </c>
      <c r="AZ147" s="49"/>
      <c r="BA147" s="49">
        <f ca="1"/>
        <v>0</v>
      </c>
      <c r="BB147" s="49"/>
      <c r="BC147" s="49">
        <f ca="1"/>
        <v>0</v>
      </c>
      <c r="BD147" s="49">
        <f ca="1"/>
        <v>0</v>
      </c>
      <c r="BE147" s="49">
        <f ca="1"/>
        <v>0</v>
      </c>
      <c r="BF147" s="49">
        <f ca="1"/>
        <v>0</v>
      </c>
      <c r="BG147" s="49">
        <f ca="1"/>
        <v>0</v>
      </c>
      <c r="BH147" s="49">
        <f ca="1"/>
        <v>0</v>
      </c>
      <c r="BI147" s="49"/>
      <c r="BJ147" s="49"/>
      <c r="BK147" s="49"/>
      <c r="BL147" s="49"/>
      <c r="BM147" s="50">
        <v>71</v>
      </c>
      <c r="BN147" s="49">
        <v>0</v>
      </c>
      <c r="BO147" s="98" t="str">
        <f>IF(BM147&lt;BN147,BM147,"")</f>
        <v/>
      </c>
      <c r="BP147" s="49" t="str">
        <v/>
      </c>
      <c r="BQ147" s="49"/>
      <c r="BR147" s="50" t="str">
        <v/>
      </c>
      <c r="BS147" s="49">
        <v>0</v>
      </c>
      <c r="BT147" s="109" t="str">
        <f>IF(BR147&lt;BS147,BR147,"")</f>
        <v/>
      </c>
      <c r="BU147" s="49" t="str">
        <v/>
      </c>
      <c r="BV147" s="49"/>
      <c r="BW147" s="49">
        <v>71</v>
      </c>
      <c r="BX147" s="49" t="str">
        <v xml:space="preserve"> </v>
      </c>
      <c r="BY147" s="102">
        <f t="array" ref="BY147">IF(BW147&lt;BX147,BW147,"")</f>
        <v>71</v>
      </c>
      <c r="BZ147" s="102">
        <f t="shared" si="17"/>
        <v>71</v>
      </c>
      <c r="CA147" s="49"/>
      <c r="CB147" s="63" t="str">
        <f t="shared" si="18"/>
        <v>св</v>
      </c>
      <c r="CC147" s="49"/>
      <c r="CD147" s="49"/>
      <c r="CE147" s="49">
        <v>71</v>
      </c>
      <c r="CF147" s="49" t="str">
        <v xml:space="preserve"> </v>
      </c>
      <c r="CG147" s="98">
        <f t="array" ref="CG147">IF(CE147&lt;CF147,CE147,"")</f>
        <v>71</v>
      </c>
      <c r="CH147" s="49">
        <v>71</v>
      </c>
      <c r="CI147" s="49"/>
      <c r="CJ147" s="49">
        <v>71</v>
      </c>
      <c r="CK147" s="49" t="str">
        <v xml:space="preserve"> </v>
      </c>
      <c r="CL147" s="98">
        <f t="array" ref="CL147">IF(CJ147&lt;CK147,CJ147,"")</f>
        <v>71</v>
      </c>
      <c r="CM147" s="49">
        <v>71</v>
      </c>
      <c r="CN147" s="49"/>
      <c r="CO147" s="49">
        <v>71</v>
      </c>
      <c r="CP147" s="49" t="str">
        <v xml:space="preserve"> </v>
      </c>
      <c r="CQ147" s="98">
        <f t="array" ref="CQ147">IF(CO147&lt;CP147,CO147,"")</f>
        <v>71</v>
      </c>
      <c r="CR147" s="49">
        <v>71</v>
      </c>
      <c r="CS147" s="49"/>
      <c r="CT147" s="49">
        <v>71</v>
      </c>
      <c r="CU147" s="49" t="str">
        <v xml:space="preserve"> </v>
      </c>
      <c r="CV147" s="98">
        <f t="array" ref="CV147">IF(CT147&lt;CU147,CT147,"")</f>
        <v>71</v>
      </c>
      <c r="CW147" s="49">
        <v>71</v>
      </c>
      <c r="CX147" s="49"/>
      <c r="CY147" s="49">
        <v>71</v>
      </c>
      <c r="CZ147" s="49" t="str">
        <v xml:space="preserve"> </v>
      </c>
      <c r="DA147" s="98">
        <f t="array" ref="DA147">IF(CY147&lt;CZ147,CY147,"")</f>
        <v>71</v>
      </c>
      <c r="DB147" s="49">
        <v>71</v>
      </c>
      <c r="DC147" s="49"/>
      <c r="DD147" s="49">
        <v>71</v>
      </c>
      <c r="DE147" s="49"/>
      <c r="DF147" s="49"/>
      <c r="DG147" s="49"/>
      <c r="DH147" s="49"/>
    </row>
    <row r="148" spans="1:112" ht="13.5" hidden="1" customHeight="1">
      <c r="A148" s="177"/>
      <c r="B148" s="269"/>
      <c r="C148" s="269"/>
      <c r="D148" s="269"/>
      <c r="E148" s="269"/>
      <c r="F148" s="274"/>
      <c r="G148" s="106"/>
      <c r="H148" s="267"/>
      <c r="I148" s="106"/>
      <c r="J148" s="267"/>
      <c r="K148" s="106"/>
      <c r="L148" s="267"/>
      <c r="M148" s="106"/>
      <c r="N148" s="267"/>
      <c r="O148" s="106"/>
      <c r="P148" s="267"/>
      <c r="Q148" s="106"/>
      <c r="R148" s="267"/>
      <c r="S148" s="106"/>
      <c r="T148" s="267"/>
      <c r="U148" s="107"/>
      <c r="V148" s="267"/>
      <c r="W148" s="107"/>
      <c r="X148" s="267"/>
      <c r="Y148" s="106"/>
      <c r="Z148" s="267"/>
      <c r="AA148" s="106"/>
      <c r="AB148" s="274"/>
      <c r="AC148" s="269"/>
      <c r="AD148" s="267"/>
      <c r="AE148" s="279"/>
      <c r="AF148" s="281"/>
      <c r="AG148" s="283"/>
      <c r="AH148" s="283"/>
      <c r="AI148" s="283"/>
      <c r="AJ148" s="283"/>
      <c r="AK148" s="283"/>
      <c r="AL148" s="283"/>
      <c r="AM148" s="283"/>
      <c r="AN148" s="283"/>
      <c r="AO148" s="283"/>
      <c r="AP148" s="283"/>
      <c r="AQ148" s="283"/>
      <c r="AR148" s="283"/>
      <c r="AS148" s="283"/>
      <c r="AT148" s="283"/>
      <c r="AU148" s="283"/>
      <c r="AV148" s="283"/>
      <c r="AW148" s="283"/>
      <c r="AX148" s="264"/>
      <c r="AY148" s="49">
        <f ca="1"/>
        <v>0</v>
      </c>
      <c r="AZ148" s="49"/>
      <c r="BA148" s="49">
        <f ca="1"/>
        <v>0</v>
      </c>
      <c r="BB148" s="49"/>
      <c r="BC148" s="49">
        <f ca="1"/>
        <v>0</v>
      </c>
      <c r="BD148" s="49">
        <f ca="1"/>
        <v>0</v>
      </c>
      <c r="BE148" s="49">
        <f ca="1"/>
        <v>0</v>
      </c>
      <c r="BF148" s="49">
        <f ca="1"/>
        <v>0</v>
      </c>
      <c r="BG148" s="49">
        <f ca="1"/>
        <v>0</v>
      </c>
      <c r="BH148" s="49">
        <f ca="1"/>
        <v>0</v>
      </c>
      <c r="BI148" s="49"/>
      <c r="BJ148" s="49"/>
      <c r="BK148" s="49"/>
      <c r="BL148" s="49"/>
      <c r="BM148" s="50" t="str">
        <v/>
      </c>
      <c r="BN148" s="49">
        <v>0</v>
      </c>
      <c r="BO148" s="49"/>
      <c r="BP148" s="49">
        <v>0</v>
      </c>
      <c r="BQ148" s="49"/>
      <c r="BR148" s="50" t="str">
        <v/>
      </c>
      <c r="BS148" s="49">
        <v>0</v>
      </c>
      <c r="BT148" s="49"/>
      <c r="BU148" s="49">
        <v>0</v>
      </c>
      <c r="BV148" s="49"/>
      <c r="BW148" s="49" t="str">
        <v/>
      </c>
      <c r="BX148" s="49">
        <v>0</v>
      </c>
      <c r="CA148" s="49"/>
      <c r="CB148" s="49"/>
      <c r="CC148" s="49"/>
      <c r="CD148" s="49"/>
      <c r="CE148" s="49" t="str">
        <v/>
      </c>
      <c r="CF148" s="49">
        <v>0</v>
      </c>
      <c r="CG148" s="49"/>
      <c r="CH148" s="49">
        <v>0</v>
      </c>
      <c r="CI148" s="49"/>
      <c r="CJ148" s="49" t="str">
        <v/>
      </c>
      <c r="CK148" s="49">
        <v>0</v>
      </c>
      <c r="CL148" s="49"/>
      <c r="CM148" s="49">
        <v>0</v>
      </c>
      <c r="CN148" s="49"/>
      <c r="CO148" s="49" t="str">
        <v/>
      </c>
      <c r="CP148" s="49">
        <v>0</v>
      </c>
      <c r="CQ148" s="49"/>
      <c r="CR148" s="49">
        <v>0</v>
      </c>
      <c r="CS148" s="49"/>
      <c r="CT148" s="49" t="str">
        <v/>
      </c>
      <c r="CU148" s="49">
        <v>0</v>
      </c>
      <c r="CV148" s="49"/>
      <c r="CW148" s="49">
        <v>0</v>
      </c>
      <c r="CX148" s="49"/>
      <c r="CY148" s="49" t="str">
        <v/>
      </c>
      <c r="CZ148" s="49">
        <v>0</v>
      </c>
      <c r="DA148" s="49"/>
      <c r="DB148" s="49">
        <v>0</v>
      </c>
      <c r="DC148" s="49"/>
      <c r="DD148" s="49" t="str">
        <v/>
      </c>
      <c r="DE148" s="49"/>
      <c r="DF148" s="49"/>
      <c r="DG148" s="49"/>
      <c r="DH148" s="49"/>
    </row>
    <row r="149" spans="1:112" ht="15.5" hidden="1">
      <c r="A149" s="177"/>
      <c r="B149" s="178"/>
      <c r="C149" s="179"/>
      <c r="D149" s="179"/>
      <c r="E149" s="179"/>
      <c r="F149" s="179"/>
      <c r="G149" s="180"/>
      <c r="H149" s="180"/>
      <c r="I149" s="180"/>
      <c r="J149" s="179"/>
      <c r="K149" s="179"/>
      <c r="L149" s="180"/>
      <c r="M149" s="181"/>
      <c r="N149" s="182"/>
      <c r="O149" s="182"/>
      <c r="P149" s="182"/>
      <c r="Q149" s="182"/>
      <c r="R149" s="182"/>
      <c r="S149" s="182"/>
      <c r="T149" s="183"/>
      <c r="U149" s="181"/>
      <c r="V149" s="181"/>
      <c r="W149" s="181"/>
      <c r="X149" s="183"/>
      <c r="Y149" s="184"/>
      <c r="Z149" s="184"/>
      <c r="AA149" s="184"/>
      <c r="AB149" s="184"/>
      <c r="AC149" s="184"/>
      <c r="AD149" s="185"/>
      <c r="AE149" s="45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>
        <f ca="1"/>
        <v>0</v>
      </c>
      <c r="AZ149" s="49"/>
      <c r="BA149" s="49">
        <f ca="1"/>
        <v>0</v>
      </c>
      <c r="BB149" s="49"/>
      <c r="BC149" s="49">
        <f ca="1"/>
        <v>0</v>
      </c>
      <c r="BD149" s="49">
        <f ca="1"/>
        <v>0</v>
      </c>
      <c r="BE149" s="49">
        <f ca="1"/>
        <v>0</v>
      </c>
      <c r="BF149" s="49">
        <f ca="1"/>
        <v>0</v>
      </c>
      <c r="BG149" s="49">
        <f ca="1"/>
        <v>0</v>
      </c>
      <c r="BH149" s="49">
        <f ca="1"/>
        <v>0</v>
      </c>
      <c r="BI149" s="49"/>
      <c r="BJ149" s="49"/>
      <c r="BK149" s="49"/>
      <c r="BL149" s="49"/>
      <c r="BM149" s="50" t="str">
        <v/>
      </c>
      <c r="BN149" s="49">
        <v>0</v>
      </c>
      <c r="BO149" s="49"/>
      <c r="BP149" s="49">
        <v>0</v>
      </c>
      <c r="BQ149" s="49"/>
      <c r="BR149" s="50" t="str">
        <v/>
      </c>
      <c r="BS149" s="49">
        <v>0</v>
      </c>
      <c r="BT149" s="49"/>
      <c r="BU149" s="49">
        <v>0</v>
      </c>
      <c r="BV149" s="49"/>
      <c r="BW149" s="49" t="str">
        <v/>
      </c>
      <c r="BX149" s="49">
        <v>0</v>
      </c>
      <c r="CA149" s="49"/>
      <c r="CB149" s="49"/>
      <c r="CC149" s="49"/>
      <c r="CD149" s="49"/>
      <c r="CE149" s="49" t="str">
        <v/>
      </c>
      <c r="CF149" s="49">
        <v>0</v>
      </c>
      <c r="CG149" s="49"/>
      <c r="CH149" s="49">
        <v>0</v>
      </c>
      <c r="CI149" s="49"/>
      <c r="CJ149" s="49" t="str">
        <v/>
      </c>
      <c r="CK149" s="49">
        <v>0</v>
      </c>
      <c r="CL149" s="49"/>
      <c r="CM149" s="49">
        <v>0</v>
      </c>
      <c r="CN149" s="49"/>
      <c r="CO149" s="49" t="str">
        <v/>
      </c>
      <c r="CP149" s="49">
        <v>0</v>
      </c>
      <c r="CQ149" s="49"/>
      <c r="CR149" s="49">
        <v>0</v>
      </c>
      <c r="CS149" s="49"/>
      <c r="CT149" s="49" t="str">
        <v/>
      </c>
      <c r="CU149" s="49">
        <v>0</v>
      </c>
      <c r="CV149" s="49"/>
      <c r="CW149" s="49">
        <v>0</v>
      </c>
      <c r="CX149" s="49"/>
      <c r="CY149" s="49" t="str">
        <v/>
      </c>
      <c r="CZ149" s="49">
        <v>0</v>
      </c>
      <c r="DA149" s="49"/>
      <c r="DB149" s="49">
        <v>0</v>
      </c>
      <c r="DC149" s="49"/>
      <c r="DD149" s="49" t="str">
        <v/>
      </c>
      <c r="DE149" s="49"/>
      <c r="DF149" s="49"/>
      <c r="DG149" s="49"/>
      <c r="DH149" s="49"/>
    </row>
    <row r="150" spans="1:112" ht="15.5" hidden="1">
      <c r="A150" s="177"/>
      <c r="B150" s="178"/>
      <c r="C150" s="179"/>
      <c r="D150" s="179"/>
      <c r="E150" s="179"/>
      <c r="F150" s="179"/>
      <c r="G150" s="180"/>
      <c r="H150" s="180"/>
      <c r="I150" s="180"/>
      <c r="J150" s="179"/>
      <c r="K150" s="179"/>
      <c r="L150" s="180"/>
      <c r="M150" s="181"/>
      <c r="N150" s="182"/>
      <c r="O150" s="182"/>
      <c r="P150" s="182"/>
      <c r="Q150" s="182"/>
      <c r="R150" s="182"/>
      <c r="S150" s="182"/>
      <c r="T150" s="183"/>
      <c r="U150" s="181"/>
      <c r="V150" s="181"/>
      <c r="W150" s="181"/>
      <c r="X150" s="183"/>
      <c r="Y150" s="184"/>
      <c r="Z150" s="184"/>
      <c r="AA150" s="184"/>
      <c r="AB150" s="184"/>
      <c r="AC150" s="184"/>
      <c r="AD150" s="185"/>
      <c r="AE150" s="45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>
        <f ca="1"/>
        <v>0</v>
      </c>
      <c r="AZ150" s="49"/>
      <c r="BA150" s="49">
        <f ca="1"/>
        <v>0</v>
      </c>
      <c r="BB150" s="49"/>
      <c r="BC150" s="49">
        <f ca="1"/>
        <v>0</v>
      </c>
      <c r="BD150" s="49">
        <f ca="1"/>
        <v>0</v>
      </c>
      <c r="BE150" s="49">
        <f ca="1"/>
        <v>0</v>
      </c>
      <c r="BF150" s="49">
        <f ca="1"/>
        <v>0</v>
      </c>
      <c r="BG150" s="49">
        <f ca="1"/>
        <v>0</v>
      </c>
      <c r="BH150" s="49">
        <f ca="1"/>
        <v>0</v>
      </c>
      <c r="BI150" s="49"/>
      <c r="BJ150" s="49"/>
      <c r="BK150" s="49"/>
      <c r="BL150" s="49"/>
      <c r="BM150" s="50" t="str">
        <v/>
      </c>
      <c r="BN150" s="49">
        <v>0</v>
      </c>
      <c r="BO150" s="49"/>
      <c r="BP150" s="49">
        <v>0</v>
      </c>
      <c r="BQ150" s="49"/>
      <c r="BR150" s="50" t="str">
        <v/>
      </c>
      <c r="BS150" s="49">
        <v>0</v>
      </c>
      <c r="BT150" s="49"/>
      <c r="BU150" s="49">
        <v>0</v>
      </c>
      <c r="BV150" s="49"/>
      <c r="BW150" s="49" t="str">
        <v/>
      </c>
      <c r="BX150" s="49">
        <v>0</v>
      </c>
      <c r="CA150" s="49"/>
      <c r="CB150" s="49"/>
      <c r="CC150" s="49"/>
      <c r="CD150" s="49"/>
      <c r="CE150" s="49" t="str">
        <v/>
      </c>
      <c r="CF150" s="49">
        <v>0</v>
      </c>
      <c r="CG150" s="49"/>
      <c r="CH150" s="49">
        <v>0</v>
      </c>
      <c r="CI150" s="49"/>
      <c r="CJ150" s="49" t="str">
        <v/>
      </c>
      <c r="CK150" s="49">
        <v>0</v>
      </c>
      <c r="CL150" s="49"/>
      <c r="CM150" s="49">
        <v>0</v>
      </c>
      <c r="CN150" s="49"/>
      <c r="CO150" s="49" t="str">
        <v/>
      </c>
      <c r="CP150" s="49">
        <v>0</v>
      </c>
      <c r="CQ150" s="49"/>
      <c r="CR150" s="49">
        <v>0</v>
      </c>
      <c r="CS150" s="49"/>
      <c r="CT150" s="49" t="str">
        <v/>
      </c>
      <c r="CU150" s="49">
        <v>0</v>
      </c>
      <c r="CV150" s="49"/>
      <c r="CW150" s="49">
        <v>0</v>
      </c>
      <c r="CX150" s="49"/>
      <c r="CY150" s="49" t="str">
        <v/>
      </c>
      <c r="CZ150" s="49">
        <v>0</v>
      </c>
      <c r="DA150" s="49"/>
      <c r="DB150" s="49">
        <v>0</v>
      </c>
      <c r="DC150" s="49"/>
      <c r="DD150" s="49" t="str">
        <v/>
      </c>
      <c r="DE150" s="49"/>
      <c r="DF150" s="49"/>
      <c r="DG150" s="49"/>
      <c r="DH150" s="49"/>
    </row>
    <row r="151" spans="1:112" ht="15.5" hidden="1">
      <c r="A151" s="177"/>
      <c r="B151" s="178"/>
      <c r="C151" s="179"/>
      <c r="D151" s="179"/>
      <c r="E151" s="179"/>
      <c r="F151" s="179"/>
      <c r="G151" s="180"/>
      <c r="H151" s="180"/>
      <c r="I151" s="180"/>
      <c r="J151" s="179"/>
      <c r="K151" s="179"/>
      <c r="L151" s="180"/>
      <c r="M151" s="181"/>
      <c r="N151" s="182"/>
      <c r="O151" s="182"/>
      <c r="P151" s="182"/>
      <c r="Q151" s="182"/>
      <c r="R151" s="182"/>
      <c r="S151" s="182"/>
      <c r="T151" s="183"/>
      <c r="U151" s="181"/>
      <c r="V151" s="181"/>
      <c r="W151" s="181"/>
      <c r="X151" s="183"/>
      <c r="Y151" s="184"/>
      <c r="Z151" s="184"/>
      <c r="AA151" s="184"/>
      <c r="AB151" s="184"/>
      <c r="AC151" s="184"/>
      <c r="AD151" s="185"/>
      <c r="AE151" s="45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>
        <f ca="1"/>
        <v>0</v>
      </c>
      <c r="AZ151" s="49"/>
      <c r="BA151" s="49">
        <f ca="1"/>
        <v>0</v>
      </c>
      <c r="BB151" s="49"/>
      <c r="BC151" s="49">
        <f ca="1"/>
        <v>0</v>
      </c>
      <c r="BD151" s="49">
        <f ca="1"/>
        <v>0</v>
      </c>
      <c r="BE151" s="49">
        <f ca="1"/>
        <v>0</v>
      </c>
      <c r="BF151" s="49">
        <f ca="1"/>
        <v>0</v>
      </c>
      <c r="BG151" s="49">
        <f ca="1"/>
        <v>0</v>
      </c>
      <c r="BH151" s="49">
        <f ca="1"/>
        <v>0</v>
      </c>
      <c r="BI151" s="49"/>
      <c r="BJ151" s="49"/>
      <c r="BK151" s="49"/>
      <c r="BL151" s="49"/>
      <c r="BM151" s="50" t="str">
        <v/>
      </c>
      <c r="BN151" s="49">
        <v>0</v>
      </c>
      <c r="BO151" s="49"/>
      <c r="BP151" s="49">
        <v>0</v>
      </c>
      <c r="BQ151" s="49"/>
      <c r="BR151" s="50" t="str">
        <v/>
      </c>
      <c r="BS151" s="49">
        <v>0</v>
      </c>
      <c r="BT151" s="49"/>
      <c r="BU151" s="49">
        <v>0</v>
      </c>
      <c r="BV151" s="49"/>
      <c r="BW151" s="49" t="str">
        <v/>
      </c>
      <c r="BX151" s="49">
        <v>0</v>
      </c>
      <c r="CA151" s="49"/>
      <c r="CB151" s="49"/>
      <c r="CC151" s="49"/>
      <c r="CD151" s="49"/>
      <c r="CE151" s="49" t="str">
        <v/>
      </c>
      <c r="CF151" s="49">
        <v>0</v>
      </c>
      <c r="CG151" s="49"/>
      <c r="CH151" s="49">
        <v>0</v>
      </c>
      <c r="CI151" s="49"/>
      <c r="CJ151" s="49" t="str">
        <v/>
      </c>
      <c r="CK151" s="49">
        <v>0</v>
      </c>
      <c r="CL151" s="49"/>
      <c r="CM151" s="49">
        <v>0</v>
      </c>
      <c r="CN151" s="49"/>
      <c r="CO151" s="49" t="str">
        <v/>
      </c>
      <c r="CP151" s="49">
        <v>0</v>
      </c>
      <c r="CQ151" s="49"/>
      <c r="CR151" s="49">
        <v>0</v>
      </c>
      <c r="CS151" s="49"/>
      <c r="CT151" s="49" t="str">
        <v/>
      </c>
      <c r="CU151" s="49">
        <v>0</v>
      </c>
      <c r="CV151" s="49"/>
      <c r="CW151" s="49">
        <v>0</v>
      </c>
      <c r="CX151" s="49"/>
      <c r="CY151" s="49" t="str">
        <v/>
      </c>
      <c r="CZ151" s="49">
        <v>0</v>
      </c>
      <c r="DA151" s="49"/>
      <c r="DB151" s="49">
        <v>0</v>
      </c>
      <c r="DC151" s="49"/>
      <c r="DD151" s="49" t="str">
        <v/>
      </c>
      <c r="DE151" s="49"/>
      <c r="DF151" s="49"/>
      <c r="DG151" s="49"/>
      <c r="DH151" s="49"/>
    </row>
    <row r="152" spans="1:112" ht="10.5" hidden="1" customHeight="1">
      <c r="A152" s="177"/>
      <c r="B152" s="178"/>
      <c r="C152" s="179"/>
      <c r="D152" s="179"/>
      <c r="E152" s="179"/>
      <c r="F152" s="179"/>
      <c r="G152" s="180"/>
      <c r="H152" s="180"/>
      <c r="I152" s="180"/>
      <c r="J152" s="179"/>
      <c r="K152" s="179"/>
      <c r="L152" s="180"/>
      <c r="M152" s="181"/>
      <c r="N152" s="182"/>
      <c r="O152" s="182"/>
      <c r="P152" s="182"/>
      <c r="Q152" s="182"/>
      <c r="R152" s="182"/>
      <c r="S152" s="182"/>
      <c r="T152" s="183"/>
      <c r="U152" s="181"/>
      <c r="V152" s="181"/>
      <c r="W152" s="181"/>
      <c r="X152" s="183"/>
      <c r="Y152" s="184"/>
      <c r="Z152" s="184"/>
      <c r="AA152" s="184"/>
      <c r="AB152" s="184"/>
      <c r="AC152" s="184"/>
      <c r="AD152" s="185"/>
      <c r="AE152" s="45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>
        <f ca="1"/>
        <v>0</v>
      </c>
      <c r="AZ152" s="49"/>
      <c r="BA152" s="49">
        <f ca="1"/>
        <v>0</v>
      </c>
      <c r="BB152" s="49"/>
      <c r="BC152" s="49">
        <f ca="1"/>
        <v>0</v>
      </c>
      <c r="BD152" s="49">
        <f ca="1"/>
        <v>0</v>
      </c>
      <c r="BE152" s="49">
        <f ca="1"/>
        <v>0</v>
      </c>
      <c r="BF152" s="49">
        <f ca="1"/>
        <v>0</v>
      </c>
      <c r="BG152" s="49">
        <f ca="1"/>
        <v>0</v>
      </c>
      <c r="BH152" s="49">
        <f ca="1"/>
        <v>0</v>
      </c>
      <c r="BI152" s="49"/>
      <c r="BJ152" s="49"/>
      <c r="BK152" s="49"/>
      <c r="BL152" s="49"/>
      <c r="BM152" s="50" t="str">
        <v/>
      </c>
      <c r="BN152" s="49">
        <v>0</v>
      </c>
      <c r="BO152" s="49"/>
      <c r="BP152" s="49">
        <v>0</v>
      </c>
      <c r="BQ152" s="49"/>
      <c r="BR152" s="50" t="str">
        <v/>
      </c>
      <c r="BS152" s="49">
        <v>0</v>
      </c>
      <c r="BT152" s="49"/>
      <c r="BU152" s="49">
        <v>0</v>
      </c>
      <c r="BV152" s="49"/>
      <c r="BW152" s="49" t="str">
        <v/>
      </c>
      <c r="BX152" s="49">
        <v>0</v>
      </c>
      <c r="CA152" s="49"/>
      <c r="CB152" s="49"/>
      <c r="CC152" s="49"/>
      <c r="CD152" s="49"/>
      <c r="CE152" s="49" t="str">
        <v/>
      </c>
      <c r="CF152" s="49">
        <v>0</v>
      </c>
      <c r="CG152" s="49"/>
      <c r="CH152" s="49">
        <v>0</v>
      </c>
      <c r="CI152" s="49"/>
      <c r="CJ152" s="49" t="str">
        <v/>
      </c>
      <c r="CK152" s="49">
        <v>0</v>
      </c>
      <c r="CL152" s="49"/>
      <c r="CM152" s="49">
        <v>0</v>
      </c>
      <c r="CN152" s="49"/>
      <c r="CO152" s="49" t="str">
        <v/>
      </c>
      <c r="CP152" s="49">
        <v>0</v>
      </c>
      <c r="CQ152" s="49"/>
      <c r="CR152" s="49">
        <v>0</v>
      </c>
      <c r="CS152" s="49"/>
      <c r="CT152" s="49" t="str">
        <v/>
      </c>
      <c r="CU152" s="49">
        <v>0</v>
      </c>
      <c r="CV152" s="49"/>
      <c r="CW152" s="49">
        <v>0</v>
      </c>
      <c r="CX152" s="49"/>
      <c r="CY152" s="49" t="str">
        <v/>
      </c>
      <c r="CZ152" s="49">
        <v>0</v>
      </c>
      <c r="DA152" s="49"/>
      <c r="DB152" s="49">
        <v>0</v>
      </c>
      <c r="DC152" s="49"/>
      <c r="DD152" s="49" t="str">
        <v/>
      </c>
      <c r="DE152" s="49"/>
      <c r="DF152" s="49"/>
      <c r="DG152" s="49"/>
      <c r="DH152" s="49"/>
    </row>
    <row r="153" spans="1:112" ht="15.5">
      <c r="A153" s="177"/>
      <c r="B153" s="330" t="str">
        <f ca="1">IFERROR(__xludf.DUMMYFUNCTION("IMPORTRANGE('Пр.взв'!N1,""Реквизиты!A5"")"),"Гл.судья, судья ВК")</f>
        <v>Гл.судья, судья ВК</v>
      </c>
      <c r="C153" s="264"/>
      <c r="D153" s="179"/>
      <c r="E153" s="186"/>
      <c r="F153" s="186"/>
      <c r="G153" s="187"/>
      <c r="H153" s="187"/>
      <c r="I153" s="187"/>
      <c r="J153" s="186"/>
      <c r="K153" s="186"/>
      <c r="L153" s="187"/>
      <c r="M153" s="188"/>
      <c r="N153" s="360" t="str">
        <f ca="1">IFERROR(__xludf.DUMMYFUNCTION("IMPORTRANGE('Пр.взв'!N1,""Реквизиты!C6"")"),"Редин Д.А.")</f>
        <v>Редин Д.А.</v>
      </c>
      <c r="O153" s="264"/>
      <c r="P153" s="264"/>
      <c r="Q153" s="264"/>
      <c r="R153" s="264"/>
      <c r="S153" s="264"/>
      <c r="T153" s="183"/>
      <c r="U153" s="181"/>
      <c r="V153" s="181"/>
      <c r="W153" s="181"/>
      <c r="X153" s="183"/>
      <c r="Y153" s="361" t="str">
        <f ca="1">IFERROR(__xludf.DUMMYFUNCTION("IMPORTRANGE('Пр.взв'!N1,""Реквизиты!B7"")"),"/ Хабаровский кр. /")</f>
        <v>/ Хабаровский кр. /</v>
      </c>
      <c r="Z153" s="264"/>
      <c r="AA153" s="264"/>
      <c r="AB153" s="264"/>
      <c r="AC153" s="264"/>
      <c r="AD153" s="264"/>
      <c r="AE153" s="45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>
        <f ca="1"/>
        <v>0</v>
      </c>
      <c r="AZ153" s="49"/>
      <c r="BA153" s="49">
        <f ca="1"/>
        <v>0</v>
      </c>
      <c r="BB153" s="49"/>
      <c r="BC153" s="49">
        <f ca="1"/>
        <v>0</v>
      </c>
      <c r="BD153" s="49">
        <f ca="1"/>
        <v>0</v>
      </c>
      <c r="BE153" s="49">
        <f ca="1"/>
        <v>0</v>
      </c>
      <c r="BF153" s="49">
        <f ca="1"/>
        <v>0</v>
      </c>
      <c r="BG153" s="49">
        <f ca="1"/>
        <v>0</v>
      </c>
      <c r="BH153" s="49">
        <f ca="1"/>
        <v>0</v>
      </c>
      <c r="BI153" s="49"/>
      <c r="BJ153" s="49"/>
      <c r="BK153" s="49"/>
      <c r="BL153" s="49"/>
      <c r="BM153" s="50" t="str">
        <f ca="1"/>
        <v>Гл.судья, судья ВК</v>
      </c>
      <c r="BN153" s="49">
        <f ca="1"/>
        <v>0</v>
      </c>
      <c r="BO153" s="49"/>
      <c r="BP153" s="49">
        <v>0</v>
      </c>
      <c r="BQ153" s="49"/>
      <c r="BR153" s="50" t="str">
        <f ca="1"/>
        <v/>
      </c>
      <c r="BS153" s="49">
        <f ca="1"/>
        <v>0</v>
      </c>
      <c r="BT153" s="49"/>
      <c r="BU153" s="49">
        <v>0</v>
      </c>
      <c r="BV153" s="49"/>
      <c r="BW153" s="49" t="str">
        <f ca="1"/>
        <v/>
      </c>
      <c r="BX153" s="49">
        <f ca="1"/>
        <v>0</v>
      </c>
      <c r="CA153" s="49"/>
      <c r="CB153" s="49"/>
      <c r="CC153" s="49"/>
      <c r="CD153" s="49"/>
      <c r="CE153" s="49" t="str">
        <f ca="1"/>
        <v>Гл.судья, судья ВК</v>
      </c>
      <c r="CF153" s="49">
        <f ca="1"/>
        <v>0</v>
      </c>
      <c r="CG153" s="49"/>
      <c r="CH153" s="49">
        <v>0</v>
      </c>
      <c r="CI153" s="49"/>
      <c r="CJ153" s="49" t="str">
        <f ca="1"/>
        <v>Гл.судья, судья ВК</v>
      </c>
      <c r="CK153" s="49" t="str">
        <f ca="1"/>
        <v>Редин Д.А.</v>
      </c>
      <c r="CL153" s="49"/>
      <c r="CM153" s="49">
        <v>0</v>
      </c>
      <c r="CN153" s="49"/>
      <c r="CO153" s="49" t="str">
        <f ca="1"/>
        <v>Гл.судья, судья ВК</v>
      </c>
      <c r="CP153" s="49">
        <f ca="1"/>
        <v>0</v>
      </c>
      <c r="CQ153" s="49"/>
      <c r="CR153" s="49">
        <v>0</v>
      </c>
      <c r="CS153" s="49"/>
      <c r="CT153" s="49" t="str">
        <f ca="1"/>
        <v>Гл.судья, судья ВК</v>
      </c>
      <c r="CU153" s="49">
        <f ca="1"/>
        <v>0</v>
      </c>
      <c r="CV153" s="49"/>
      <c r="CW153" s="49">
        <v>0</v>
      </c>
      <c r="CX153" s="49"/>
      <c r="CY153" s="49" t="str">
        <f ca="1"/>
        <v>Гл.судья, судья ВК</v>
      </c>
      <c r="CZ153" s="49">
        <f ca="1"/>
        <v>0</v>
      </c>
      <c r="DA153" s="49"/>
      <c r="DB153" s="49">
        <v>0</v>
      </c>
      <c r="DC153" s="49"/>
      <c r="DD153" s="49" t="str">
        <f ca="1"/>
        <v>Гл.судья, судья ВК</v>
      </c>
      <c r="DE153" s="49"/>
      <c r="DF153" s="49"/>
      <c r="DG153" s="49"/>
      <c r="DH153" s="49"/>
    </row>
    <row r="154" spans="1:112" ht="19.5" customHeight="1">
      <c r="A154" s="54"/>
      <c r="B154" s="330" t="str">
        <f ca="1">IFERROR(__xludf.DUMMYFUNCTION("IMPORTRANGE('Пр.взв'!N1,""Реквизиты!A9"")"),"Гл.секретарь, судья ВК")</f>
        <v>Гл.секретарь, судья ВК</v>
      </c>
      <c r="C154" s="264"/>
      <c r="D154" s="189"/>
      <c r="E154" s="190"/>
      <c r="F154" s="191"/>
      <c r="G154" s="192"/>
      <c r="H154" s="192"/>
      <c r="I154" s="192"/>
      <c r="J154" s="192"/>
      <c r="K154" s="192"/>
      <c r="L154" s="192"/>
      <c r="M154" s="192"/>
      <c r="N154" s="362" t="str">
        <f ca="1">IFERROR(__xludf.DUMMYFUNCTION("IMPORTRANGE('Пр.взв'!N1,""Реквизиты!C10"")"),"Мордовин С.Н.")</f>
        <v>Мордовин С.Н.</v>
      </c>
      <c r="O154" s="264"/>
      <c r="P154" s="264"/>
      <c r="Q154" s="264"/>
      <c r="R154" s="264"/>
      <c r="S154" s="264"/>
      <c r="T154" s="193"/>
      <c r="U154" s="194"/>
      <c r="V154" s="194"/>
      <c r="W154" s="194"/>
      <c r="X154" s="193"/>
      <c r="Y154" s="361" t="str">
        <f ca="1">IFERROR(__xludf.DUMMYFUNCTION("IMPORTRANGE('Пр.взв'!N1,""Реквизиты!B11"")"),"/ Р.Алтай /")</f>
        <v>/ Р.Алтай /</v>
      </c>
      <c r="Z154" s="264"/>
      <c r="AA154" s="264"/>
      <c r="AB154" s="264"/>
      <c r="AC154" s="264"/>
      <c r="AD154" s="264"/>
      <c r="AE154" s="45"/>
      <c r="AF154" s="330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>
        <f ca="1"/>
        <v>0</v>
      </c>
      <c r="AZ154" s="49"/>
      <c r="BA154" s="49">
        <f ca="1"/>
        <v>0</v>
      </c>
      <c r="BB154" s="49"/>
      <c r="BC154" s="49">
        <f ca="1"/>
        <v>0</v>
      </c>
      <c r="BD154" s="49">
        <f ca="1"/>
        <v>0</v>
      </c>
      <c r="BE154" s="49">
        <f ca="1"/>
        <v>0</v>
      </c>
      <c r="BF154" s="49">
        <f ca="1"/>
        <v>0</v>
      </c>
      <c r="BG154" s="49">
        <f ca="1"/>
        <v>0</v>
      </c>
      <c r="BH154" s="49">
        <f ca="1"/>
        <v>0</v>
      </c>
      <c r="BI154" s="49"/>
      <c r="BJ154" s="49"/>
      <c r="BK154" s="49"/>
      <c r="BL154" s="49"/>
      <c r="BM154" s="50" t="str">
        <f ca="1"/>
        <v>Гл.секретарь, судья ВК</v>
      </c>
      <c r="BN154" s="49">
        <f ca="1"/>
        <v>0</v>
      </c>
      <c r="BO154" s="49"/>
      <c r="BP154" s="49">
        <v>0</v>
      </c>
      <c r="BQ154" s="49"/>
      <c r="BR154" s="50" t="str">
        <f ca="1"/>
        <v/>
      </c>
      <c r="BS154" s="49">
        <f ca="1"/>
        <v>0</v>
      </c>
      <c r="BT154" s="49"/>
      <c r="BU154" s="49">
        <v>0</v>
      </c>
      <c r="BV154" s="49"/>
      <c r="BW154" s="49" t="str">
        <f ca="1"/>
        <v/>
      </c>
      <c r="BX154" s="49">
        <f ca="1"/>
        <v>0</v>
      </c>
      <c r="CA154" s="49"/>
      <c r="CB154" s="49"/>
      <c r="CC154" s="49"/>
      <c r="CD154" s="49"/>
      <c r="CE154" s="49" t="str">
        <f ca="1"/>
        <v>Гл.секретарь, судья ВК</v>
      </c>
      <c r="CF154" s="49">
        <f ca="1"/>
        <v>0</v>
      </c>
      <c r="CG154" s="49"/>
      <c r="CH154" s="49">
        <v>0</v>
      </c>
      <c r="CI154" s="49"/>
      <c r="CJ154" s="49" t="str">
        <f ca="1"/>
        <v>Гл.секретарь, судья ВК</v>
      </c>
      <c r="CK154" s="49" t="str">
        <f ca="1"/>
        <v>Мордовин С.Н.</v>
      </c>
      <c r="CL154" s="49"/>
      <c r="CM154" s="49">
        <v>0</v>
      </c>
      <c r="CN154" s="49"/>
      <c r="CO154" s="49" t="str">
        <f ca="1"/>
        <v>Гл.секретарь, судья ВК</v>
      </c>
      <c r="CP154" s="49">
        <f ca="1"/>
        <v>0</v>
      </c>
      <c r="CQ154" s="49"/>
      <c r="CR154" s="49">
        <v>0</v>
      </c>
      <c r="CS154" s="49"/>
      <c r="CT154" s="49" t="str">
        <f ca="1"/>
        <v>Гл.секретарь, судья ВК</v>
      </c>
      <c r="CU154" s="49">
        <f ca="1"/>
        <v>0</v>
      </c>
      <c r="CV154" s="49"/>
      <c r="CW154" s="49">
        <v>0</v>
      </c>
      <c r="CX154" s="49"/>
      <c r="CY154" s="49" t="str">
        <f ca="1"/>
        <v>Гл.секретарь, судья ВК</v>
      </c>
      <c r="CZ154" s="49">
        <f ca="1"/>
        <v>0</v>
      </c>
      <c r="DA154" s="49"/>
      <c r="DB154" s="49">
        <v>0</v>
      </c>
      <c r="DC154" s="49"/>
      <c r="DD154" s="49" t="str">
        <f ca="1"/>
        <v>Гл.секретарь, судья ВК</v>
      </c>
      <c r="DE154" s="49"/>
      <c r="DF154" s="49"/>
      <c r="DG154" s="49"/>
      <c r="DH154" s="49"/>
    </row>
    <row r="155" spans="1:112" ht="15.5">
      <c r="D155" s="195"/>
      <c r="F155" s="196"/>
      <c r="AD155" s="197"/>
      <c r="AE155" s="198"/>
      <c r="AF155" s="264"/>
      <c r="AY155" s="166">
        <f ca="1"/>
        <v>0</v>
      </c>
      <c r="BA155" s="166">
        <f ca="1"/>
        <v>0</v>
      </c>
      <c r="BC155" s="166">
        <f ca="1"/>
        <v>0</v>
      </c>
      <c r="BD155" s="166">
        <f ca="1"/>
        <v>0</v>
      </c>
      <c r="BE155" s="166">
        <f ca="1"/>
        <v>0</v>
      </c>
      <c r="BF155" s="166">
        <f ca="1"/>
        <v>0</v>
      </c>
      <c r="BG155" s="166">
        <f ca="1"/>
        <v>0</v>
      </c>
      <c r="BH155" s="166">
        <f ca="1"/>
        <v>0</v>
      </c>
      <c r="BM155" s="166" t="str">
        <v/>
      </c>
      <c r="BN155" s="166">
        <v>0</v>
      </c>
      <c r="BP155" s="166">
        <v>0</v>
      </c>
      <c r="BR155" s="166" t="str">
        <v/>
      </c>
      <c r="BS155" s="166">
        <v>0</v>
      </c>
      <c r="BU155" s="166">
        <v>0</v>
      </c>
      <c r="BW155" s="166" t="str">
        <v/>
      </c>
      <c r="BX155" s="166">
        <v>0</v>
      </c>
      <c r="CE155" s="166" t="str">
        <v/>
      </c>
      <c r="CF155" s="166">
        <v>0</v>
      </c>
      <c r="CH155" s="166">
        <v>0</v>
      </c>
      <c r="CJ155" s="166" t="str">
        <v/>
      </c>
      <c r="CK155" s="166">
        <v>0</v>
      </c>
      <c r="CM155" s="166">
        <v>0</v>
      </c>
      <c r="CO155" s="166" t="str">
        <v/>
      </c>
      <c r="CP155" s="166">
        <v>0</v>
      </c>
      <c r="CR155" s="166">
        <v>0</v>
      </c>
      <c r="CT155" s="166" t="str">
        <v/>
      </c>
      <c r="CU155" s="166">
        <v>0</v>
      </c>
      <c r="CW155" s="166">
        <v>0</v>
      </c>
      <c r="CY155" s="166" t="str">
        <v/>
      </c>
      <c r="CZ155" s="166">
        <v>0</v>
      </c>
      <c r="DB155" s="166">
        <v>0</v>
      </c>
      <c r="DD155" s="166" t="str">
        <v/>
      </c>
    </row>
    <row r="156" spans="1:112" ht="14">
      <c r="D156" s="195"/>
      <c r="AD156" s="197"/>
      <c r="AE156" s="198"/>
      <c r="AF156" s="264"/>
      <c r="AY156" s="166">
        <f ca="1"/>
        <v>0</v>
      </c>
      <c r="BA156" s="166">
        <f ca="1"/>
        <v>0</v>
      </c>
      <c r="BC156" s="166">
        <f ca="1"/>
        <v>0</v>
      </c>
      <c r="BD156" s="166">
        <f ca="1"/>
        <v>0</v>
      </c>
      <c r="BE156" s="166">
        <f ca="1"/>
        <v>0</v>
      </c>
      <c r="BF156" s="166">
        <f ca="1"/>
        <v>0</v>
      </c>
      <c r="BG156" s="166">
        <f ca="1"/>
        <v>0</v>
      </c>
      <c r="BH156" s="166">
        <f ca="1"/>
        <v>0</v>
      </c>
      <c r="BM156" s="166" t="str">
        <v/>
      </c>
      <c r="BN156" s="166">
        <v>0</v>
      </c>
      <c r="BP156" s="166">
        <v>0</v>
      </c>
      <c r="BR156" s="166" t="str">
        <v/>
      </c>
      <c r="BS156" s="166">
        <v>0</v>
      </c>
      <c r="BU156" s="166">
        <v>0</v>
      </c>
      <c r="BW156" s="166" t="str">
        <v/>
      </c>
      <c r="BX156" s="166">
        <v>0</v>
      </c>
      <c r="CE156" s="166" t="str">
        <v/>
      </c>
      <c r="CF156" s="166">
        <v>0</v>
      </c>
      <c r="CH156" s="166">
        <v>0</v>
      </c>
      <c r="CJ156" s="166" t="str">
        <v/>
      </c>
      <c r="CK156" s="166">
        <v>0</v>
      </c>
      <c r="CM156" s="166">
        <v>0</v>
      </c>
      <c r="CO156" s="166" t="str">
        <v/>
      </c>
      <c r="CP156" s="166">
        <v>0</v>
      </c>
      <c r="CR156" s="166">
        <v>0</v>
      </c>
      <c r="CT156" s="166" t="str">
        <v/>
      </c>
      <c r="CU156" s="166">
        <v>0</v>
      </c>
      <c r="CW156" s="166">
        <v>0</v>
      </c>
      <c r="CY156" s="166" t="str">
        <v/>
      </c>
      <c r="CZ156" s="166">
        <v>0</v>
      </c>
      <c r="DB156" s="166">
        <v>0</v>
      </c>
      <c r="DD156" s="166" t="str">
        <v/>
      </c>
    </row>
    <row r="157" spans="1:112" ht="14">
      <c r="D157" s="195"/>
      <c r="AD157" s="197"/>
      <c r="AE157" s="198"/>
      <c r="AF157" s="264"/>
      <c r="AY157" s="166">
        <f ca="1"/>
        <v>0</v>
      </c>
      <c r="BA157" s="166">
        <f ca="1"/>
        <v>0</v>
      </c>
      <c r="BC157" s="166">
        <f ca="1"/>
        <v>0</v>
      </c>
      <c r="BD157" s="166">
        <f ca="1"/>
        <v>0</v>
      </c>
      <c r="BE157" s="166">
        <f ca="1"/>
        <v>0</v>
      </c>
      <c r="BF157" s="166">
        <f ca="1"/>
        <v>0</v>
      </c>
      <c r="BG157" s="166">
        <f ca="1"/>
        <v>0</v>
      </c>
      <c r="BH157" s="166">
        <f ca="1"/>
        <v>0</v>
      </c>
      <c r="BM157" s="166" t="str">
        <v/>
      </c>
      <c r="BN157" s="166">
        <v>0</v>
      </c>
      <c r="BP157" s="166">
        <v>0</v>
      </c>
      <c r="BR157" s="166" t="str">
        <v/>
      </c>
      <c r="BS157" s="166">
        <v>0</v>
      </c>
      <c r="BU157" s="166">
        <v>0</v>
      </c>
      <c r="BW157" s="166" t="str">
        <v/>
      </c>
      <c r="BX157" s="166">
        <v>0</v>
      </c>
      <c r="CE157" s="166" t="str">
        <v/>
      </c>
      <c r="CF157" s="166">
        <v>0</v>
      </c>
      <c r="CH157" s="166">
        <v>0</v>
      </c>
      <c r="CJ157" s="166" t="str">
        <v/>
      </c>
      <c r="CK157" s="166">
        <v>0</v>
      </c>
      <c r="CM157" s="166">
        <v>0</v>
      </c>
      <c r="CO157" s="166" t="str">
        <v/>
      </c>
      <c r="CP157" s="166">
        <v>0</v>
      </c>
      <c r="CR157" s="166">
        <v>0</v>
      </c>
      <c r="CT157" s="166" t="str">
        <v/>
      </c>
      <c r="CU157" s="166">
        <v>0</v>
      </c>
      <c r="CW157" s="166">
        <v>0</v>
      </c>
      <c r="CY157" s="166" t="str">
        <v/>
      </c>
      <c r="CZ157" s="166">
        <v>0</v>
      </c>
      <c r="DB157" s="166">
        <v>0</v>
      </c>
      <c r="DD157" s="166" t="str">
        <v/>
      </c>
    </row>
    <row r="158" spans="1:112" ht="14">
      <c r="D158" s="195"/>
      <c r="AD158" s="197"/>
      <c r="AE158" s="198"/>
      <c r="AY158" s="166">
        <f ca="1"/>
        <v>0</v>
      </c>
      <c r="BA158" s="166">
        <f ca="1"/>
        <v>0</v>
      </c>
      <c r="BC158" s="166">
        <f ca="1"/>
        <v>0</v>
      </c>
      <c r="BD158" s="166">
        <f ca="1"/>
        <v>0</v>
      </c>
      <c r="BE158" s="166">
        <f ca="1"/>
        <v>0</v>
      </c>
      <c r="BF158" s="166">
        <f ca="1"/>
        <v>0</v>
      </c>
      <c r="BG158" s="166">
        <f ca="1"/>
        <v>0</v>
      </c>
      <c r="BH158" s="166">
        <f ca="1"/>
        <v>0</v>
      </c>
      <c r="BM158" s="166" t="str">
        <v/>
      </c>
      <c r="BN158" s="166">
        <v>0</v>
      </c>
      <c r="BP158" s="166">
        <v>0</v>
      </c>
      <c r="BR158" s="166" t="str">
        <v/>
      </c>
      <c r="BS158" s="166">
        <v>0</v>
      </c>
      <c r="BU158" s="166">
        <v>0</v>
      </c>
      <c r="BW158" s="166" t="str">
        <v/>
      </c>
      <c r="BX158" s="166">
        <v>0</v>
      </c>
      <c r="CE158" s="166" t="str">
        <v/>
      </c>
      <c r="CF158" s="166">
        <v>0</v>
      </c>
      <c r="CH158" s="166">
        <v>0</v>
      </c>
      <c r="CJ158" s="166" t="str">
        <v/>
      </c>
      <c r="CK158" s="166">
        <v>0</v>
      </c>
      <c r="CM158" s="166">
        <v>0</v>
      </c>
      <c r="CO158" s="166" t="str">
        <v/>
      </c>
      <c r="CP158" s="166">
        <v>0</v>
      </c>
      <c r="CR158" s="166">
        <v>0</v>
      </c>
      <c r="CT158" s="166" t="str">
        <v/>
      </c>
      <c r="CU158" s="166">
        <v>0</v>
      </c>
      <c r="CW158" s="166">
        <v>0</v>
      </c>
      <c r="CY158" s="166" t="str">
        <v/>
      </c>
      <c r="CZ158" s="166">
        <v>0</v>
      </c>
      <c r="DB158" s="166">
        <v>0</v>
      </c>
      <c r="DD158" s="166" t="str">
        <v/>
      </c>
    </row>
    <row r="159" spans="1:112" ht="14">
      <c r="D159" s="195"/>
      <c r="AD159" s="197"/>
      <c r="AE159" s="198"/>
      <c r="AY159" s="166">
        <f ca="1"/>
        <v>0</v>
      </c>
      <c r="BA159" s="166">
        <f ca="1"/>
        <v>0</v>
      </c>
      <c r="BC159" s="166">
        <f ca="1"/>
        <v>0</v>
      </c>
      <c r="BD159" s="166">
        <f ca="1"/>
        <v>0</v>
      </c>
      <c r="BE159" s="166">
        <f ca="1"/>
        <v>0</v>
      </c>
      <c r="BF159" s="166">
        <f ca="1"/>
        <v>0</v>
      </c>
      <c r="BG159" s="166">
        <f ca="1"/>
        <v>0</v>
      </c>
      <c r="BH159" s="166">
        <f ca="1"/>
        <v>0</v>
      </c>
      <c r="BM159" s="166" t="str">
        <v/>
      </c>
      <c r="BN159" s="166">
        <v>0</v>
      </c>
      <c r="BP159" s="166">
        <v>0</v>
      </c>
      <c r="BR159" s="166" t="str">
        <v/>
      </c>
      <c r="BS159" s="166">
        <v>0</v>
      </c>
      <c r="BU159" s="166">
        <v>0</v>
      </c>
      <c r="BW159" s="166" t="str">
        <v/>
      </c>
      <c r="BX159" s="166">
        <v>0</v>
      </c>
      <c r="CE159" s="166" t="str">
        <v/>
      </c>
      <c r="CF159" s="166">
        <v>0</v>
      </c>
      <c r="CH159" s="166">
        <v>0</v>
      </c>
      <c r="CJ159" s="166" t="str">
        <v/>
      </c>
      <c r="CK159" s="166">
        <v>0</v>
      </c>
      <c r="CM159" s="166">
        <v>0</v>
      </c>
      <c r="CO159" s="166" t="str">
        <v/>
      </c>
      <c r="CP159" s="166">
        <v>0</v>
      </c>
      <c r="CR159" s="166">
        <v>0</v>
      </c>
      <c r="CT159" s="166" t="str">
        <v/>
      </c>
      <c r="CU159" s="166">
        <v>0</v>
      </c>
      <c r="CW159" s="166">
        <v>0</v>
      </c>
      <c r="CY159" s="166" t="str">
        <v/>
      </c>
      <c r="CZ159" s="166">
        <v>0</v>
      </c>
      <c r="DB159" s="166">
        <v>0</v>
      </c>
      <c r="DD159" s="166" t="str">
        <v/>
      </c>
    </row>
    <row r="160" spans="1:112" ht="14">
      <c r="D160" s="195"/>
      <c r="AD160" s="197"/>
      <c r="AE160" s="198"/>
      <c r="AY160" s="166">
        <f ca="1"/>
        <v>0</v>
      </c>
      <c r="BA160" s="166">
        <f ca="1"/>
        <v>0</v>
      </c>
      <c r="BC160" s="166">
        <f ca="1"/>
        <v>0</v>
      </c>
      <c r="BD160" s="166">
        <f ca="1"/>
        <v>0</v>
      </c>
      <c r="BE160" s="166">
        <f ca="1"/>
        <v>0</v>
      </c>
      <c r="BF160" s="166">
        <f ca="1"/>
        <v>0</v>
      </c>
      <c r="BG160" s="166">
        <f ca="1"/>
        <v>0</v>
      </c>
      <c r="BH160" s="166">
        <f ca="1"/>
        <v>0</v>
      </c>
      <c r="BM160" s="166" t="str">
        <v/>
      </c>
      <c r="BN160" s="166">
        <v>0</v>
      </c>
      <c r="BP160" s="166">
        <v>0</v>
      </c>
      <c r="BR160" s="166" t="str">
        <v/>
      </c>
      <c r="BS160" s="166">
        <v>0</v>
      </c>
      <c r="BU160" s="166">
        <v>0</v>
      </c>
      <c r="BW160" s="166" t="str">
        <v/>
      </c>
      <c r="BX160" s="166">
        <v>0</v>
      </c>
      <c r="CE160" s="166" t="str">
        <v/>
      </c>
      <c r="CF160" s="166">
        <v>0</v>
      </c>
      <c r="CH160" s="166">
        <v>0</v>
      </c>
      <c r="CJ160" s="166" t="str">
        <v/>
      </c>
      <c r="CK160" s="166">
        <v>0</v>
      </c>
      <c r="CM160" s="166">
        <v>0</v>
      </c>
      <c r="CO160" s="166" t="str">
        <v/>
      </c>
      <c r="CP160" s="166">
        <v>0</v>
      </c>
      <c r="CR160" s="166">
        <v>0</v>
      </c>
      <c r="CT160" s="166" t="str">
        <v/>
      </c>
      <c r="CU160" s="166">
        <v>0</v>
      </c>
      <c r="CW160" s="166">
        <v>0</v>
      </c>
      <c r="CY160" s="166" t="str">
        <v/>
      </c>
      <c r="CZ160" s="166">
        <v>0</v>
      </c>
      <c r="DB160" s="166">
        <v>0</v>
      </c>
      <c r="DD160" s="166" t="str">
        <v/>
      </c>
    </row>
    <row r="161" spans="4:108" ht="14">
      <c r="D161" s="195"/>
      <c r="AD161" s="197"/>
      <c r="AE161" s="198"/>
      <c r="AY161" s="166">
        <f ca="1"/>
        <v>0</v>
      </c>
      <c r="BA161" s="166">
        <f ca="1"/>
        <v>0</v>
      </c>
      <c r="BC161" s="166">
        <f ca="1"/>
        <v>0</v>
      </c>
      <c r="BD161" s="166">
        <f ca="1"/>
        <v>0</v>
      </c>
      <c r="BE161" s="166">
        <f ca="1"/>
        <v>0</v>
      </c>
      <c r="BF161" s="166">
        <f ca="1"/>
        <v>0</v>
      </c>
      <c r="BG161" s="166">
        <f ca="1"/>
        <v>0</v>
      </c>
      <c r="BH161" s="166">
        <f ca="1"/>
        <v>0</v>
      </c>
      <c r="BM161" s="166" t="str">
        <v/>
      </c>
      <c r="BN161" s="166">
        <v>0</v>
      </c>
      <c r="BP161" s="166">
        <v>0</v>
      </c>
      <c r="BR161" s="166" t="str">
        <v/>
      </c>
      <c r="BS161" s="166">
        <v>0</v>
      </c>
      <c r="BU161" s="166">
        <v>0</v>
      </c>
      <c r="BW161" s="166" t="str">
        <v/>
      </c>
      <c r="BX161" s="166">
        <v>0</v>
      </c>
      <c r="CE161" s="166" t="str">
        <v/>
      </c>
      <c r="CF161" s="166">
        <v>0</v>
      </c>
      <c r="CH161" s="166">
        <v>0</v>
      </c>
      <c r="CJ161" s="166" t="str">
        <v/>
      </c>
      <c r="CK161" s="166">
        <v>0</v>
      </c>
      <c r="CM161" s="166">
        <v>0</v>
      </c>
      <c r="CO161" s="166" t="str">
        <v/>
      </c>
      <c r="CP161" s="166">
        <v>0</v>
      </c>
      <c r="CR161" s="166">
        <v>0</v>
      </c>
      <c r="CT161" s="166" t="str">
        <v/>
      </c>
      <c r="CU161" s="166">
        <v>0</v>
      </c>
      <c r="CW161" s="166">
        <v>0</v>
      </c>
      <c r="CY161" s="166" t="str">
        <v/>
      </c>
      <c r="CZ161" s="166">
        <v>0</v>
      </c>
      <c r="DB161" s="166">
        <v>0</v>
      </c>
      <c r="DD161" s="166" t="str">
        <v/>
      </c>
    </row>
    <row r="162" spans="4:108" ht="14">
      <c r="D162" s="195"/>
      <c r="AD162" s="197"/>
      <c r="AE162" s="198"/>
      <c r="AY162" s="166">
        <f ca="1"/>
        <v>0</v>
      </c>
      <c r="BA162" s="166">
        <f ca="1"/>
        <v>0</v>
      </c>
      <c r="BC162" s="166">
        <f ca="1"/>
        <v>0</v>
      </c>
      <c r="BD162" s="166">
        <f ca="1"/>
        <v>0</v>
      </c>
      <c r="BE162" s="166">
        <f ca="1"/>
        <v>0</v>
      </c>
      <c r="BF162" s="166">
        <f ca="1"/>
        <v>0</v>
      </c>
      <c r="BG162" s="166">
        <f ca="1"/>
        <v>0</v>
      </c>
      <c r="BH162" s="166">
        <f ca="1"/>
        <v>0</v>
      </c>
      <c r="BM162" s="166" t="str">
        <v/>
      </c>
      <c r="BN162" s="166">
        <v>0</v>
      </c>
      <c r="BP162" s="166">
        <v>0</v>
      </c>
      <c r="BR162" s="166" t="str">
        <v/>
      </c>
      <c r="BS162" s="166">
        <v>0</v>
      </c>
      <c r="BU162" s="166">
        <v>0</v>
      </c>
      <c r="BW162" s="166" t="str">
        <v/>
      </c>
      <c r="BX162" s="166">
        <v>0</v>
      </c>
      <c r="CE162" s="166" t="str">
        <v/>
      </c>
      <c r="CF162" s="166">
        <v>0</v>
      </c>
      <c r="CH162" s="166">
        <v>0</v>
      </c>
      <c r="CJ162" s="166" t="str">
        <v/>
      </c>
      <c r="CK162" s="166">
        <v>0</v>
      </c>
      <c r="CM162" s="166">
        <v>0</v>
      </c>
      <c r="CO162" s="166" t="str">
        <v/>
      </c>
      <c r="CP162" s="166">
        <v>0</v>
      </c>
      <c r="CR162" s="166">
        <v>0</v>
      </c>
      <c r="CT162" s="166" t="str">
        <v/>
      </c>
      <c r="CU162" s="166">
        <v>0</v>
      </c>
      <c r="CW162" s="166">
        <v>0</v>
      </c>
      <c r="CY162" s="166" t="str">
        <v/>
      </c>
      <c r="CZ162" s="166">
        <v>0</v>
      </c>
      <c r="DB162" s="166">
        <v>0</v>
      </c>
      <c r="DD162" s="166" t="str">
        <v/>
      </c>
    </row>
    <row r="163" spans="4:108" ht="14">
      <c r="D163" s="195"/>
      <c r="AD163" s="197"/>
      <c r="AE163" s="198"/>
      <c r="AY163" s="166">
        <f ca="1"/>
        <v>0</v>
      </c>
      <c r="BA163" s="166">
        <f ca="1"/>
        <v>0</v>
      </c>
      <c r="BC163" s="166">
        <f ca="1"/>
        <v>0</v>
      </c>
      <c r="BD163" s="166">
        <f ca="1"/>
        <v>0</v>
      </c>
      <c r="BE163" s="166">
        <f ca="1"/>
        <v>0</v>
      </c>
      <c r="BF163" s="166">
        <f ca="1"/>
        <v>0</v>
      </c>
      <c r="BG163" s="166">
        <f ca="1"/>
        <v>0</v>
      </c>
      <c r="BH163" s="166">
        <f ca="1"/>
        <v>0</v>
      </c>
      <c r="BM163" s="166" t="str">
        <v/>
      </c>
      <c r="BN163" s="166">
        <v>0</v>
      </c>
      <c r="BP163" s="166">
        <v>0</v>
      </c>
      <c r="BR163" s="166" t="str">
        <v/>
      </c>
      <c r="BS163" s="166">
        <v>0</v>
      </c>
      <c r="BU163" s="166">
        <v>0</v>
      </c>
      <c r="BW163" s="166" t="str">
        <v/>
      </c>
      <c r="BX163" s="166">
        <v>0</v>
      </c>
      <c r="CE163" s="166" t="str">
        <v/>
      </c>
      <c r="CF163" s="166">
        <v>0</v>
      </c>
      <c r="CH163" s="166">
        <v>0</v>
      </c>
      <c r="CJ163" s="166" t="str">
        <v/>
      </c>
      <c r="CK163" s="166">
        <v>0</v>
      </c>
      <c r="CM163" s="166">
        <v>0</v>
      </c>
      <c r="CO163" s="166" t="str">
        <v/>
      </c>
      <c r="CP163" s="166">
        <v>0</v>
      </c>
      <c r="CR163" s="166">
        <v>0</v>
      </c>
      <c r="CT163" s="166" t="str">
        <v/>
      </c>
      <c r="CU163" s="166">
        <v>0</v>
      </c>
      <c r="CW163" s="166">
        <v>0</v>
      </c>
      <c r="CY163" s="166" t="str">
        <v/>
      </c>
      <c r="CZ163" s="166">
        <v>0</v>
      </c>
      <c r="DB163" s="166">
        <v>0</v>
      </c>
      <c r="DD163" s="166" t="str">
        <v/>
      </c>
    </row>
    <row r="164" spans="4:108" ht="14">
      <c r="D164" s="195"/>
      <c r="AD164" s="197"/>
      <c r="AE164" s="198"/>
      <c r="AY164" s="166">
        <f ca="1"/>
        <v>0</v>
      </c>
      <c r="BA164" s="166">
        <f ca="1"/>
        <v>0</v>
      </c>
      <c r="BC164" s="166">
        <f ca="1"/>
        <v>0</v>
      </c>
      <c r="BD164" s="166">
        <f ca="1"/>
        <v>0</v>
      </c>
      <c r="BE164" s="166">
        <f ca="1"/>
        <v>0</v>
      </c>
      <c r="BF164" s="166">
        <f ca="1"/>
        <v>0</v>
      </c>
      <c r="BG164" s="166">
        <f ca="1"/>
        <v>0</v>
      </c>
      <c r="BH164" s="166">
        <f ca="1"/>
        <v>0</v>
      </c>
      <c r="BM164" s="166" t="str">
        <v/>
      </c>
      <c r="BN164" s="166">
        <v>0</v>
      </c>
      <c r="BP164" s="166">
        <v>0</v>
      </c>
      <c r="BR164" s="166" t="str">
        <v/>
      </c>
      <c r="BS164" s="166">
        <v>0</v>
      </c>
      <c r="BU164" s="166">
        <v>0</v>
      </c>
      <c r="BW164" s="166" t="str">
        <v/>
      </c>
      <c r="BX164" s="166">
        <v>0</v>
      </c>
      <c r="CE164" s="166" t="str">
        <v/>
      </c>
      <c r="CF164" s="166">
        <v>0</v>
      </c>
      <c r="CH164" s="166">
        <v>0</v>
      </c>
      <c r="CJ164" s="166" t="str">
        <v/>
      </c>
      <c r="CK164" s="166">
        <v>0</v>
      </c>
      <c r="CM164" s="166">
        <v>0</v>
      </c>
      <c r="CO164" s="166" t="str">
        <v/>
      </c>
      <c r="CP164" s="166">
        <v>0</v>
      </c>
      <c r="CR164" s="166">
        <v>0</v>
      </c>
      <c r="CT164" s="166" t="str">
        <v/>
      </c>
      <c r="CU164" s="166">
        <v>0</v>
      </c>
      <c r="CW164" s="166">
        <v>0</v>
      </c>
      <c r="CY164" s="166" t="str">
        <v/>
      </c>
      <c r="CZ164" s="166">
        <v>0</v>
      </c>
      <c r="DB164" s="166">
        <v>0</v>
      </c>
      <c r="DD164" s="166" t="str">
        <v/>
      </c>
    </row>
    <row r="165" spans="4:108" ht="15.75" customHeight="1">
      <c r="AY165">
        <f ca="1"/>
        <v>0</v>
      </c>
      <c r="BA165">
        <f ca="1"/>
        <v>0</v>
      </c>
      <c r="BC165">
        <f ca="1"/>
        <v>0</v>
      </c>
      <c r="BD165">
        <f ca="1"/>
        <v>0</v>
      </c>
      <c r="BE165">
        <f ca="1"/>
        <v>0</v>
      </c>
      <c r="BF165">
        <f ca="1"/>
        <v>0</v>
      </c>
      <c r="BG165">
        <f ca="1"/>
        <v>0</v>
      </c>
      <c r="BH165">
        <f ca="1"/>
        <v>0</v>
      </c>
    </row>
    <row r="166" spans="4:108" ht="15.75" customHeight="1">
      <c r="AY166">
        <f ca="1"/>
        <v>0</v>
      </c>
      <c r="BA166">
        <f ca="1"/>
        <v>0</v>
      </c>
      <c r="BC166">
        <f ca="1"/>
        <v>0</v>
      </c>
      <c r="BD166">
        <f ca="1"/>
        <v>0</v>
      </c>
      <c r="BE166">
        <f ca="1"/>
        <v>0</v>
      </c>
      <c r="BF166">
        <f ca="1"/>
        <v>0</v>
      </c>
      <c r="BG166">
        <f ca="1"/>
        <v>0</v>
      </c>
      <c r="BH166">
        <f ca="1"/>
        <v>0</v>
      </c>
    </row>
    <row r="167" spans="4:108" ht="15.75" customHeight="1">
      <c r="AY167">
        <f ca="1"/>
        <v>0</v>
      </c>
      <c r="BA167">
        <f ca="1"/>
        <v>0</v>
      </c>
      <c r="BC167">
        <f ca="1"/>
        <v>0</v>
      </c>
      <c r="BD167">
        <f ca="1"/>
        <v>0</v>
      </c>
      <c r="BE167">
        <f ca="1"/>
        <v>0</v>
      </c>
      <c r="BF167">
        <f ca="1"/>
        <v>0</v>
      </c>
      <c r="BG167">
        <f ca="1"/>
        <v>0</v>
      </c>
      <c r="BH167">
        <f ca="1"/>
        <v>0</v>
      </c>
    </row>
    <row r="168" spans="4:108" ht="15.75" customHeight="1">
      <c r="AY168">
        <f ca="1"/>
        <v>0</v>
      </c>
      <c r="BA168">
        <f ca="1"/>
        <v>0</v>
      </c>
      <c r="BC168">
        <f ca="1"/>
        <v>0</v>
      </c>
      <c r="BD168">
        <f ca="1"/>
        <v>0</v>
      </c>
      <c r="BE168">
        <f ca="1"/>
        <v>0</v>
      </c>
      <c r="BF168">
        <f ca="1"/>
        <v>0</v>
      </c>
      <c r="BG168">
        <f ca="1"/>
        <v>0</v>
      </c>
      <c r="BH168">
        <f ca="1"/>
        <v>0</v>
      </c>
    </row>
    <row r="169" spans="4:108" ht="15.75" customHeight="1">
      <c r="AY169">
        <f ca="1"/>
        <v>0</v>
      </c>
      <c r="BA169">
        <f ca="1"/>
        <v>0</v>
      </c>
      <c r="BC169">
        <f ca="1"/>
        <v>0</v>
      </c>
      <c r="BD169">
        <f ca="1"/>
        <v>0</v>
      </c>
      <c r="BE169">
        <f ca="1"/>
        <v>0</v>
      </c>
      <c r="BF169">
        <f ca="1"/>
        <v>0</v>
      </c>
      <c r="BG169">
        <f ca="1"/>
        <v>0</v>
      </c>
      <c r="BH169">
        <f ca="1"/>
        <v>0</v>
      </c>
    </row>
  </sheetData>
  <mergeCells count="3603">
    <mergeCell ref="AN107:AN108"/>
    <mergeCell ref="AO107:AO108"/>
    <mergeCell ref="AP107:AP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99:B100"/>
    <mergeCell ref="C99:C100"/>
    <mergeCell ref="D99:D100"/>
    <mergeCell ref="E99:E100"/>
    <mergeCell ref="F99:F100"/>
    <mergeCell ref="H99:H100"/>
    <mergeCell ref="J99:J100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CF103:CF104"/>
    <mergeCell ref="CO103:CO104"/>
    <mergeCell ref="CP103:CP104"/>
    <mergeCell ref="CT103:CT104"/>
    <mergeCell ref="CU103:CU104"/>
    <mergeCell ref="Z103:Z104"/>
    <mergeCell ref="AB103:AB104"/>
    <mergeCell ref="AC103:AC104"/>
    <mergeCell ref="AD103:AD104"/>
    <mergeCell ref="AE103:AE104"/>
    <mergeCell ref="AF103:AF104"/>
    <mergeCell ref="AG103:AG104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CT105:CT106"/>
    <mergeCell ref="CU105:CU106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CE103:CE104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AS103:AS104"/>
    <mergeCell ref="AT103:AT104"/>
    <mergeCell ref="AU103:AU104"/>
    <mergeCell ref="AV103:AV104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W101:BW102"/>
    <mergeCell ref="BX101:BX102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BN97:BN98"/>
    <mergeCell ref="BR97:BR98"/>
    <mergeCell ref="BS97:BS98"/>
    <mergeCell ref="L89:L90"/>
    <mergeCell ref="N89:N90"/>
    <mergeCell ref="P89:P90"/>
    <mergeCell ref="R89:R90"/>
    <mergeCell ref="T89:T90"/>
    <mergeCell ref="V89:V90"/>
    <mergeCell ref="X89:X90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S95:BS96"/>
    <mergeCell ref="BN95:BN96"/>
    <mergeCell ref="BR95:BR96"/>
    <mergeCell ref="CE95:CE96"/>
    <mergeCell ref="CF95:CF96"/>
    <mergeCell ref="CO95:CO96"/>
    <mergeCell ref="CP95:CP96"/>
    <mergeCell ref="CT95:CT96"/>
    <mergeCell ref="CU95:CU96"/>
    <mergeCell ref="AS95:AS96"/>
    <mergeCell ref="AT95:AT96"/>
    <mergeCell ref="AU95:AU96"/>
    <mergeCell ref="AV95:AV96"/>
    <mergeCell ref="AW95:AW96"/>
    <mergeCell ref="AX95:AX96"/>
    <mergeCell ref="BM95:BM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AR89:AR90"/>
    <mergeCell ref="AS89:AS90"/>
    <mergeCell ref="AT89:AT90"/>
    <mergeCell ref="AU89:AU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BW93:BW94"/>
    <mergeCell ref="BX93:BX94"/>
    <mergeCell ref="AK89:AK90"/>
    <mergeCell ref="AL89:AL90"/>
    <mergeCell ref="AM89:AM90"/>
    <mergeCell ref="AN89:AN90"/>
    <mergeCell ref="AV89:AV90"/>
    <mergeCell ref="AW89:AW90"/>
    <mergeCell ref="AX89:AX90"/>
    <mergeCell ref="B91:B92"/>
    <mergeCell ref="C91:C92"/>
    <mergeCell ref="D91:D92"/>
    <mergeCell ref="E91:E92"/>
    <mergeCell ref="F91:F92"/>
    <mergeCell ref="H91:H92"/>
    <mergeCell ref="J91:J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O89:AO90"/>
    <mergeCell ref="AP89:AP90"/>
    <mergeCell ref="AQ89:AQ90"/>
    <mergeCell ref="B85:B86"/>
    <mergeCell ref="C85:C86"/>
    <mergeCell ref="D85:D86"/>
    <mergeCell ref="E85:E86"/>
    <mergeCell ref="F85:F86"/>
    <mergeCell ref="H85:H86"/>
    <mergeCell ref="J85:J86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91:AK92"/>
    <mergeCell ref="AL91:AL92"/>
    <mergeCell ref="AM91:AM92"/>
    <mergeCell ref="AN91:AN92"/>
    <mergeCell ref="BX91:BX92"/>
    <mergeCell ref="CE91:CE92"/>
    <mergeCell ref="CF91:CF92"/>
    <mergeCell ref="CO91:CO92"/>
    <mergeCell ref="CP91:CP92"/>
    <mergeCell ref="CT91:CT92"/>
    <mergeCell ref="CU91:CU92"/>
    <mergeCell ref="AO91:AO92"/>
    <mergeCell ref="AP91:AP92"/>
    <mergeCell ref="BM91:BM92"/>
    <mergeCell ref="BN91:BN92"/>
    <mergeCell ref="BR91:BR92"/>
    <mergeCell ref="BS91:BS92"/>
    <mergeCell ref="BW91:BW92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91:AH92"/>
    <mergeCell ref="AI91:AI92"/>
    <mergeCell ref="AJ91:AJ92"/>
    <mergeCell ref="AS87:AS88"/>
    <mergeCell ref="AT87:AT88"/>
    <mergeCell ref="AU87:AU88"/>
    <mergeCell ref="AV87:AV88"/>
    <mergeCell ref="AW87:AW88"/>
    <mergeCell ref="AX87:AX88"/>
    <mergeCell ref="BM87:BM88"/>
    <mergeCell ref="BX89:BX90"/>
    <mergeCell ref="CE89:CE90"/>
    <mergeCell ref="CF89:CF90"/>
    <mergeCell ref="CO89:CO90"/>
    <mergeCell ref="CP89:CP90"/>
    <mergeCell ref="CT89:CT90"/>
    <mergeCell ref="CU89:CU90"/>
    <mergeCell ref="BN87:BN88"/>
    <mergeCell ref="BR87:BR88"/>
    <mergeCell ref="BM89:BM90"/>
    <mergeCell ref="BN89:BN90"/>
    <mergeCell ref="BR89:BR90"/>
    <mergeCell ref="BS89:BS90"/>
    <mergeCell ref="BW89:BW9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79:B80"/>
    <mergeCell ref="C79:C80"/>
    <mergeCell ref="D79:D80"/>
    <mergeCell ref="E79:E80"/>
    <mergeCell ref="F79:F80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AQ83:AQ84"/>
    <mergeCell ref="AR83:AR84"/>
    <mergeCell ref="CE83:CE84"/>
    <mergeCell ref="CF83:CF84"/>
    <mergeCell ref="CO83:CO84"/>
    <mergeCell ref="CP83:CP84"/>
    <mergeCell ref="CT83:CT84"/>
    <mergeCell ref="CU83:CU84"/>
    <mergeCell ref="AJ83:AJ84"/>
    <mergeCell ref="AK83:AK84"/>
    <mergeCell ref="AL83:AL84"/>
    <mergeCell ref="AM83:AM84"/>
    <mergeCell ref="AN83:AN84"/>
    <mergeCell ref="AO83:AO84"/>
    <mergeCell ref="AP83:AP84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CF85:CF86"/>
    <mergeCell ref="CO85:CO86"/>
    <mergeCell ref="CP85:CP86"/>
    <mergeCell ref="CT85:CT86"/>
    <mergeCell ref="CU85:CU86"/>
    <mergeCell ref="BN83:BN84"/>
    <mergeCell ref="BR83:BR84"/>
    <mergeCell ref="AS83:AS84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W81:BW82"/>
    <mergeCell ref="BX81:BX82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L145:L146"/>
    <mergeCell ref="N145:N146"/>
    <mergeCell ref="P145:P146"/>
    <mergeCell ref="R145:R146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Z145:Z146"/>
    <mergeCell ref="AB145:AB146"/>
    <mergeCell ref="T145:T146"/>
    <mergeCell ref="V145:V146"/>
    <mergeCell ref="X145:X146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AK143:AK144"/>
    <mergeCell ref="AL143:AL144"/>
    <mergeCell ref="AM143:AM144"/>
    <mergeCell ref="AN143:AN144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L139:AL140"/>
    <mergeCell ref="AM139:AM140"/>
    <mergeCell ref="AN139:AN140"/>
    <mergeCell ref="Z141:Z142"/>
    <mergeCell ref="AB141:AB142"/>
    <mergeCell ref="L141:L142"/>
    <mergeCell ref="N141:N142"/>
    <mergeCell ref="P141:P142"/>
    <mergeCell ref="R141:R142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BN129:BN130"/>
    <mergeCell ref="BR129:BR130"/>
    <mergeCell ref="BS129:BS13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S127:BS128"/>
    <mergeCell ref="BN127:BN128"/>
    <mergeCell ref="BR127:BR128"/>
    <mergeCell ref="CE127:CE128"/>
    <mergeCell ref="CF127:CF128"/>
    <mergeCell ref="CO127:CO128"/>
    <mergeCell ref="CP127:CP128"/>
    <mergeCell ref="CT127:CT128"/>
    <mergeCell ref="CU127:CU128"/>
    <mergeCell ref="AS127:AS128"/>
    <mergeCell ref="AT127:AT128"/>
    <mergeCell ref="AU127:AU128"/>
    <mergeCell ref="AV127:AV128"/>
    <mergeCell ref="AW127:AW128"/>
    <mergeCell ref="AX127:AX128"/>
    <mergeCell ref="BM127:BM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BW125:BW126"/>
    <mergeCell ref="BX125:BX126"/>
    <mergeCell ref="B123:B124"/>
    <mergeCell ref="C123:C124"/>
    <mergeCell ref="D123:D124"/>
    <mergeCell ref="E123:E124"/>
    <mergeCell ref="F123:F124"/>
    <mergeCell ref="H123:H124"/>
    <mergeCell ref="J123:J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S123:AS124"/>
    <mergeCell ref="B117:B118"/>
    <mergeCell ref="C117:C118"/>
    <mergeCell ref="D117:D118"/>
    <mergeCell ref="E117:E118"/>
    <mergeCell ref="F117:F118"/>
    <mergeCell ref="H117:H118"/>
    <mergeCell ref="J117:J118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H123:AH124"/>
    <mergeCell ref="AI123:AI124"/>
    <mergeCell ref="AJ123:AJ124"/>
    <mergeCell ref="AK123:AK124"/>
    <mergeCell ref="AL123:AL124"/>
    <mergeCell ref="AM123:AM124"/>
    <mergeCell ref="AN123:AN124"/>
    <mergeCell ref="BX123:BX124"/>
    <mergeCell ref="CE123:CE124"/>
    <mergeCell ref="CF123:CF124"/>
    <mergeCell ref="CO123:CO124"/>
    <mergeCell ref="CP123:CP124"/>
    <mergeCell ref="CT123:CT124"/>
    <mergeCell ref="CU123:CU124"/>
    <mergeCell ref="AO123:AO124"/>
    <mergeCell ref="AP123:AP124"/>
    <mergeCell ref="BM123:BM124"/>
    <mergeCell ref="BN123:BN124"/>
    <mergeCell ref="BR123:BR124"/>
    <mergeCell ref="BS123:BS124"/>
    <mergeCell ref="BW123:BW124"/>
    <mergeCell ref="AT123:AT124"/>
    <mergeCell ref="AU123:AU124"/>
    <mergeCell ref="AV123:AV124"/>
    <mergeCell ref="AW123:AW124"/>
    <mergeCell ref="AX123:AX124"/>
    <mergeCell ref="CF121:CF122"/>
    <mergeCell ref="CO121:CO122"/>
    <mergeCell ref="CP121:CP122"/>
    <mergeCell ref="CT121:CT122"/>
    <mergeCell ref="CU121:CU122"/>
    <mergeCell ref="BN119:BN120"/>
    <mergeCell ref="BR119:BR120"/>
    <mergeCell ref="BM121:BM122"/>
    <mergeCell ref="BN121:BN122"/>
    <mergeCell ref="BR121:BR122"/>
    <mergeCell ref="BS121:BS122"/>
    <mergeCell ref="BW121:BW122"/>
    <mergeCell ref="B119:B120"/>
    <mergeCell ref="C119:C120"/>
    <mergeCell ref="D119:D120"/>
    <mergeCell ref="E119:E120"/>
    <mergeCell ref="F119:F120"/>
    <mergeCell ref="H119:H120"/>
    <mergeCell ref="J119:J120"/>
    <mergeCell ref="B121:B122"/>
    <mergeCell ref="C121:C122"/>
    <mergeCell ref="D121:D122"/>
    <mergeCell ref="E121:E122"/>
    <mergeCell ref="F121:F122"/>
    <mergeCell ref="H121:H122"/>
    <mergeCell ref="J121:J122"/>
    <mergeCell ref="AK121:AK122"/>
    <mergeCell ref="AL121:AL122"/>
    <mergeCell ref="AM121:AM122"/>
    <mergeCell ref="AN121:AN122"/>
    <mergeCell ref="AV121:AV122"/>
    <mergeCell ref="AW121:AW122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S119:AS120"/>
    <mergeCell ref="AT119:AT120"/>
    <mergeCell ref="AU119:AU120"/>
    <mergeCell ref="AV119:AV120"/>
    <mergeCell ref="AW119:AW120"/>
    <mergeCell ref="AX119:AX120"/>
    <mergeCell ref="BM119:BM120"/>
    <mergeCell ref="BX121:BX122"/>
    <mergeCell ref="CE121:CE122"/>
    <mergeCell ref="AX121:AX122"/>
    <mergeCell ref="AO121:AO122"/>
    <mergeCell ref="AP121:AP122"/>
    <mergeCell ref="AQ121:AQ122"/>
    <mergeCell ref="AR121:AR122"/>
    <mergeCell ref="AS121:AS122"/>
    <mergeCell ref="AT121:AT122"/>
    <mergeCell ref="AU121:AU122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B109:B110"/>
    <mergeCell ref="C109:C110"/>
    <mergeCell ref="D109:D110"/>
    <mergeCell ref="E109:E110"/>
    <mergeCell ref="F109:F110"/>
    <mergeCell ref="H109:H110"/>
    <mergeCell ref="J109:J110"/>
    <mergeCell ref="L105:L106"/>
    <mergeCell ref="N105:N106"/>
    <mergeCell ref="P105:P106"/>
    <mergeCell ref="L107:L108"/>
    <mergeCell ref="N107:N108"/>
    <mergeCell ref="P107:P10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CE115:CE116"/>
    <mergeCell ref="CF115:CF116"/>
    <mergeCell ref="CO115:CO116"/>
    <mergeCell ref="CP115:CP116"/>
    <mergeCell ref="CT115:CT116"/>
    <mergeCell ref="CU115:CU116"/>
    <mergeCell ref="AJ115:AJ116"/>
    <mergeCell ref="AK115:AK116"/>
    <mergeCell ref="AL115:AL116"/>
    <mergeCell ref="AM115:AM116"/>
    <mergeCell ref="AN115:AN116"/>
    <mergeCell ref="AO115:AO116"/>
    <mergeCell ref="AP115:AP116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CF117:CF118"/>
    <mergeCell ref="CO117:CO118"/>
    <mergeCell ref="CP117:CP118"/>
    <mergeCell ref="CT117:CT118"/>
    <mergeCell ref="CU117:CU118"/>
    <mergeCell ref="BN115:BN116"/>
    <mergeCell ref="BR115:BR116"/>
    <mergeCell ref="AS115:AS116"/>
    <mergeCell ref="AT115:AT116"/>
    <mergeCell ref="AU115:AU116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AV115:AV116"/>
    <mergeCell ref="AW115:AW116"/>
    <mergeCell ref="AX115:AX116"/>
    <mergeCell ref="BM115:BM116"/>
    <mergeCell ref="L113:L114"/>
    <mergeCell ref="N113:N114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M77:BM78"/>
    <mergeCell ref="BN77:BN78"/>
    <mergeCell ref="BR77:BR78"/>
    <mergeCell ref="BS77:BS7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O73:AO74"/>
    <mergeCell ref="B73:B74"/>
    <mergeCell ref="C73:C74"/>
    <mergeCell ref="D73:D74"/>
    <mergeCell ref="E73:E74"/>
    <mergeCell ref="F73:F74"/>
    <mergeCell ref="H73:H74"/>
    <mergeCell ref="J73:J74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AN63:AN64"/>
    <mergeCell ref="AO63:AO64"/>
    <mergeCell ref="AP63:AP64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51:B52"/>
    <mergeCell ref="C51:C52"/>
    <mergeCell ref="D51:D52"/>
    <mergeCell ref="E51:E52"/>
    <mergeCell ref="F51:F52"/>
    <mergeCell ref="H51:H52"/>
    <mergeCell ref="J51:J52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AP73:AP74"/>
    <mergeCell ref="AQ73:AQ74"/>
    <mergeCell ref="AR73:AR74"/>
    <mergeCell ref="BR75:BR76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B71:B72"/>
    <mergeCell ref="C71:C72"/>
    <mergeCell ref="D71:D72"/>
    <mergeCell ref="E71:E72"/>
    <mergeCell ref="F71:F72"/>
    <mergeCell ref="H71:H72"/>
    <mergeCell ref="J71:J72"/>
    <mergeCell ref="L73:L74"/>
    <mergeCell ref="N73:N74"/>
    <mergeCell ref="P73:P74"/>
    <mergeCell ref="R73:R74"/>
    <mergeCell ref="BS69:BS70"/>
    <mergeCell ref="CO69:CO70"/>
    <mergeCell ref="CO71:CO72"/>
    <mergeCell ref="CT69:CT70"/>
    <mergeCell ref="CT71:CT72"/>
    <mergeCell ref="CE69:CE70"/>
    <mergeCell ref="CF69:CF70"/>
    <mergeCell ref="CP69:CP70"/>
    <mergeCell ref="CU69:CU70"/>
    <mergeCell ref="CE71:CE72"/>
    <mergeCell ref="CF71:CF72"/>
    <mergeCell ref="CP71:CP72"/>
    <mergeCell ref="CU71:CU72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BM69:BM70"/>
    <mergeCell ref="BN69:BN70"/>
    <mergeCell ref="BR69:BR70"/>
    <mergeCell ref="AS71:AS72"/>
    <mergeCell ref="AT71:AT72"/>
    <mergeCell ref="AU71:AU72"/>
    <mergeCell ref="AV71:AV72"/>
    <mergeCell ref="AW71:AW72"/>
    <mergeCell ref="AX71:AX72"/>
    <mergeCell ref="BM71:BM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AU65:AU66"/>
    <mergeCell ref="CE65:CE66"/>
    <mergeCell ref="CE67:CE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BR71:BR72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U67:CU68"/>
    <mergeCell ref="B65:B66"/>
    <mergeCell ref="C65:C66"/>
    <mergeCell ref="D65:D66"/>
    <mergeCell ref="E65:E66"/>
    <mergeCell ref="F65:F66"/>
    <mergeCell ref="H65:H66"/>
    <mergeCell ref="J65:J66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CU63:CU64"/>
    <mergeCell ref="CY63:CY64"/>
    <mergeCell ref="CZ63:CZ64"/>
    <mergeCell ref="AH63:AH64"/>
    <mergeCell ref="AI63:AI64"/>
    <mergeCell ref="CE63:CE64"/>
    <mergeCell ref="CF63:CF64"/>
    <mergeCell ref="CO63:CO64"/>
    <mergeCell ref="CP63:CP64"/>
    <mergeCell ref="CT63:CT64"/>
    <mergeCell ref="L65:L66"/>
    <mergeCell ref="N65:N66"/>
    <mergeCell ref="P65:P66"/>
    <mergeCell ref="R65:R66"/>
    <mergeCell ref="T65:T66"/>
    <mergeCell ref="V65:V66"/>
    <mergeCell ref="X65:X66"/>
    <mergeCell ref="CT65:CT66"/>
    <mergeCell ref="CZ65:CZ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Z63:Z64"/>
    <mergeCell ref="AB63:AB64"/>
    <mergeCell ref="AC63:AC64"/>
    <mergeCell ref="AD63:AD64"/>
    <mergeCell ref="AE63:AE64"/>
    <mergeCell ref="AF63:AF64"/>
    <mergeCell ref="AG63:AG64"/>
    <mergeCell ref="AQ63:AQ64"/>
    <mergeCell ref="AR63:AR64"/>
    <mergeCell ref="AJ63:AJ64"/>
    <mergeCell ref="AK63:AK64"/>
    <mergeCell ref="AL63:AL64"/>
    <mergeCell ref="AM63:AM64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BW55:BW56"/>
    <mergeCell ref="BX55:BX56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X57:AX58"/>
    <mergeCell ref="BM57:BM58"/>
    <mergeCell ref="BN57:BN58"/>
    <mergeCell ref="BR57:BR58"/>
    <mergeCell ref="BS57:BS58"/>
    <mergeCell ref="Z53:Z54"/>
    <mergeCell ref="AB53:AB54"/>
    <mergeCell ref="L53:L54"/>
    <mergeCell ref="N53:N54"/>
    <mergeCell ref="P53:P54"/>
    <mergeCell ref="R53:R54"/>
    <mergeCell ref="T53:T54"/>
    <mergeCell ref="V53:V54"/>
    <mergeCell ref="X53:X54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P55:P56"/>
    <mergeCell ref="R55:R56"/>
    <mergeCell ref="T55:T56"/>
    <mergeCell ref="V55:V56"/>
    <mergeCell ref="X55:X56"/>
    <mergeCell ref="Z55:Z56"/>
    <mergeCell ref="AB55:AB56"/>
    <mergeCell ref="AC55:AC56"/>
    <mergeCell ref="AD55:AD56"/>
    <mergeCell ref="CE55:CE56"/>
    <mergeCell ref="CF55:CF56"/>
    <mergeCell ref="CO55:CO56"/>
    <mergeCell ref="CP55:CP56"/>
    <mergeCell ref="CT55:CT56"/>
    <mergeCell ref="CU55:CU56"/>
    <mergeCell ref="CY55:CY56"/>
    <mergeCell ref="CZ55:CZ56"/>
    <mergeCell ref="AV55:AV56"/>
    <mergeCell ref="AW55:AW56"/>
    <mergeCell ref="AX55:AX56"/>
    <mergeCell ref="BM55:BM56"/>
    <mergeCell ref="BN55:BN56"/>
    <mergeCell ref="BR55:BR56"/>
    <mergeCell ref="BS55:BS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S53:AS54"/>
    <mergeCell ref="AT53:AT54"/>
    <mergeCell ref="BX53:BX54"/>
    <mergeCell ref="AL53:AL54"/>
    <mergeCell ref="AM53:AM54"/>
    <mergeCell ref="AN53:AN54"/>
    <mergeCell ref="AO53:AO54"/>
    <mergeCell ref="AP53:AP54"/>
    <mergeCell ref="AQ53:AQ54"/>
    <mergeCell ref="AR53:AR54"/>
    <mergeCell ref="AO55:AO56"/>
    <mergeCell ref="AP55:AP56"/>
    <mergeCell ref="AQ55:AQ56"/>
    <mergeCell ref="AR55:AR56"/>
    <mergeCell ref="AS55:AS56"/>
    <mergeCell ref="AT55:AT56"/>
    <mergeCell ref="AU55:AU56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B45:B46"/>
    <mergeCell ref="C45:C46"/>
    <mergeCell ref="D45:D46"/>
    <mergeCell ref="E45:E46"/>
    <mergeCell ref="F45:F46"/>
    <mergeCell ref="H45:H46"/>
    <mergeCell ref="J45:J46"/>
    <mergeCell ref="AJ53:AJ54"/>
    <mergeCell ref="AK53:AK54"/>
    <mergeCell ref="AC53:AC54"/>
    <mergeCell ref="AD53:AD54"/>
    <mergeCell ref="AE53:AE54"/>
    <mergeCell ref="AF53:AF54"/>
    <mergeCell ref="AG53:AG54"/>
    <mergeCell ref="AH53:AH54"/>
    <mergeCell ref="AI53:AI54"/>
    <mergeCell ref="L51:L52"/>
    <mergeCell ref="N51:N52"/>
    <mergeCell ref="P51:P52"/>
    <mergeCell ref="R51:R52"/>
    <mergeCell ref="T51:T52"/>
    <mergeCell ref="V51:V52"/>
    <mergeCell ref="X51:X52"/>
    <mergeCell ref="B43:B44"/>
    <mergeCell ref="C43:C44"/>
    <mergeCell ref="D43:D44"/>
    <mergeCell ref="E43:E44"/>
    <mergeCell ref="F43:F44"/>
    <mergeCell ref="H43:H44"/>
    <mergeCell ref="J43:J44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L43:L44"/>
    <mergeCell ref="N43:N44"/>
    <mergeCell ref="P43:P44"/>
    <mergeCell ref="R43:R44"/>
    <mergeCell ref="T43:T44"/>
    <mergeCell ref="V43:V44"/>
    <mergeCell ref="X43:X44"/>
    <mergeCell ref="Z43:Z44"/>
    <mergeCell ref="AB43:AB44"/>
    <mergeCell ref="AC43:AC44"/>
    <mergeCell ref="AD43:AD44"/>
    <mergeCell ref="AE43:AE44"/>
    <mergeCell ref="AF43:AF44"/>
    <mergeCell ref="AG43:AG44"/>
    <mergeCell ref="BW43:BW44"/>
    <mergeCell ref="BX43:BX44"/>
    <mergeCell ref="BS45:BS46"/>
    <mergeCell ref="BW45:BW46"/>
    <mergeCell ref="BX45:BX46"/>
    <mergeCell ref="L45:L46"/>
    <mergeCell ref="N45:N46"/>
    <mergeCell ref="P45:P46"/>
    <mergeCell ref="R45:R46"/>
    <mergeCell ref="T45:T46"/>
    <mergeCell ref="V45:V46"/>
    <mergeCell ref="X45:X46"/>
    <mergeCell ref="AH43:AH44"/>
    <mergeCell ref="AI43:AI44"/>
    <mergeCell ref="AJ43:AJ44"/>
    <mergeCell ref="AK43:AK44"/>
    <mergeCell ref="AL43:AL44"/>
    <mergeCell ref="AM43:AM44"/>
    <mergeCell ref="L41:L42"/>
    <mergeCell ref="N41:N42"/>
    <mergeCell ref="P41:P42"/>
    <mergeCell ref="R41:R42"/>
    <mergeCell ref="T41:T42"/>
    <mergeCell ref="V41:V42"/>
    <mergeCell ref="X41:X42"/>
    <mergeCell ref="AH39:AH40"/>
    <mergeCell ref="AI39:AI40"/>
    <mergeCell ref="AJ39:AJ40"/>
    <mergeCell ref="AK39:AK40"/>
    <mergeCell ref="AL39:AL40"/>
    <mergeCell ref="AM39:AM40"/>
    <mergeCell ref="AN39:AN40"/>
    <mergeCell ref="B39:B40"/>
    <mergeCell ref="C39:C40"/>
    <mergeCell ref="D39:D40"/>
    <mergeCell ref="E39:E40"/>
    <mergeCell ref="F39:F40"/>
    <mergeCell ref="H39:H40"/>
    <mergeCell ref="J39:J40"/>
    <mergeCell ref="B41:B42"/>
    <mergeCell ref="C41:C42"/>
    <mergeCell ref="D41:D42"/>
    <mergeCell ref="E41:E42"/>
    <mergeCell ref="F41:F42"/>
    <mergeCell ref="H41:H42"/>
    <mergeCell ref="J41:J42"/>
    <mergeCell ref="V37:V38"/>
    <mergeCell ref="X37:X38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AC39:AC40"/>
    <mergeCell ref="AD39:AD40"/>
    <mergeCell ref="AE39:AE40"/>
    <mergeCell ref="AF39:AF40"/>
    <mergeCell ref="AG39:AG40"/>
    <mergeCell ref="BW39:BW40"/>
    <mergeCell ref="AH41:AH42"/>
    <mergeCell ref="AI41:AI42"/>
    <mergeCell ref="Z41:Z42"/>
    <mergeCell ref="AB41:AB42"/>
    <mergeCell ref="AC41:AC42"/>
    <mergeCell ref="AD41:AD42"/>
    <mergeCell ref="AE41:AE42"/>
    <mergeCell ref="AF41:AF42"/>
    <mergeCell ref="AG41:AG42"/>
    <mergeCell ref="AQ41:AQ42"/>
    <mergeCell ref="AR41:AR42"/>
    <mergeCell ref="AJ41:AJ42"/>
    <mergeCell ref="AK41:AK42"/>
    <mergeCell ref="AL41:AL42"/>
    <mergeCell ref="AM41:AM42"/>
    <mergeCell ref="AN41:AN42"/>
    <mergeCell ref="AO41:AO42"/>
    <mergeCell ref="AP41:AP42"/>
    <mergeCell ref="CY53:CY54"/>
    <mergeCell ref="CZ53:CZ54"/>
    <mergeCell ref="BW51:BW52"/>
    <mergeCell ref="BX51:BX52"/>
    <mergeCell ref="CE51:CE52"/>
    <mergeCell ref="CF51:CF52"/>
    <mergeCell ref="CO51:CO52"/>
    <mergeCell ref="CP51:CP52"/>
    <mergeCell ref="CT51:CT52"/>
    <mergeCell ref="AS37:AS38"/>
    <mergeCell ref="AT37:AT38"/>
    <mergeCell ref="AL37:AL38"/>
    <mergeCell ref="AM37:AM38"/>
    <mergeCell ref="AN37:AN38"/>
    <mergeCell ref="AO37:AO38"/>
    <mergeCell ref="AP37:AP38"/>
    <mergeCell ref="AQ37:AQ38"/>
    <mergeCell ref="AR37:AR38"/>
    <mergeCell ref="BN41:BN42"/>
    <mergeCell ref="BR41:BR42"/>
    <mergeCell ref="AS41:AS42"/>
    <mergeCell ref="AT41:AT42"/>
    <mergeCell ref="AU41:AU42"/>
    <mergeCell ref="AV41:AV42"/>
    <mergeCell ref="AW41:AW42"/>
    <mergeCell ref="AX41:AX42"/>
    <mergeCell ref="BM41:BM42"/>
    <mergeCell ref="BX39:BX40"/>
    <mergeCell ref="BS41:BS42"/>
    <mergeCell ref="BW41:BW42"/>
    <mergeCell ref="BX41:BX42"/>
    <mergeCell ref="AN43:AN44"/>
    <mergeCell ref="CY51:CY52"/>
    <mergeCell ref="CZ51:CZ52"/>
    <mergeCell ref="B53:B54"/>
    <mergeCell ref="C53:C54"/>
    <mergeCell ref="D53:D54"/>
    <mergeCell ref="E53:E54"/>
    <mergeCell ref="F53:F54"/>
    <mergeCell ref="H53:H54"/>
    <mergeCell ref="J53:J54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S51:AS52"/>
    <mergeCell ref="AT51:AT52"/>
    <mergeCell ref="AU51:AU52"/>
    <mergeCell ref="CE53:CE54"/>
    <mergeCell ref="CF53:CF54"/>
    <mergeCell ref="BS53:BS54"/>
    <mergeCell ref="BW53:BW54"/>
    <mergeCell ref="AU53:AU54"/>
    <mergeCell ref="AV53:AV54"/>
    <mergeCell ref="AW53:AW54"/>
    <mergeCell ref="AX53:AX54"/>
    <mergeCell ref="BM53:BM54"/>
    <mergeCell ref="BN53:BN54"/>
    <mergeCell ref="BR53:BR54"/>
    <mergeCell ref="AV51:AV52"/>
    <mergeCell ref="AW51:AW52"/>
    <mergeCell ref="AX51:AX52"/>
    <mergeCell ref="BM51:BM52"/>
    <mergeCell ref="BN51:BN52"/>
    <mergeCell ref="BR51:BR52"/>
    <mergeCell ref="BS51:BS52"/>
    <mergeCell ref="CU51:CU52"/>
    <mergeCell ref="CO53:CO54"/>
    <mergeCell ref="CP53:CP54"/>
    <mergeCell ref="CT53:CT54"/>
    <mergeCell ref="CU53:CU54"/>
    <mergeCell ref="AJ49:AJ50"/>
    <mergeCell ref="AK49:AK50"/>
    <mergeCell ref="AL49:AL50"/>
    <mergeCell ref="AM49:AM50"/>
    <mergeCell ref="AN49:AN50"/>
    <mergeCell ref="AO49:AO50"/>
    <mergeCell ref="AP49:AP50"/>
    <mergeCell ref="CU49:CU50"/>
    <mergeCell ref="CY49:CY50"/>
    <mergeCell ref="CZ49:CZ50"/>
    <mergeCell ref="AQ49:AQ50"/>
    <mergeCell ref="AR49:AR50"/>
    <mergeCell ref="CE49:CE50"/>
    <mergeCell ref="CF49:CF50"/>
    <mergeCell ref="CO49:CO50"/>
    <mergeCell ref="CP49:CP50"/>
    <mergeCell ref="CT49:CT50"/>
    <mergeCell ref="BM49:BM50"/>
    <mergeCell ref="BN49:BN50"/>
    <mergeCell ref="AS49:AS50"/>
    <mergeCell ref="AT49:AT50"/>
    <mergeCell ref="AU49:AU50"/>
    <mergeCell ref="AV49:AV50"/>
    <mergeCell ref="AW49:AW50"/>
    <mergeCell ref="AX49:AX50"/>
    <mergeCell ref="BB49:BC49"/>
    <mergeCell ref="BR49:BR50"/>
    <mergeCell ref="BS49:BS50"/>
    <mergeCell ref="BW49:BW50"/>
    <mergeCell ref="BX49:BX50"/>
    <mergeCell ref="B47:B48"/>
    <mergeCell ref="C47:C48"/>
    <mergeCell ref="D47:D48"/>
    <mergeCell ref="E47:E48"/>
    <mergeCell ref="F47:F48"/>
    <mergeCell ref="H47:H48"/>
    <mergeCell ref="J47:J48"/>
    <mergeCell ref="B49:B50"/>
    <mergeCell ref="C49:C50"/>
    <mergeCell ref="D49:D50"/>
    <mergeCell ref="E49:E50"/>
    <mergeCell ref="F49:F50"/>
    <mergeCell ref="H49:H50"/>
    <mergeCell ref="J49:J50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AD47:AD48"/>
    <mergeCell ref="AE47:AE48"/>
    <mergeCell ref="AF47:AF48"/>
    <mergeCell ref="AG47:AG48"/>
    <mergeCell ref="L49:L50"/>
    <mergeCell ref="N49:N50"/>
    <mergeCell ref="P49:P50"/>
    <mergeCell ref="R49:R50"/>
    <mergeCell ref="T49:T50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BW47:BW48"/>
    <mergeCell ref="BX47:BX48"/>
    <mergeCell ref="AS45:AS46"/>
    <mergeCell ref="AT45:AT46"/>
    <mergeCell ref="AU45:AU46"/>
    <mergeCell ref="AV45:AV46"/>
    <mergeCell ref="AW45:AW46"/>
    <mergeCell ref="AX45:AX46"/>
    <mergeCell ref="BM45:BM46"/>
    <mergeCell ref="CU45:CU46"/>
    <mergeCell ref="CY45:CY46"/>
    <mergeCell ref="CZ45:CZ46"/>
    <mergeCell ref="BN45:BN46"/>
    <mergeCell ref="BR45:BR46"/>
    <mergeCell ref="CE45:CE46"/>
    <mergeCell ref="CF45:CF46"/>
    <mergeCell ref="CO45:CO46"/>
    <mergeCell ref="CP45:CP46"/>
    <mergeCell ref="CT45:CT46"/>
    <mergeCell ref="AH45:AH46"/>
    <mergeCell ref="AI45:AI46"/>
    <mergeCell ref="Z45:Z46"/>
    <mergeCell ref="AB45:AB46"/>
    <mergeCell ref="AC45:AC46"/>
    <mergeCell ref="AD45:AD46"/>
    <mergeCell ref="AE45:AE46"/>
    <mergeCell ref="AF45:AF46"/>
    <mergeCell ref="AG45:AG46"/>
    <mergeCell ref="AQ45:AQ46"/>
    <mergeCell ref="AR45:AR46"/>
    <mergeCell ref="AJ45:AJ46"/>
    <mergeCell ref="AK45:AK46"/>
    <mergeCell ref="AL45:AL46"/>
    <mergeCell ref="AM45:AM46"/>
    <mergeCell ref="AN45:AN46"/>
    <mergeCell ref="AO45:AO46"/>
    <mergeCell ref="AP45:AP46"/>
    <mergeCell ref="CU35:CU36"/>
    <mergeCell ref="CY35:CY36"/>
    <mergeCell ref="CZ35:CZ36"/>
    <mergeCell ref="CU37:CU38"/>
    <mergeCell ref="CY37:CY38"/>
    <mergeCell ref="CZ37:CZ38"/>
    <mergeCell ref="B37:B38"/>
    <mergeCell ref="C37:C38"/>
    <mergeCell ref="D37:D38"/>
    <mergeCell ref="E37:E38"/>
    <mergeCell ref="F37:F38"/>
    <mergeCell ref="H37:H38"/>
    <mergeCell ref="J37:J38"/>
    <mergeCell ref="Z35:Z36"/>
    <mergeCell ref="AB35:AB36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O35:AO36"/>
    <mergeCell ref="AP35:AP36"/>
    <mergeCell ref="AQ35:AQ36"/>
    <mergeCell ref="AR35:AR36"/>
    <mergeCell ref="AS35:AS36"/>
    <mergeCell ref="CO35:CO36"/>
    <mergeCell ref="CO37:CO38"/>
    <mergeCell ref="CT35:CT36"/>
    <mergeCell ref="CT37:CT38"/>
    <mergeCell ref="BW35:BW36"/>
    <mergeCell ref="BX35:BX36"/>
    <mergeCell ref="CF35:CF36"/>
    <mergeCell ref="CP35:CP36"/>
    <mergeCell ref="BX37:BX38"/>
    <mergeCell ref="CF37:CF38"/>
    <mergeCell ref="CP37:CP38"/>
    <mergeCell ref="AV35:AV36"/>
    <mergeCell ref="AW35:AW36"/>
    <mergeCell ref="AX35:AX36"/>
    <mergeCell ref="BM35:BM36"/>
    <mergeCell ref="BN35:BN36"/>
    <mergeCell ref="BR35:BR36"/>
    <mergeCell ref="BS35:BS36"/>
    <mergeCell ref="CE35:CE36"/>
    <mergeCell ref="CE37:CE38"/>
    <mergeCell ref="L35:L36"/>
    <mergeCell ref="N35:N36"/>
    <mergeCell ref="P35:P36"/>
    <mergeCell ref="R35:R36"/>
    <mergeCell ref="T35:T36"/>
    <mergeCell ref="V35:V36"/>
    <mergeCell ref="X35:X36"/>
    <mergeCell ref="B35:B36"/>
    <mergeCell ref="C35:C36"/>
    <mergeCell ref="D35:D36"/>
    <mergeCell ref="E35:E36"/>
    <mergeCell ref="F35:F36"/>
    <mergeCell ref="H35:H36"/>
    <mergeCell ref="J35:J36"/>
    <mergeCell ref="BS37:BS38"/>
    <mergeCell ref="BW37:BW38"/>
    <mergeCell ref="AU37:AU38"/>
    <mergeCell ref="AV37:AV38"/>
    <mergeCell ref="AW37:AW38"/>
    <mergeCell ref="AX37:AX38"/>
    <mergeCell ref="BM37:BM38"/>
    <mergeCell ref="BN37:BN38"/>
    <mergeCell ref="BR37:BR38"/>
    <mergeCell ref="AT35:AT36"/>
    <mergeCell ref="AU35:AU36"/>
    <mergeCell ref="Z37:Z38"/>
    <mergeCell ref="AB37:AB38"/>
    <mergeCell ref="L37:L38"/>
    <mergeCell ref="N37:N38"/>
    <mergeCell ref="P37:P38"/>
    <mergeCell ref="R37:R38"/>
    <mergeCell ref="T37:T38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O18:AO19"/>
    <mergeCell ref="AP18:AP19"/>
    <mergeCell ref="AQ18:AQ19"/>
    <mergeCell ref="AR18:AR19"/>
    <mergeCell ref="AS18:AS19"/>
    <mergeCell ref="AT18:AT19"/>
    <mergeCell ref="AU18:AU19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AU20:AU21"/>
    <mergeCell ref="AV20:AV21"/>
    <mergeCell ref="AW20:AW21"/>
    <mergeCell ref="AX20:AX21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D6:AD7"/>
    <mergeCell ref="AE6:AE7"/>
    <mergeCell ref="AF6:AF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F43:CF44"/>
    <mergeCell ref="CO43:CO44"/>
    <mergeCell ref="CP43:CP44"/>
    <mergeCell ref="CT43:CT44"/>
    <mergeCell ref="CU43:CU44"/>
    <mergeCell ref="CY43:CY44"/>
    <mergeCell ref="CZ43:CZ44"/>
    <mergeCell ref="AV43:AV44"/>
    <mergeCell ref="AW43:AW44"/>
    <mergeCell ref="AX43:AX44"/>
    <mergeCell ref="BM43:BM44"/>
    <mergeCell ref="BN43:BN44"/>
    <mergeCell ref="BR43:BR44"/>
    <mergeCell ref="BS43:BS44"/>
    <mergeCell ref="AW39:AW40"/>
    <mergeCell ref="AX39:AX40"/>
    <mergeCell ref="BM39:BM40"/>
    <mergeCell ref="BN39:BN40"/>
    <mergeCell ref="BR39:BR40"/>
    <mergeCell ref="BS39:BS40"/>
    <mergeCell ref="CF39:CF40"/>
    <mergeCell ref="CO39:CO40"/>
    <mergeCell ref="CP39:CP40"/>
    <mergeCell ref="CT39:CT40"/>
    <mergeCell ref="CU39:CU40"/>
    <mergeCell ref="CY39:CY40"/>
    <mergeCell ref="CZ39:CZ40"/>
    <mergeCell ref="CY41:CY42"/>
    <mergeCell ref="CZ41:CZ42"/>
    <mergeCell ref="CE39:CE40"/>
    <mergeCell ref="CE41:CE42"/>
    <mergeCell ref="CF41:CF42"/>
    <mergeCell ref="CO41:CO42"/>
    <mergeCell ref="CP41:CP42"/>
    <mergeCell ref="CT41:CT42"/>
    <mergeCell ref="CU41:CU42"/>
    <mergeCell ref="AJ37:AJ38"/>
    <mergeCell ref="AK37:AK38"/>
    <mergeCell ref="AC37:AC38"/>
    <mergeCell ref="AD37:AD38"/>
    <mergeCell ref="AE37:AE38"/>
    <mergeCell ref="AF37:AF38"/>
    <mergeCell ref="AG37:AG38"/>
    <mergeCell ref="AH37:AH38"/>
    <mergeCell ref="AI37:AI38"/>
    <mergeCell ref="AO39:AO40"/>
    <mergeCell ref="AP39:AP40"/>
    <mergeCell ref="AQ39:AQ40"/>
    <mergeCell ref="AR39:AR40"/>
    <mergeCell ref="AS39:AS40"/>
    <mergeCell ref="AT39:AT40"/>
    <mergeCell ref="AU39:AU40"/>
    <mergeCell ref="AV39:AV40"/>
    <mergeCell ref="AE30:AE31"/>
    <mergeCell ref="AF30:AF31"/>
    <mergeCell ref="AG30:AG31"/>
    <mergeCell ref="BW30:BW31"/>
    <mergeCell ref="BX30:BX31"/>
    <mergeCell ref="BS33:BS34"/>
    <mergeCell ref="BW33:BW34"/>
    <mergeCell ref="BX33:BX34"/>
    <mergeCell ref="L33:L34"/>
    <mergeCell ref="N33:N34"/>
    <mergeCell ref="P33:P34"/>
    <mergeCell ref="R33:R34"/>
    <mergeCell ref="T33:T34"/>
    <mergeCell ref="V33:V34"/>
    <mergeCell ref="X33:X34"/>
    <mergeCell ref="AH30:AH31"/>
    <mergeCell ref="AI30:AI31"/>
    <mergeCell ref="AJ30:AJ31"/>
    <mergeCell ref="AK30:AK31"/>
    <mergeCell ref="AL30:AL31"/>
    <mergeCell ref="AM30:AM31"/>
    <mergeCell ref="AN30:AN31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B28:B29"/>
    <mergeCell ref="C28:C29"/>
    <mergeCell ref="D28:D29"/>
    <mergeCell ref="E28:E29"/>
    <mergeCell ref="F28:F29"/>
    <mergeCell ref="H28:H29"/>
    <mergeCell ref="J28:J29"/>
    <mergeCell ref="AQ33:AQ34"/>
    <mergeCell ref="AR33:AR34"/>
    <mergeCell ref="AJ33:AJ34"/>
    <mergeCell ref="AK33:AK34"/>
    <mergeCell ref="AL33:AL34"/>
    <mergeCell ref="AM33:AM34"/>
    <mergeCell ref="AN33:AN34"/>
    <mergeCell ref="AO33:AO34"/>
    <mergeCell ref="AP33:AP34"/>
    <mergeCell ref="BN33:BN34"/>
    <mergeCell ref="BR33:BR34"/>
    <mergeCell ref="AS33:AS34"/>
    <mergeCell ref="AT33:AT34"/>
    <mergeCell ref="AU33:AU34"/>
    <mergeCell ref="AV33:AV34"/>
    <mergeCell ref="AW33:AW34"/>
    <mergeCell ref="AX33:AX34"/>
    <mergeCell ref="BM33:BM34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E33:AE34"/>
    <mergeCell ref="AF33:AF34"/>
    <mergeCell ref="AG33:AG34"/>
    <mergeCell ref="CU33:CU34"/>
    <mergeCell ref="CY33:CY34"/>
    <mergeCell ref="CZ33:CZ34"/>
    <mergeCell ref="AH33:AH34"/>
    <mergeCell ref="AI33:AI34"/>
    <mergeCell ref="CE33:CE34"/>
    <mergeCell ref="CF33:CF34"/>
    <mergeCell ref="CO33:CO34"/>
    <mergeCell ref="CP33:CP34"/>
    <mergeCell ref="CT33:CT34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B30:B31"/>
    <mergeCell ref="C30:C31"/>
    <mergeCell ref="D30:D31"/>
    <mergeCell ref="E30:E31"/>
    <mergeCell ref="F30:F31"/>
    <mergeCell ref="H30:H31"/>
    <mergeCell ref="J30:J31"/>
    <mergeCell ref="B33:B34"/>
    <mergeCell ref="C33:C34"/>
    <mergeCell ref="D33:D34"/>
    <mergeCell ref="E33:E34"/>
    <mergeCell ref="F33:F34"/>
    <mergeCell ref="H33:H34"/>
    <mergeCell ref="J33:J34"/>
    <mergeCell ref="B32:AD32"/>
    <mergeCell ref="Z33:Z34"/>
    <mergeCell ref="AB33:AB34"/>
    <mergeCell ref="AC33:AC34"/>
    <mergeCell ref="AD33:AD34"/>
    <mergeCell ref="AD30:AD31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V24:AV25"/>
    <mergeCell ref="AW24:AW25"/>
    <mergeCell ref="AX24:AX25"/>
    <mergeCell ref="BM24:BM25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B20:B21"/>
    <mergeCell ref="C20:C21"/>
    <mergeCell ref="D20:D21"/>
    <mergeCell ref="E20:E21"/>
    <mergeCell ref="F20:F21"/>
    <mergeCell ref="H20:H21"/>
    <mergeCell ref="J20:J21"/>
  </mergeCells>
  <conditionalFormatting sqref="AD2:AD31 AD33:AD148 AD154:AD164">
    <cfRule type="cellIs" dxfId="8" priority="1" operator="equal">
      <formula>1</formula>
    </cfRule>
  </conditionalFormatting>
  <conditionalFormatting sqref="AD2:AD31 AD33:AD148 AD154:AD164">
    <cfRule type="cellIs" dxfId="7" priority="2" operator="equal">
      <formula>2</formula>
    </cfRule>
  </conditionalFormatting>
  <conditionalFormatting sqref="AD2:AD31 AD33:AD148 AD154:AD164">
    <cfRule type="cellIs" dxfId="6" priority="3" operator="equal">
      <formula>3</formula>
    </cfRule>
  </conditionalFormatting>
  <conditionalFormatting sqref="T2:T31 V5:V31 T33:T164 V33:V148">
    <cfRule type="containsText" dxfId="5" priority="4" operator="containsText" text="Б1">
      <formula>NOT(ISERROR(SEARCH(("Б1"),(T2))))</formula>
    </cfRule>
  </conditionalFormatting>
  <conditionalFormatting sqref="T2:T31 V5:V31 T33:T164 V33:V148">
    <cfRule type="cellIs" dxfId="4" priority="5" operator="equal">
      <formula>"А1"</formula>
    </cfRule>
  </conditionalFormatting>
  <conditionalFormatting sqref="T2:T31 V5:V31 T33:T164 V33:V148">
    <cfRule type="cellIs" dxfId="3" priority="6" operator="equal">
      <formula>"А2"</formula>
    </cfRule>
  </conditionalFormatting>
  <conditionalFormatting sqref="T2:T31 V5:V31 T33:T164 V33:V148">
    <cfRule type="cellIs" dxfId="2" priority="7" operator="equal">
      <formula>"Б2"</formula>
    </cfRule>
  </conditionalFormatting>
  <conditionalFormatting sqref="F6:AA31 F33:AA148">
    <cfRule type="cellIs" dxfId="1" priority="8" operator="equal">
      <formula>"Х"</formula>
    </cfRule>
  </conditionalFormatting>
  <hyperlinks>
    <hyperlink ref="X1" r:id="rId1"/>
  </hyperlinks>
  <printOptions horizontalCentered="1"/>
  <pageMargins left="0.25" right="0.25" top="0.12526843235504656" bottom="0.75" header="0" footer="0"/>
  <pageSetup paperSize="9" fitToHeight="0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40"/>
  <sheetViews>
    <sheetView workbookViewId="0"/>
  </sheetViews>
  <sheetFormatPr defaultColWidth="12.6328125" defaultRowHeight="15.75" customHeight="1"/>
  <cols>
    <col min="1" max="1" width="1.26953125" customWidth="1"/>
    <col min="2" max="2" width="5.36328125" customWidth="1"/>
    <col min="3" max="3" width="21.08984375" customWidth="1"/>
    <col min="4" max="4" width="6.90625" customWidth="1"/>
    <col min="5" max="5" width="6" customWidth="1"/>
    <col min="7" max="7" width="30.26953125" customWidth="1"/>
    <col min="8" max="9" width="7.453125" customWidth="1"/>
    <col min="10" max="10" width="7.90625" customWidth="1"/>
  </cols>
  <sheetData>
    <row r="1" spans="1:10" ht="45.75" customHeight="1">
      <c r="A1" s="49"/>
      <c r="B1" s="367" t="str">
        <f ca="1">Пр.взв!C2</f>
        <v>Первенство России по самбо юниорки 18-20 лет (отбор на Первенство Мира и Европы) ЕКП № 23752</v>
      </c>
      <c r="C1" s="337"/>
      <c r="D1" s="337"/>
      <c r="E1" s="337"/>
      <c r="F1" s="337"/>
      <c r="G1" s="337"/>
      <c r="H1" s="337"/>
      <c r="I1" s="337"/>
      <c r="J1" s="340"/>
    </row>
    <row r="2" spans="1:10" ht="27" customHeight="1">
      <c r="A2" s="49"/>
      <c r="B2" s="199"/>
      <c r="C2" s="199"/>
      <c r="D2" s="368" t="s">
        <v>204</v>
      </c>
      <c r="E2" s="337"/>
      <c r="F2" s="337"/>
      <c r="G2" s="340"/>
      <c r="H2" s="200"/>
      <c r="I2" s="200"/>
      <c r="J2" s="200"/>
    </row>
    <row r="3" spans="1:10" ht="18">
      <c r="A3" s="49"/>
      <c r="B3" s="201"/>
      <c r="C3" s="202" t="s">
        <v>205</v>
      </c>
      <c r="D3" s="369" t="str">
        <f>Пр.хода!Z3</f>
        <v>В.к.  59  кг</v>
      </c>
      <c r="E3" s="264"/>
      <c r="F3" s="264"/>
      <c r="G3" s="264"/>
      <c r="H3" s="203"/>
      <c r="I3" s="203"/>
      <c r="J3" s="203"/>
    </row>
    <row r="4" spans="1:10" ht="12.5">
      <c r="A4" s="286"/>
      <c r="B4" s="373" t="s">
        <v>9</v>
      </c>
      <c r="C4" s="365" t="s">
        <v>10</v>
      </c>
      <c r="D4" s="363" t="s">
        <v>12</v>
      </c>
      <c r="E4" s="363" t="s">
        <v>206</v>
      </c>
      <c r="F4" s="364"/>
      <c r="G4" s="365" t="s">
        <v>207</v>
      </c>
      <c r="H4" s="370" t="s">
        <v>208</v>
      </c>
      <c r="I4" s="365" t="s">
        <v>209</v>
      </c>
      <c r="J4" s="371" t="s">
        <v>210</v>
      </c>
    </row>
    <row r="5" spans="1:10" ht="12.75" customHeight="1">
      <c r="A5" s="264"/>
      <c r="B5" s="359"/>
      <c r="C5" s="307"/>
      <c r="D5" s="324"/>
      <c r="E5" s="324"/>
      <c r="F5" s="322"/>
      <c r="G5" s="307"/>
      <c r="H5" s="324"/>
      <c r="I5" s="307"/>
      <c r="J5" s="372"/>
    </row>
    <row r="6" spans="1:10" ht="27.75" customHeight="1">
      <c r="A6" s="63"/>
      <c r="B6" s="204" t="e">
        <f>Пр.хода!AZ6</f>
        <v>#N/A</v>
      </c>
      <c r="C6" s="205" t="e">
        <f>IF(B6=0,"",(VLOOKUP($B6,Пр.взв!$D$6:$J$63,2,0)))</f>
        <v>#N/A</v>
      </c>
      <c r="D6" s="206" t="e">
        <f>IF(B6=0,"",(VLOOKUP($B6,Пр.взв!$D$6:$J$63,5,0)))</f>
        <v>#N/A</v>
      </c>
      <c r="E6" s="205" t="e">
        <f>IF(B6=0,"",(VLOOKUP($B6,Пр.взв!$D$6:$M$63,6,0)))</f>
        <v>#N/A</v>
      </c>
      <c r="F6" s="205" t="e">
        <f>IF(B6=0,"",(VLOOKUP($B6,Пр.взв!$D$6:$M$63,8,0)))</f>
        <v>#N/A</v>
      </c>
      <c r="G6" s="207"/>
      <c r="H6" s="207"/>
      <c r="I6" s="207"/>
      <c r="J6" s="208"/>
    </row>
    <row r="7" spans="1:10" ht="27.75" customHeight="1">
      <c r="A7" s="63"/>
      <c r="B7" s="209" t="e">
        <f>Пр.хода!AZ7</f>
        <v>#N/A</v>
      </c>
      <c r="C7" s="210" t="e">
        <f>IF(B7=0,"",(VLOOKUP($B7,Пр.взв!$D$6:$J$63,2,0)))</f>
        <v>#N/A</v>
      </c>
      <c r="D7" s="211" t="e">
        <f>IF(B7=0,"",(VLOOKUP($B7,Пр.взв!$D$6:$J$63,5,0)))</f>
        <v>#N/A</v>
      </c>
      <c r="E7" s="210" t="e">
        <f>IF(B7=0,"",(VLOOKUP($B7,Пр.взв!$D$6:$M$63,6,0)))</f>
        <v>#N/A</v>
      </c>
      <c r="F7" s="210" t="e">
        <f>IF(B7=0,"",(VLOOKUP($B7,Пр.взв!$D$6:$M$63,8,0)))</f>
        <v>#N/A</v>
      </c>
      <c r="G7" s="212"/>
      <c r="H7" s="212"/>
      <c r="I7" s="212"/>
      <c r="J7" s="213"/>
    </row>
    <row r="8" spans="1:10" ht="31.5" customHeight="1">
      <c r="B8" s="366" t="s">
        <v>211</v>
      </c>
      <c r="C8" s="264"/>
      <c r="D8" s="264"/>
      <c r="E8" s="49"/>
      <c r="F8" s="49"/>
      <c r="G8" s="49"/>
      <c r="H8" s="49"/>
      <c r="I8" s="49"/>
      <c r="J8" s="49"/>
    </row>
    <row r="9" spans="1:10" ht="31.5" customHeight="1">
      <c r="B9" s="49"/>
      <c r="C9" s="214" t="s">
        <v>212</v>
      </c>
      <c r="D9" s="215"/>
      <c r="E9" s="215"/>
      <c r="F9" s="215"/>
      <c r="G9" s="215"/>
      <c r="H9" s="215"/>
      <c r="I9" s="215"/>
      <c r="J9" s="215"/>
    </row>
    <row r="10" spans="1:10" ht="31.5" customHeight="1">
      <c r="B10" s="49"/>
      <c r="C10" s="214" t="s">
        <v>213</v>
      </c>
      <c r="D10" s="216"/>
      <c r="E10" s="216"/>
      <c r="F10" s="216"/>
      <c r="G10" s="216"/>
      <c r="H10" s="216"/>
      <c r="I10" s="216"/>
      <c r="J10" s="216"/>
    </row>
    <row r="11" spans="1:10" ht="12.5">
      <c r="D11" s="195"/>
    </row>
    <row r="12" spans="1:10" ht="12.5">
      <c r="A12" s="49"/>
      <c r="B12" s="367" t="str">
        <f ca="1">B1</f>
        <v>Первенство России по самбо юниорки 18-20 лет (отбор на Первенство Мира и Европы) ЕКП № 23752</v>
      </c>
      <c r="C12" s="337"/>
      <c r="D12" s="337"/>
      <c r="E12" s="337"/>
      <c r="F12" s="337"/>
      <c r="G12" s="337"/>
      <c r="H12" s="337"/>
      <c r="I12" s="337"/>
      <c r="J12" s="340"/>
    </row>
    <row r="13" spans="1:10" ht="25">
      <c r="A13" s="49"/>
      <c r="B13" s="199"/>
      <c r="C13" s="199"/>
      <c r="D13" s="368" t="s">
        <v>204</v>
      </c>
      <c r="E13" s="337"/>
      <c r="F13" s="337"/>
      <c r="G13" s="340"/>
      <c r="H13" s="200"/>
      <c r="I13" s="200"/>
      <c r="J13" s="200"/>
    </row>
    <row r="14" spans="1:10" ht="18">
      <c r="A14" s="49"/>
      <c r="B14" s="201"/>
      <c r="C14" s="202" t="s">
        <v>214</v>
      </c>
      <c r="D14" s="369" t="str">
        <f>D3</f>
        <v>В.к.  59  кг</v>
      </c>
      <c r="E14" s="264"/>
      <c r="F14" s="264"/>
      <c r="G14" s="264"/>
      <c r="H14" s="203"/>
      <c r="I14" s="203"/>
      <c r="J14" s="203"/>
    </row>
    <row r="15" spans="1:10" ht="12.5">
      <c r="A15" s="286"/>
      <c r="B15" s="373" t="s">
        <v>9</v>
      </c>
      <c r="C15" s="365" t="s">
        <v>10</v>
      </c>
      <c r="D15" s="363" t="s">
        <v>12</v>
      </c>
      <c r="E15" s="363" t="s">
        <v>206</v>
      </c>
      <c r="F15" s="364"/>
      <c r="G15" s="365" t="s">
        <v>207</v>
      </c>
      <c r="H15" s="370" t="s">
        <v>208</v>
      </c>
      <c r="I15" s="365" t="s">
        <v>209</v>
      </c>
      <c r="J15" s="371" t="s">
        <v>210</v>
      </c>
    </row>
    <row r="16" spans="1:10" ht="12.5">
      <c r="A16" s="264"/>
      <c r="B16" s="359"/>
      <c r="C16" s="307"/>
      <c r="D16" s="324"/>
      <c r="E16" s="324"/>
      <c r="F16" s="322"/>
      <c r="G16" s="307"/>
      <c r="H16" s="324"/>
      <c r="I16" s="307"/>
      <c r="J16" s="372"/>
    </row>
    <row r="17" spans="1:10" ht="27.75" customHeight="1">
      <c r="A17" s="63"/>
      <c r="B17" s="204" t="e">
        <f>Пр.хода!BA6</f>
        <v>#N/A</v>
      </c>
      <c r="C17" s="205" t="e">
        <f>IF(B17=0,"",(VLOOKUP($B17,Пр.взв!$D$6:$J$63,2,0)))</f>
        <v>#N/A</v>
      </c>
      <c r="D17" s="206" t="e">
        <f>IF(B17=0,"",(VLOOKUP($B17,Пр.взв!$D$6:$J$63,5,0)))</f>
        <v>#N/A</v>
      </c>
      <c r="E17" s="205" t="e">
        <f>IF(B17=0,"",(VLOOKUP($B17,Пр.взв!$D$6:$M$63,6,0)))</f>
        <v>#N/A</v>
      </c>
      <c r="F17" s="205" t="e">
        <f>IF(B17=0,"",(VLOOKUP($B17,Пр.взв!$D$6:$M$63,8,0)))</f>
        <v>#N/A</v>
      </c>
      <c r="G17" s="207"/>
      <c r="H17" s="207"/>
      <c r="I17" s="207"/>
      <c r="J17" s="208"/>
    </row>
    <row r="18" spans="1:10" ht="27.75" customHeight="1">
      <c r="A18" s="217"/>
      <c r="B18" s="209" t="e">
        <f>Пр.хода!BA7</f>
        <v>#N/A</v>
      </c>
      <c r="C18" s="210" t="e">
        <f>IF(B18=0,"",(VLOOKUP($B18,Пр.взв!$D$6:$J$63,2,0)))</f>
        <v>#N/A</v>
      </c>
      <c r="D18" s="211" t="e">
        <f>IF(B18=0,"",(VLOOKUP($B18,Пр.взв!$D$6:$J$63,5,0)))</f>
        <v>#N/A</v>
      </c>
      <c r="E18" s="210" t="e">
        <f>IF(B18=0,"",(VLOOKUP($B18,Пр.взв!$D$6:$M$63,6,0)))</f>
        <v>#N/A</v>
      </c>
      <c r="F18" s="210" t="e">
        <f>IF(B18=0,"",(VLOOKUP($B18,Пр.взв!$D$6:$M$63,8,0)))</f>
        <v>#N/A</v>
      </c>
      <c r="G18" s="212"/>
      <c r="H18" s="212"/>
      <c r="I18" s="212"/>
      <c r="J18" s="213"/>
    </row>
    <row r="19" spans="1:10" ht="31.5" customHeight="1">
      <c r="B19" s="366" t="s">
        <v>211</v>
      </c>
      <c r="C19" s="264"/>
      <c r="D19" s="264"/>
      <c r="E19" s="49"/>
      <c r="F19" s="49"/>
      <c r="G19" s="49"/>
      <c r="H19" s="49"/>
      <c r="I19" s="49"/>
      <c r="J19" s="49"/>
    </row>
    <row r="20" spans="1:10" ht="31.5" customHeight="1">
      <c r="B20" s="49"/>
      <c r="C20" s="214" t="s">
        <v>212</v>
      </c>
      <c r="D20" s="215"/>
      <c r="E20" s="215"/>
      <c r="F20" s="215"/>
      <c r="G20" s="215"/>
      <c r="H20" s="215"/>
      <c r="I20" s="215"/>
      <c r="J20" s="215"/>
    </row>
    <row r="21" spans="1:10" ht="31.5" customHeight="1">
      <c r="B21" s="49"/>
      <c r="C21" s="214" t="s">
        <v>213</v>
      </c>
      <c r="D21" s="216"/>
      <c r="E21" s="216"/>
      <c r="F21" s="216"/>
      <c r="G21" s="216"/>
      <c r="H21" s="216"/>
      <c r="I21" s="216"/>
      <c r="J21" s="216"/>
    </row>
    <row r="22" spans="1:10" ht="31.5" customHeight="1">
      <c r="B22" s="49"/>
      <c r="C22" s="214"/>
      <c r="D22" s="49"/>
      <c r="E22" s="49"/>
      <c r="F22" s="49"/>
      <c r="G22" s="49"/>
      <c r="H22" s="49"/>
      <c r="I22" s="49"/>
      <c r="J22" s="49"/>
    </row>
    <row r="23" spans="1:10" ht="12.5">
      <c r="A23" s="49"/>
      <c r="B23" s="367" t="str">
        <f ca="1">B1</f>
        <v>Первенство России по самбо юниорки 18-20 лет (отбор на Первенство Мира и Европы) ЕКП № 23752</v>
      </c>
      <c r="C23" s="337"/>
      <c r="D23" s="337"/>
      <c r="E23" s="337"/>
      <c r="F23" s="337"/>
      <c r="G23" s="337"/>
      <c r="H23" s="337"/>
      <c r="I23" s="337"/>
      <c r="J23" s="340"/>
    </row>
    <row r="24" spans="1:10" ht="25">
      <c r="A24" s="49"/>
      <c r="B24" s="199"/>
      <c r="C24" s="199"/>
      <c r="D24" s="368" t="s">
        <v>215</v>
      </c>
      <c r="E24" s="337"/>
      <c r="F24" s="337"/>
      <c r="G24" s="340"/>
      <c r="H24" s="200"/>
      <c r="I24" s="200"/>
      <c r="J24" s="200"/>
    </row>
    <row r="25" spans="1:10" ht="18">
      <c r="A25" s="49"/>
      <c r="B25" s="201"/>
      <c r="C25" s="202"/>
      <c r="D25" s="369" t="str">
        <f>D3</f>
        <v>В.к.  59  кг</v>
      </c>
      <c r="E25" s="264"/>
      <c r="F25" s="264"/>
      <c r="G25" s="264"/>
      <c r="H25" s="203"/>
      <c r="I25" s="203"/>
      <c r="J25" s="203"/>
    </row>
    <row r="26" spans="1:10" ht="12.5">
      <c r="A26" s="286"/>
      <c r="B26" s="373" t="s">
        <v>9</v>
      </c>
      <c r="C26" s="365" t="s">
        <v>10</v>
      </c>
      <c r="D26" s="363" t="s">
        <v>12</v>
      </c>
      <c r="E26" s="363" t="s">
        <v>206</v>
      </c>
      <c r="F26" s="364"/>
      <c r="G26" s="365" t="s">
        <v>207</v>
      </c>
      <c r="H26" s="370" t="s">
        <v>208</v>
      </c>
      <c r="I26" s="365" t="s">
        <v>209</v>
      </c>
      <c r="J26" s="371" t="s">
        <v>210</v>
      </c>
    </row>
    <row r="27" spans="1:10" ht="12.5">
      <c r="A27" s="264"/>
      <c r="B27" s="359"/>
      <c r="C27" s="307"/>
      <c r="D27" s="324"/>
      <c r="E27" s="324"/>
      <c r="F27" s="322"/>
      <c r="G27" s="307"/>
      <c r="H27" s="324"/>
      <c r="I27" s="307"/>
      <c r="J27" s="372"/>
    </row>
    <row r="28" spans="1:10" ht="27.75" customHeight="1">
      <c r="A28" s="63"/>
      <c r="B28" s="204" t="e">
        <f>Пр.хода!BB6</f>
        <v>#N/A</v>
      </c>
      <c r="C28" s="205" t="e">
        <f>IF(B28=0,"",(VLOOKUP($B28,Пр.взв!$D$6:$J$63,2,0)))</f>
        <v>#N/A</v>
      </c>
      <c r="D28" s="206" t="e">
        <f>IF(B28=0,"",(VLOOKUP($B28,Пр.взв!$D$6:$J$63,5,0)))</f>
        <v>#N/A</v>
      </c>
      <c r="E28" s="205" t="e">
        <f>IF(B28=0,"",(VLOOKUP($B28,Пр.взв!$D$6:$M$63,6,0)))</f>
        <v>#N/A</v>
      </c>
      <c r="F28" s="205" t="e">
        <f>IF(B28=0,"",(VLOOKUP($B28,Пр.взв!$D$6:$M$63,8,0)))</f>
        <v>#N/A</v>
      </c>
      <c r="G28" s="207"/>
      <c r="H28" s="207"/>
      <c r="I28" s="207"/>
      <c r="J28" s="208"/>
    </row>
    <row r="29" spans="1:10" ht="27.75" customHeight="1">
      <c r="A29" s="217"/>
      <c r="B29" s="209" t="e">
        <f>Пр.хода!BB7</f>
        <v>#N/A</v>
      </c>
      <c r="C29" s="210" t="e">
        <f>IF(B29=0,"",(VLOOKUP($B29,Пр.взв!$D$6:$J$63,2,0)))</f>
        <v>#N/A</v>
      </c>
      <c r="D29" s="211" t="e">
        <f>IF(B29=0,"",(VLOOKUP($B29,Пр.взв!$D$6:$J$63,5,0)))</f>
        <v>#N/A</v>
      </c>
      <c r="E29" s="210" t="e">
        <f>IF(B29=0,"",(VLOOKUP($B29,Пр.взв!$D$6:$M$63,6,0)))</f>
        <v>#N/A</v>
      </c>
      <c r="F29" s="210" t="e">
        <f>IF(B29=0,"",(VLOOKUP($B29,Пр.взв!$D$6:$M$63,8,0)))</f>
        <v>#N/A</v>
      </c>
      <c r="G29" s="212"/>
      <c r="H29" s="212"/>
      <c r="I29" s="212"/>
      <c r="J29" s="213"/>
    </row>
    <row r="30" spans="1:10" ht="31.5" customHeight="1">
      <c r="B30" s="366" t="s">
        <v>211</v>
      </c>
      <c r="C30" s="264"/>
      <c r="D30" s="264"/>
      <c r="E30" s="49"/>
      <c r="F30" s="49"/>
      <c r="G30" s="49"/>
      <c r="H30" s="49"/>
      <c r="I30" s="49"/>
      <c r="J30" s="49"/>
    </row>
    <row r="31" spans="1:10" ht="31.5" customHeight="1">
      <c r="B31" s="49"/>
      <c r="C31" s="214" t="s">
        <v>212</v>
      </c>
      <c r="D31" s="215"/>
      <c r="E31" s="215"/>
      <c r="F31" s="215"/>
      <c r="G31" s="215"/>
      <c r="H31" s="215"/>
      <c r="I31" s="215"/>
      <c r="J31" s="215"/>
    </row>
    <row r="32" spans="1:10" ht="31.5" customHeight="1">
      <c r="B32" s="49"/>
      <c r="C32" s="214" t="s">
        <v>213</v>
      </c>
      <c r="D32" s="216"/>
      <c r="E32" s="216"/>
      <c r="F32" s="216"/>
      <c r="G32" s="216"/>
      <c r="H32" s="216"/>
      <c r="I32" s="216"/>
      <c r="J32" s="216"/>
    </row>
    <row r="33" spans="2:10" ht="13">
      <c r="B33" s="49"/>
      <c r="C33" s="214"/>
      <c r="D33" s="49"/>
      <c r="E33" s="49"/>
      <c r="F33" s="49"/>
      <c r="G33" s="49"/>
      <c r="H33" s="49"/>
      <c r="I33" s="49"/>
      <c r="J33" s="49"/>
    </row>
    <row r="34" spans="2:10" ht="12.5">
      <c r="D34" s="195"/>
    </row>
    <row r="35" spans="2:10" ht="12.5">
      <c r="D35" s="195"/>
    </row>
    <row r="36" spans="2:10" ht="12.5">
      <c r="D36" s="195"/>
    </row>
    <row r="37" spans="2:10" ht="12.5">
      <c r="D37" s="195"/>
    </row>
    <row r="38" spans="2:10" ht="12.5">
      <c r="D38" s="195"/>
    </row>
    <row r="39" spans="2:10" ht="12.5">
      <c r="D39" s="195"/>
    </row>
    <row r="40" spans="2:10" ht="12.5">
      <c r="D40" s="195"/>
    </row>
    <row r="41" spans="2:10" ht="12.5">
      <c r="D41" s="195"/>
    </row>
    <row r="42" spans="2:10" ht="12.5">
      <c r="D42" s="195"/>
    </row>
    <row r="43" spans="2:10" ht="12.5">
      <c r="D43" s="195"/>
    </row>
    <row r="44" spans="2:10" ht="12.5">
      <c r="D44" s="195"/>
    </row>
    <row r="45" spans="2:10" ht="12.5">
      <c r="D45" s="195"/>
    </row>
    <row r="46" spans="2:10" ht="12.5">
      <c r="D46" s="195"/>
    </row>
    <row r="47" spans="2:10" ht="12.5">
      <c r="D47" s="195"/>
    </row>
    <row r="48" spans="2:10" ht="12.5">
      <c r="D48" s="195"/>
    </row>
    <row r="49" spans="4:4" ht="12.5">
      <c r="D49" s="195"/>
    </row>
    <row r="50" spans="4:4" ht="12.5">
      <c r="D50" s="195"/>
    </row>
    <row r="51" spans="4:4" ht="12.5">
      <c r="D51" s="195"/>
    </row>
    <row r="52" spans="4:4" ht="12.5">
      <c r="D52" s="195"/>
    </row>
    <row r="53" spans="4:4" ht="12.5">
      <c r="D53" s="195"/>
    </row>
    <row r="54" spans="4:4" ht="12.5">
      <c r="D54" s="195"/>
    </row>
    <row r="55" spans="4:4" ht="12.5">
      <c r="D55" s="195"/>
    </row>
    <row r="56" spans="4:4" ht="12.5">
      <c r="D56" s="195"/>
    </row>
    <row r="57" spans="4:4" ht="12.5">
      <c r="D57" s="195"/>
    </row>
    <row r="58" spans="4:4" ht="12.5">
      <c r="D58" s="195"/>
    </row>
    <row r="59" spans="4:4" ht="12.5">
      <c r="D59" s="195"/>
    </row>
    <row r="60" spans="4:4" ht="12.5">
      <c r="D60" s="195"/>
    </row>
    <row r="61" spans="4:4" ht="12.5">
      <c r="D61" s="195"/>
    </row>
    <row r="62" spans="4:4" ht="12.5">
      <c r="D62" s="195"/>
    </row>
    <row r="63" spans="4:4" ht="12.5">
      <c r="D63" s="195"/>
    </row>
    <row r="64" spans="4:4" ht="12.5">
      <c r="D64" s="195"/>
    </row>
    <row r="65" spans="4:4" ht="12.5">
      <c r="D65" s="195"/>
    </row>
    <row r="66" spans="4:4" ht="12.5">
      <c r="D66" s="195"/>
    </row>
    <row r="67" spans="4:4" ht="12.5">
      <c r="D67" s="195"/>
    </row>
    <row r="68" spans="4:4" ht="12.5">
      <c r="D68" s="195"/>
    </row>
    <row r="69" spans="4:4" ht="12.5">
      <c r="D69" s="195"/>
    </row>
    <row r="70" spans="4:4" ht="12.5">
      <c r="D70" s="195"/>
    </row>
    <row r="71" spans="4:4" ht="12.5">
      <c r="D71" s="195"/>
    </row>
    <row r="72" spans="4:4" ht="12.5">
      <c r="D72" s="195"/>
    </row>
    <row r="73" spans="4:4" ht="12.5">
      <c r="D73" s="195"/>
    </row>
    <row r="74" spans="4:4" ht="12.5">
      <c r="D74" s="195"/>
    </row>
    <row r="75" spans="4:4" ht="12.5">
      <c r="D75" s="195"/>
    </row>
    <row r="76" spans="4:4" ht="12.5">
      <c r="D76" s="195"/>
    </row>
    <row r="77" spans="4:4" ht="12.5">
      <c r="D77" s="195"/>
    </row>
    <row r="78" spans="4:4" ht="12.5">
      <c r="D78" s="195"/>
    </row>
    <row r="79" spans="4:4" ht="12.5">
      <c r="D79" s="195"/>
    </row>
    <row r="80" spans="4:4" ht="12.5">
      <c r="D80" s="195"/>
    </row>
    <row r="81" spans="4:4" ht="12.5">
      <c r="D81" s="195"/>
    </row>
    <row r="82" spans="4:4" ht="12.5">
      <c r="D82" s="195"/>
    </row>
    <row r="83" spans="4:4" ht="12.5">
      <c r="D83" s="195"/>
    </row>
    <row r="84" spans="4:4" ht="12.5">
      <c r="D84" s="195"/>
    </row>
    <row r="85" spans="4:4" ht="12.5">
      <c r="D85" s="195"/>
    </row>
    <row r="86" spans="4:4" ht="12.5">
      <c r="D86" s="195"/>
    </row>
    <row r="87" spans="4:4" ht="12.5">
      <c r="D87" s="195"/>
    </row>
    <row r="88" spans="4:4" ht="12.5">
      <c r="D88" s="195"/>
    </row>
    <row r="89" spans="4:4" ht="12.5">
      <c r="D89" s="195"/>
    </row>
    <row r="90" spans="4:4" ht="12.5">
      <c r="D90" s="195"/>
    </row>
    <row r="91" spans="4:4" ht="12.5">
      <c r="D91" s="195"/>
    </row>
    <row r="92" spans="4:4" ht="12.5">
      <c r="D92" s="195"/>
    </row>
    <row r="93" spans="4:4" ht="12.5">
      <c r="D93" s="195"/>
    </row>
    <row r="94" spans="4:4" ht="12.5">
      <c r="D94" s="195"/>
    </row>
    <row r="95" spans="4:4" ht="12.5">
      <c r="D95" s="195"/>
    </row>
    <row r="96" spans="4:4" ht="12.5">
      <c r="D96" s="195"/>
    </row>
    <row r="97" spans="4:4" ht="12.5">
      <c r="D97" s="195"/>
    </row>
    <row r="98" spans="4:4" ht="12.5">
      <c r="D98" s="195"/>
    </row>
    <row r="99" spans="4:4" ht="12.5">
      <c r="D99" s="195"/>
    </row>
    <row r="100" spans="4:4" ht="12.5">
      <c r="D100" s="195"/>
    </row>
    <row r="101" spans="4:4" ht="12.5">
      <c r="D101" s="195"/>
    </row>
    <row r="102" spans="4:4" ht="12.5">
      <c r="D102" s="195"/>
    </row>
    <row r="103" spans="4:4" ht="12.5">
      <c r="D103" s="195"/>
    </row>
    <row r="104" spans="4:4" ht="12.5">
      <c r="D104" s="195"/>
    </row>
    <row r="105" spans="4:4" ht="12.5">
      <c r="D105" s="195"/>
    </row>
    <row r="106" spans="4:4" ht="12.5">
      <c r="D106" s="195"/>
    </row>
    <row r="107" spans="4:4" ht="12.5">
      <c r="D107" s="195"/>
    </row>
    <row r="108" spans="4:4" ht="12.5">
      <c r="D108" s="195"/>
    </row>
    <row r="109" spans="4:4" ht="12.5">
      <c r="D109" s="195"/>
    </row>
    <row r="110" spans="4:4" ht="12.5">
      <c r="D110" s="195"/>
    </row>
    <row r="111" spans="4:4" ht="12.5">
      <c r="D111" s="195"/>
    </row>
    <row r="112" spans="4:4" ht="12.5">
      <c r="D112" s="195"/>
    </row>
    <row r="113" spans="4:4" ht="12.5">
      <c r="D113" s="195"/>
    </row>
    <row r="114" spans="4:4" ht="12.5">
      <c r="D114" s="195"/>
    </row>
    <row r="115" spans="4:4" ht="12.5">
      <c r="D115" s="195"/>
    </row>
    <row r="116" spans="4:4" ht="12.5">
      <c r="D116" s="195"/>
    </row>
    <row r="117" spans="4:4" ht="12.5">
      <c r="D117" s="195"/>
    </row>
    <row r="118" spans="4:4" ht="12.5">
      <c r="D118" s="195"/>
    </row>
    <row r="119" spans="4:4" ht="12.5">
      <c r="D119" s="195"/>
    </row>
    <row r="120" spans="4:4" ht="12.5">
      <c r="D120" s="195"/>
    </row>
    <row r="121" spans="4:4" ht="12.5">
      <c r="D121" s="195"/>
    </row>
    <row r="122" spans="4:4" ht="12.5">
      <c r="D122" s="195"/>
    </row>
    <row r="123" spans="4:4" ht="12.5">
      <c r="D123" s="195"/>
    </row>
    <row r="124" spans="4:4" ht="12.5">
      <c r="D124" s="195"/>
    </row>
    <row r="125" spans="4:4" ht="12.5">
      <c r="D125" s="195"/>
    </row>
    <row r="126" spans="4:4" ht="12.5">
      <c r="D126" s="195"/>
    </row>
    <row r="127" spans="4:4" ht="12.5">
      <c r="D127" s="195"/>
    </row>
    <row r="128" spans="4:4" ht="12.5">
      <c r="D128" s="195"/>
    </row>
    <row r="129" spans="4:4" ht="12.5">
      <c r="D129" s="195"/>
    </row>
    <row r="130" spans="4:4" ht="12.5">
      <c r="D130" s="195"/>
    </row>
    <row r="131" spans="4:4" ht="12.5">
      <c r="D131" s="195"/>
    </row>
    <row r="132" spans="4:4" ht="12.5">
      <c r="D132" s="195"/>
    </row>
    <row r="133" spans="4:4" ht="12.5">
      <c r="D133" s="195"/>
    </row>
    <row r="134" spans="4:4" ht="12.5">
      <c r="D134" s="195"/>
    </row>
    <row r="135" spans="4:4" ht="12.5">
      <c r="D135" s="195"/>
    </row>
    <row r="136" spans="4:4" ht="12.5">
      <c r="D136" s="195"/>
    </row>
    <row r="137" spans="4:4" ht="12.5">
      <c r="D137" s="195"/>
    </row>
    <row r="138" spans="4:4" ht="12.5">
      <c r="D138" s="195"/>
    </row>
    <row r="139" spans="4:4" ht="12.5">
      <c r="D139" s="195"/>
    </row>
    <row r="140" spans="4:4" ht="12.5">
      <c r="D140" s="195"/>
    </row>
    <row r="141" spans="4:4" ht="12.5">
      <c r="D141" s="195"/>
    </row>
    <row r="142" spans="4:4" ht="12.5">
      <c r="D142" s="195"/>
    </row>
    <row r="143" spans="4:4" ht="12.5">
      <c r="D143" s="195"/>
    </row>
    <row r="144" spans="4:4" ht="12.5">
      <c r="D144" s="195"/>
    </row>
    <row r="145" spans="4:4" ht="12.5">
      <c r="D145" s="195"/>
    </row>
    <row r="146" spans="4:4" ht="12.5">
      <c r="D146" s="195"/>
    </row>
    <row r="147" spans="4:4" ht="12.5">
      <c r="D147" s="195"/>
    </row>
    <row r="148" spans="4:4" ht="12.5">
      <c r="D148" s="195"/>
    </row>
    <row r="149" spans="4:4" ht="12.5">
      <c r="D149" s="195"/>
    </row>
    <row r="150" spans="4:4" ht="12.5">
      <c r="D150" s="195"/>
    </row>
    <row r="151" spans="4:4" ht="12.5">
      <c r="D151" s="195"/>
    </row>
    <row r="152" spans="4:4" ht="12.5">
      <c r="D152" s="195"/>
    </row>
    <row r="153" spans="4:4" ht="12.5">
      <c r="D153" s="195"/>
    </row>
    <row r="154" spans="4:4" ht="12.5">
      <c r="D154" s="195"/>
    </row>
    <row r="155" spans="4:4" ht="12.5">
      <c r="D155" s="195"/>
    </row>
    <row r="156" spans="4:4" ht="12.5">
      <c r="D156" s="195"/>
    </row>
    <row r="157" spans="4:4" ht="12.5">
      <c r="D157" s="195"/>
    </row>
    <row r="158" spans="4:4" ht="12.5">
      <c r="D158" s="195"/>
    </row>
    <row r="159" spans="4:4" ht="12.5">
      <c r="D159" s="195"/>
    </row>
    <row r="160" spans="4:4" ht="12.5">
      <c r="D160" s="195"/>
    </row>
    <row r="161" spans="4:4" ht="12.5">
      <c r="D161" s="195"/>
    </row>
    <row r="162" spans="4:4" ht="12.5">
      <c r="D162" s="195"/>
    </row>
    <row r="163" spans="4:4" ht="12.5">
      <c r="D163" s="195"/>
    </row>
    <row r="164" spans="4:4" ht="12.5">
      <c r="D164" s="195"/>
    </row>
    <row r="165" spans="4:4" ht="12.5">
      <c r="D165" s="195"/>
    </row>
    <row r="166" spans="4:4" ht="12.5">
      <c r="D166" s="195"/>
    </row>
    <row r="167" spans="4:4" ht="12.5">
      <c r="D167" s="195"/>
    </row>
    <row r="168" spans="4:4" ht="12.5">
      <c r="D168" s="195"/>
    </row>
    <row r="169" spans="4:4" ht="12.5">
      <c r="D169" s="195"/>
    </row>
    <row r="170" spans="4:4" ht="12.5">
      <c r="D170" s="195"/>
    </row>
    <row r="171" spans="4:4" ht="12.5">
      <c r="D171" s="195"/>
    </row>
    <row r="172" spans="4:4" ht="12.5">
      <c r="D172" s="195"/>
    </row>
    <row r="173" spans="4:4" ht="12.5">
      <c r="D173" s="195"/>
    </row>
    <row r="174" spans="4:4" ht="12.5">
      <c r="D174" s="195"/>
    </row>
    <row r="175" spans="4:4" ht="12.5">
      <c r="D175" s="195"/>
    </row>
    <row r="176" spans="4:4" ht="12.5">
      <c r="D176" s="195"/>
    </row>
    <row r="177" spans="4:4" ht="12.5">
      <c r="D177" s="195"/>
    </row>
    <row r="178" spans="4:4" ht="12.5">
      <c r="D178" s="195"/>
    </row>
    <row r="179" spans="4:4" ht="12.5">
      <c r="D179" s="195"/>
    </row>
    <row r="180" spans="4:4" ht="12.5">
      <c r="D180" s="195"/>
    </row>
    <row r="181" spans="4:4" ht="12.5">
      <c r="D181" s="195"/>
    </row>
    <row r="182" spans="4:4" ht="12.5">
      <c r="D182" s="195"/>
    </row>
    <row r="183" spans="4:4" ht="12.5">
      <c r="D183" s="195"/>
    </row>
    <row r="184" spans="4:4" ht="12.5">
      <c r="D184" s="195"/>
    </row>
    <row r="185" spans="4:4" ht="12.5">
      <c r="D185" s="195"/>
    </row>
    <row r="186" spans="4:4" ht="12.5">
      <c r="D186" s="195"/>
    </row>
    <row r="187" spans="4:4" ht="12.5">
      <c r="D187" s="195"/>
    </row>
    <row r="188" spans="4:4" ht="12.5">
      <c r="D188" s="195"/>
    </row>
    <row r="189" spans="4:4" ht="12.5">
      <c r="D189" s="195"/>
    </row>
    <row r="190" spans="4:4" ht="12.5">
      <c r="D190" s="195"/>
    </row>
    <row r="191" spans="4:4" ht="12.5">
      <c r="D191" s="195"/>
    </row>
    <row r="192" spans="4:4" ht="12.5">
      <c r="D192" s="195"/>
    </row>
    <row r="193" spans="4:4" ht="12.5">
      <c r="D193" s="195"/>
    </row>
    <row r="194" spans="4:4" ht="12.5">
      <c r="D194" s="195"/>
    </row>
    <row r="195" spans="4:4" ht="12.5">
      <c r="D195" s="195"/>
    </row>
    <row r="196" spans="4:4" ht="12.5">
      <c r="D196" s="195"/>
    </row>
    <row r="197" spans="4:4" ht="12.5">
      <c r="D197" s="195"/>
    </row>
    <row r="198" spans="4:4" ht="12.5">
      <c r="D198" s="195"/>
    </row>
    <row r="199" spans="4:4" ht="12.5">
      <c r="D199" s="195"/>
    </row>
    <row r="200" spans="4:4" ht="12.5">
      <c r="D200" s="195"/>
    </row>
    <row r="201" spans="4:4" ht="12.5">
      <c r="D201" s="195"/>
    </row>
    <row r="202" spans="4:4" ht="12.5">
      <c r="D202" s="195"/>
    </row>
    <row r="203" spans="4:4" ht="12.5">
      <c r="D203" s="195"/>
    </row>
    <row r="204" spans="4:4" ht="12.5">
      <c r="D204" s="195"/>
    </row>
    <row r="205" spans="4:4" ht="12.5">
      <c r="D205" s="195"/>
    </row>
    <row r="206" spans="4:4" ht="12.5">
      <c r="D206" s="195"/>
    </row>
    <row r="207" spans="4:4" ht="12.5">
      <c r="D207" s="195"/>
    </row>
    <row r="208" spans="4:4" ht="12.5">
      <c r="D208" s="195"/>
    </row>
    <row r="209" spans="4:4" ht="12.5">
      <c r="D209" s="195"/>
    </row>
    <row r="210" spans="4:4" ht="12.5">
      <c r="D210" s="195"/>
    </row>
    <row r="211" spans="4:4" ht="12.5">
      <c r="D211" s="195"/>
    </row>
    <row r="212" spans="4:4" ht="12.5">
      <c r="D212" s="195"/>
    </row>
    <row r="213" spans="4:4" ht="12.5">
      <c r="D213" s="195"/>
    </row>
    <row r="214" spans="4:4" ht="12.5">
      <c r="D214" s="195"/>
    </row>
    <row r="215" spans="4:4" ht="12.5">
      <c r="D215" s="195"/>
    </row>
    <row r="216" spans="4:4" ht="12.5">
      <c r="D216" s="195"/>
    </row>
    <row r="217" spans="4:4" ht="12.5">
      <c r="D217" s="195"/>
    </row>
    <row r="218" spans="4:4" ht="12.5">
      <c r="D218" s="195"/>
    </row>
    <row r="219" spans="4:4" ht="12.5">
      <c r="D219" s="195"/>
    </row>
    <row r="220" spans="4:4" ht="12.5">
      <c r="D220" s="195"/>
    </row>
    <row r="221" spans="4:4" ht="12.5">
      <c r="D221" s="195"/>
    </row>
    <row r="222" spans="4:4" ht="12.5">
      <c r="D222" s="195"/>
    </row>
    <row r="223" spans="4:4" ht="12.5">
      <c r="D223" s="195"/>
    </row>
    <row r="224" spans="4:4" ht="12.5">
      <c r="D224" s="195"/>
    </row>
    <row r="225" spans="4:4" ht="12.5">
      <c r="D225" s="195"/>
    </row>
    <row r="226" spans="4:4" ht="12.5">
      <c r="D226" s="195"/>
    </row>
    <row r="227" spans="4:4" ht="12.5">
      <c r="D227" s="195"/>
    </row>
    <row r="228" spans="4:4" ht="12.5">
      <c r="D228" s="195"/>
    </row>
    <row r="229" spans="4:4" ht="12.5">
      <c r="D229" s="195"/>
    </row>
    <row r="230" spans="4:4" ht="12.5">
      <c r="D230" s="195"/>
    </row>
    <row r="231" spans="4:4" ht="12.5">
      <c r="D231" s="195"/>
    </row>
    <row r="232" spans="4:4" ht="12.5">
      <c r="D232" s="195"/>
    </row>
    <row r="233" spans="4:4" ht="12.5">
      <c r="D233" s="195"/>
    </row>
    <row r="234" spans="4:4" ht="12.5">
      <c r="D234" s="195"/>
    </row>
    <row r="235" spans="4:4" ht="12.5">
      <c r="D235" s="195"/>
    </row>
    <row r="236" spans="4:4" ht="12.5">
      <c r="D236" s="195"/>
    </row>
    <row r="237" spans="4:4" ht="12.5">
      <c r="D237" s="195"/>
    </row>
    <row r="238" spans="4:4" ht="12.5">
      <c r="D238" s="195"/>
    </row>
    <row r="239" spans="4:4" ht="12.5">
      <c r="D239" s="195"/>
    </row>
    <row r="240" spans="4:4" ht="12.5">
      <c r="D240" s="195"/>
    </row>
    <row r="241" spans="4:4" ht="12.5">
      <c r="D241" s="195"/>
    </row>
    <row r="242" spans="4:4" ht="12.5">
      <c r="D242" s="195"/>
    </row>
    <row r="243" spans="4:4" ht="12.5">
      <c r="D243" s="195"/>
    </row>
    <row r="244" spans="4:4" ht="12.5">
      <c r="D244" s="195"/>
    </row>
    <row r="245" spans="4:4" ht="12.5">
      <c r="D245" s="195"/>
    </row>
    <row r="246" spans="4:4" ht="12.5">
      <c r="D246" s="195"/>
    </row>
    <row r="247" spans="4:4" ht="12.5">
      <c r="D247" s="195"/>
    </row>
    <row r="248" spans="4:4" ht="12.5">
      <c r="D248" s="195"/>
    </row>
    <row r="249" spans="4:4" ht="12.5">
      <c r="D249" s="195"/>
    </row>
    <row r="250" spans="4:4" ht="12.5">
      <c r="D250" s="195"/>
    </row>
    <row r="251" spans="4:4" ht="12.5">
      <c r="D251" s="195"/>
    </row>
    <row r="252" spans="4:4" ht="12.5">
      <c r="D252" s="195"/>
    </row>
    <row r="253" spans="4:4" ht="12.5">
      <c r="D253" s="195"/>
    </row>
    <row r="254" spans="4:4" ht="12.5">
      <c r="D254" s="195"/>
    </row>
    <row r="255" spans="4:4" ht="12.5">
      <c r="D255" s="195"/>
    </row>
    <row r="256" spans="4:4" ht="12.5">
      <c r="D256" s="195"/>
    </row>
    <row r="257" spans="4:4" ht="12.5">
      <c r="D257" s="195"/>
    </row>
    <row r="258" spans="4:4" ht="12.5">
      <c r="D258" s="195"/>
    </row>
    <row r="259" spans="4:4" ht="12.5">
      <c r="D259" s="195"/>
    </row>
    <row r="260" spans="4:4" ht="12.5">
      <c r="D260" s="195"/>
    </row>
    <row r="261" spans="4:4" ht="12.5">
      <c r="D261" s="195"/>
    </row>
    <row r="262" spans="4:4" ht="12.5">
      <c r="D262" s="195"/>
    </row>
    <row r="263" spans="4:4" ht="12.5">
      <c r="D263" s="195"/>
    </row>
    <row r="264" spans="4:4" ht="12.5">
      <c r="D264" s="195"/>
    </row>
    <row r="265" spans="4:4" ht="12.5">
      <c r="D265" s="195"/>
    </row>
    <row r="266" spans="4:4" ht="12.5">
      <c r="D266" s="195"/>
    </row>
    <row r="267" spans="4:4" ht="12.5">
      <c r="D267" s="195"/>
    </row>
    <row r="268" spans="4:4" ht="12.5">
      <c r="D268" s="195"/>
    </row>
    <row r="269" spans="4:4" ht="12.5">
      <c r="D269" s="195"/>
    </row>
    <row r="270" spans="4:4" ht="12.5">
      <c r="D270" s="195"/>
    </row>
    <row r="271" spans="4:4" ht="12.5">
      <c r="D271" s="195"/>
    </row>
    <row r="272" spans="4:4" ht="12.5">
      <c r="D272" s="195"/>
    </row>
    <row r="273" spans="4:4" ht="12.5">
      <c r="D273" s="195"/>
    </row>
    <row r="274" spans="4:4" ht="12.5">
      <c r="D274" s="195"/>
    </row>
    <row r="275" spans="4:4" ht="12.5">
      <c r="D275" s="195"/>
    </row>
    <row r="276" spans="4:4" ht="12.5">
      <c r="D276" s="195"/>
    </row>
    <row r="277" spans="4:4" ht="12.5">
      <c r="D277" s="195"/>
    </row>
    <row r="278" spans="4:4" ht="12.5">
      <c r="D278" s="195"/>
    </row>
    <row r="279" spans="4:4" ht="12.5">
      <c r="D279" s="195"/>
    </row>
    <row r="280" spans="4:4" ht="12.5">
      <c r="D280" s="195"/>
    </row>
    <row r="281" spans="4:4" ht="12.5">
      <c r="D281" s="195"/>
    </row>
    <row r="282" spans="4:4" ht="12.5">
      <c r="D282" s="195"/>
    </row>
    <row r="283" spans="4:4" ht="12.5">
      <c r="D283" s="195"/>
    </row>
    <row r="284" spans="4:4" ht="12.5">
      <c r="D284" s="195"/>
    </row>
    <row r="285" spans="4:4" ht="12.5">
      <c r="D285" s="195"/>
    </row>
    <row r="286" spans="4:4" ht="12.5">
      <c r="D286" s="195"/>
    </row>
    <row r="287" spans="4:4" ht="12.5">
      <c r="D287" s="195"/>
    </row>
    <row r="288" spans="4:4" ht="12.5">
      <c r="D288" s="195"/>
    </row>
    <row r="289" spans="4:4" ht="12.5">
      <c r="D289" s="195"/>
    </row>
    <row r="290" spans="4:4" ht="12.5">
      <c r="D290" s="195"/>
    </row>
    <row r="291" spans="4:4" ht="12.5">
      <c r="D291" s="195"/>
    </row>
    <row r="292" spans="4:4" ht="12.5">
      <c r="D292" s="195"/>
    </row>
    <row r="293" spans="4:4" ht="12.5">
      <c r="D293" s="195"/>
    </row>
    <row r="294" spans="4:4" ht="12.5">
      <c r="D294" s="195"/>
    </row>
    <row r="295" spans="4:4" ht="12.5">
      <c r="D295" s="195"/>
    </row>
    <row r="296" spans="4:4" ht="12.5">
      <c r="D296" s="195"/>
    </row>
    <row r="297" spans="4:4" ht="12.5">
      <c r="D297" s="195"/>
    </row>
    <row r="298" spans="4:4" ht="12.5">
      <c r="D298" s="195"/>
    </row>
    <row r="299" spans="4:4" ht="12.5">
      <c r="D299" s="195"/>
    </row>
    <row r="300" spans="4:4" ht="12.5">
      <c r="D300" s="195"/>
    </row>
    <row r="301" spans="4:4" ht="12.5">
      <c r="D301" s="195"/>
    </row>
    <row r="302" spans="4:4" ht="12.5">
      <c r="D302" s="195"/>
    </row>
    <row r="303" spans="4:4" ht="12.5">
      <c r="D303" s="195"/>
    </row>
    <row r="304" spans="4:4" ht="12.5">
      <c r="D304" s="195"/>
    </row>
    <row r="305" spans="4:4" ht="12.5">
      <c r="D305" s="195"/>
    </row>
    <row r="306" spans="4:4" ht="12.5">
      <c r="D306" s="195"/>
    </row>
    <row r="307" spans="4:4" ht="12.5">
      <c r="D307" s="195"/>
    </row>
    <row r="308" spans="4:4" ht="12.5">
      <c r="D308" s="195"/>
    </row>
    <row r="309" spans="4:4" ht="12.5">
      <c r="D309" s="195"/>
    </row>
    <row r="310" spans="4:4" ht="12.5">
      <c r="D310" s="195"/>
    </row>
    <row r="311" spans="4:4" ht="12.5">
      <c r="D311" s="195"/>
    </row>
    <row r="312" spans="4:4" ht="12.5">
      <c r="D312" s="195"/>
    </row>
    <row r="313" spans="4:4" ht="12.5">
      <c r="D313" s="195"/>
    </row>
    <row r="314" spans="4:4" ht="12.5">
      <c r="D314" s="195"/>
    </row>
    <row r="315" spans="4:4" ht="12.5">
      <c r="D315" s="195"/>
    </row>
    <row r="316" spans="4:4" ht="12.5">
      <c r="D316" s="195"/>
    </row>
    <row r="317" spans="4:4" ht="12.5">
      <c r="D317" s="195"/>
    </row>
    <row r="318" spans="4:4" ht="12.5">
      <c r="D318" s="195"/>
    </row>
    <row r="319" spans="4:4" ht="12.5">
      <c r="D319" s="195"/>
    </row>
    <row r="320" spans="4:4" ht="12.5">
      <c r="D320" s="195"/>
    </row>
    <row r="321" spans="4:4" ht="12.5">
      <c r="D321" s="195"/>
    </row>
    <row r="322" spans="4:4" ht="12.5">
      <c r="D322" s="195"/>
    </row>
    <row r="323" spans="4:4" ht="12.5">
      <c r="D323" s="195"/>
    </row>
    <row r="324" spans="4:4" ht="12.5">
      <c r="D324" s="195"/>
    </row>
    <row r="325" spans="4:4" ht="12.5">
      <c r="D325" s="195"/>
    </row>
    <row r="326" spans="4:4" ht="12.5">
      <c r="D326" s="195"/>
    </row>
    <row r="327" spans="4:4" ht="12.5">
      <c r="D327" s="195"/>
    </row>
    <row r="328" spans="4:4" ht="12.5">
      <c r="D328" s="195"/>
    </row>
    <row r="329" spans="4:4" ht="12.5">
      <c r="D329" s="195"/>
    </row>
    <row r="330" spans="4:4" ht="12.5">
      <c r="D330" s="195"/>
    </row>
    <row r="331" spans="4:4" ht="12.5">
      <c r="D331" s="195"/>
    </row>
    <row r="332" spans="4:4" ht="12.5">
      <c r="D332" s="195"/>
    </row>
    <row r="333" spans="4:4" ht="12.5">
      <c r="D333" s="195"/>
    </row>
    <row r="334" spans="4:4" ht="12.5">
      <c r="D334" s="195"/>
    </row>
    <row r="335" spans="4:4" ht="12.5">
      <c r="D335" s="195"/>
    </row>
    <row r="336" spans="4:4" ht="12.5">
      <c r="D336" s="195"/>
    </row>
    <row r="337" spans="4:4" ht="12.5">
      <c r="D337" s="195"/>
    </row>
    <row r="338" spans="4:4" ht="12.5">
      <c r="D338" s="195"/>
    </row>
    <row r="339" spans="4:4" ht="12.5">
      <c r="D339" s="195"/>
    </row>
    <row r="340" spans="4:4" ht="12.5">
      <c r="D340" s="195"/>
    </row>
    <row r="341" spans="4:4" ht="12.5">
      <c r="D341" s="195"/>
    </row>
    <row r="342" spans="4:4" ht="12.5">
      <c r="D342" s="195"/>
    </row>
    <row r="343" spans="4:4" ht="12.5">
      <c r="D343" s="195"/>
    </row>
    <row r="344" spans="4:4" ht="12.5">
      <c r="D344" s="195"/>
    </row>
    <row r="345" spans="4:4" ht="12.5">
      <c r="D345" s="195"/>
    </row>
    <row r="346" spans="4:4" ht="12.5">
      <c r="D346" s="195"/>
    </row>
    <row r="347" spans="4:4" ht="12.5">
      <c r="D347" s="195"/>
    </row>
    <row r="348" spans="4:4" ht="12.5">
      <c r="D348" s="195"/>
    </row>
    <row r="349" spans="4:4" ht="12.5">
      <c r="D349" s="195"/>
    </row>
    <row r="350" spans="4:4" ht="12.5">
      <c r="D350" s="195"/>
    </row>
    <row r="351" spans="4:4" ht="12.5">
      <c r="D351" s="195"/>
    </row>
    <row r="352" spans="4:4" ht="12.5">
      <c r="D352" s="195"/>
    </row>
    <row r="353" spans="4:4" ht="12.5">
      <c r="D353" s="195"/>
    </row>
    <row r="354" spans="4:4" ht="12.5">
      <c r="D354" s="195"/>
    </row>
    <row r="355" spans="4:4" ht="12.5">
      <c r="D355" s="195"/>
    </row>
    <row r="356" spans="4:4" ht="12.5">
      <c r="D356" s="195"/>
    </row>
    <row r="357" spans="4:4" ht="12.5">
      <c r="D357" s="195"/>
    </row>
    <row r="358" spans="4:4" ht="12.5">
      <c r="D358" s="195"/>
    </row>
    <row r="359" spans="4:4" ht="12.5">
      <c r="D359" s="195"/>
    </row>
    <row r="360" spans="4:4" ht="12.5">
      <c r="D360" s="195"/>
    </row>
    <row r="361" spans="4:4" ht="12.5">
      <c r="D361" s="195"/>
    </row>
    <row r="362" spans="4:4" ht="12.5">
      <c r="D362" s="195"/>
    </row>
    <row r="363" spans="4:4" ht="12.5">
      <c r="D363" s="195"/>
    </row>
    <row r="364" spans="4:4" ht="12.5">
      <c r="D364" s="195"/>
    </row>
    <row r="365" spans="4:4" ht="12.5">
      <c r="D365" s="195"/>
    </row>
    <row r="366" spans="4:4" ht="12.5">
      <c r="D366" s="195"/>
    </row>
    <row r="367" spans="4:4" ht="12.5">
      <c r="D367" s="195"/>
    </row>
    <row r="368" spans="4:4" ht="12.5">
      <c r="D368" s="195"/>
    </row>
    <row r="369" spans="4:4" ht="12.5">
      <c r="D369" s="195"/>
    </row>
    <row r="370" spans="4:4" ht="12.5">
      <c r="D370" s="195"/>
    </row>
    <row r="371" spans="4:4" ht="12.5">
      <c r="D371" s="195"/>
    </row>
    <row r="372" spans="4:4" ht="12.5">
      <c r="D372" s="195"/>
    </row>
    <row r="373" spans="4:4" ht="12.5">
      <c r="D373" s="195"/>
    </row>
    <row r="374" spans="4:4" ht="12.5">
      <c r="D374" s="195"/>
    </row>
    <row r="375" spans="4:4" ht="12.5">
      <c r="D375" s="195"/>
    </row>
    <row r="376" spans="4:4" ht="12.5">
      <c r="D376" s="195"/>
    </row>
    <row r="377" spans="4:4" ht="12.5">
      <c r="D377" s="195"/>
    </row>
    <row r="378" spans="4:4" ht="12.5">
      <c r="D378" s="195"/>
    </row>
    <row r="379" spans="4:4" ht="12.5">
      <c r="D379" s="195"/>
    </row>
    <row r="380" spans="4:4" ht="12.5">
      <c r="D380" s="195"/>
    </row>
    <row r="381" spans="4:4" ht="12.5">
      <c r="D381" s="195"/>
    </row>
    <row r="382" spans="4:4" ht="12.5">
      <c r="D382" s="195"/>
    </row>
    <row r="383" spans="4:4" ht="12.5">
      <c r="D383" s="195"/>
    </row>
    <row r="384" spans="4:4" ht="12.5">
      <c r="D384" s="195"/>
    </row>
    <row r="385" spans="4:4" ht="12.5">
      <c r="D385" s="195"/>
    </row>
    <row r="386" spans="4:4" ht="12.5">
      <c r="D386" s="195"/>
    </row>
    <row r="387" spans="4:4" ht="12.5">
      <c r="D387" s="195"/>
    </row>
    <row r="388" spans="4:4" ht="12.5">
      <c r="D388" s="195"/>
    </row>
    <row r="389" spans="4:4" ht="12.5">
      <c r="D389" s="195"/>
    </row>
    <row r="390" spans="4:4" ht="12.5">
      <c r="D390" s="195"/>
    </row>
    <row r="391" spans="4:4" ht="12.5">
      <c r="D391" s="195"/>
    </row>
    <row r="392" spans="4:4" ht="12.5">
      <c r="D392" s="195"/>
    </row>
    <row r="393" spans="4:4" ht="12.5">
      <c r="D393" s="195"/>
    </row>
    <row r="394" spans="4:4" ht="12.5">
      <c r="D394" s="195"/>
    </row>
    <row r="395" spans="4:4" ht="12.5">
      <c r="D395" s="195"/>
    </row>
    <row r="396" spans="4:4" ht="12.5">
      <c r="D396" s="195"/>
    </row>
    <row r="397" spans="4:4" ht="12.5">
      <c r="D397" s="195"/>
    </row>
    <row r="398" spans="4:4" ht="12.5">
      <c r="D398" s="195"/>
    </row>
    <row r="399" spans="4:4" ht="12.5">
      <c r="D399" s="195"/>
    </row>
    <row r="400" spans="4:4" ht="12.5">
      <c r="D400" s="195"/>
    </row>
    <row r="401" spans="4:4" ht="12.5">
      <c r="D401" s="195"/>
    </row>
    <row r="402" spans="4:4" ht="12.5">
      <c r="D402" s="195"/>
    </row>
    <row r="403" spans="4:4" ht="12.5">
      <c r="D403" s="195"/>
    </row>
    <row r="404" spans="4:4" ht="12.5">
      <c r="D404" s="195"/>
    </row>
    <row r="405" spans="4:4" ht="12.5">
      <c r="D405" s="195"/>
    </row>
    <row r="406" spans="4:4" ht="12.5">
      <c r="D406" s="195"/>
    </row>
    <row r="407" spans="4:4" ht="12.5">
      <c r="D407" s="195"/>
    </row>
    <row r="408" spans="4:4" ht="12.5">
      <c r="D408" s="195"/>
    </row>
    <row r="409" spans="4:4" ht="12.5">
      <c r="D409" s="195"/>
    </row>
    <row r="410" spans="4:4" ht="12.5">
      <c r="D410" s="195"/>
    </row>
    <row r="411" spans="4:4" ht="12.5">
      <c r="D411" s="195"/>
    </row>
    <row r="412" spans="4:4" ht="12.5">
      <c r="D412" s="195"/>
    </row>
    <row r="413" spans="4:4" ht="12.5">
      <c r="D413" s="195"/>
    </row>
    <row r="414" spans="4:4" ht="12.5">
      <c r="D414" s="195"/>
    </row>
    <row r="415" spans="4:4" ht="12.5">
      <c r="D415" s="195"/>
    </row>
    <row r="416" spans="4:4" ht="12.5">
      <c r="D416" s="195"/>
    </row>
    <row r="417" spans="4:4" ht="12.5">
      <c r="D417" s="195"/>
    </row>
    <row r="418" spans="4:4" ht="12.5">
      <c r="D418" s="195"/>
    </row>
    <row r="419" spans="4:4" ht="12.5">
      <c r="D419" s="195"/>
    </row>
    <row r="420" spans="4:4" ht="12.5">
      <c r="D420" s="195"/>
    </row>
    <row r="421" spans="4:4" ht="12.5">
      <c r="D421" s="195"/>
    </row>
    <row r="422" spans="4:4" ht="12.5">
      <c r="D422" s="195"/>
    </row>
    <row r="423" spans="4:4" ht="12.5">
      <c r="D423" s="195"/>
    </row>
    <row r="424" spans="4:4" ht="12.5">
      <c r="D424" s="195"/>
    </row>
    <row r="425" spans="4:4" ht="12.5">
      <c r="D425" s="195"/>
    </row>
    <row r="426" spans="4:4" ht="12.5">
      <c r="D426" s="195"/>
    </row>
    <row r="427" spans="4:4" ht="12.5">
      <c r="D427" s="195"/>
    </row>
    <row r="428" spans="4:4" ht="12.5">
      <c r="D428" s="195"/>
    </row>
    <row r="429" spans="4:4" ht="12.5">
      <c r="D429" s="195"/>
    </row>
    <row r="430" spans="4:4" ht="12.5">
      <c r="D430" s="195"/>
    </row>
    <row r="431" spans="4:4" ht="12.5">
      <c r="D431" s="195"/>
    </row>
    <row r="432" spans="4:4" ht="12.5">
      <c r="D432" s="195"/>
    </row>
    <row r="433" spans="4:4" ht="12.5">
      <c r="D433" s="195"/>
    </row>
    <row r="434" spans="4:4" ht="12.5">
      <c r="D434" s="195"/>
    </row>
    <row r="435" spans="4:4" ht="12.5">
      <c r="D435" s="195"/>
    </row>
    <row r="436" spans="4:4" ht="12.5">
      <c r="D436" s="195"/>
    </row>
    <row r="437" spans="4:4" ht="12.5">
      <c r="D437" s="195"/>
    </row>
    <row r="438" spans="4:4" ht="12.5">
      <c r="D438" s="195"/>
    </row>
    <row r="439" spans="4:4" ht="12.5">
      <c r="D439" s="195"/>
    </row>
    <row r="440" spans="4:4" ht="12.5">
      <c r="D440" s="195"/>
    </row>
    <row r="441" spans="4:4" ht="12.5">
      <c r="D441" s="195"/>
    </row>
    <row r="442" spans="4:4" ht="12.5">
      <c r="D442" s="195"/>
    </row>
    <row r="443" spans="4:4" ht="12.5">
      <c r="D443" s="195"/>
    </row>
    <row r="444" spans="4:4" ht="12.5">
      <c r="D444" s="195"/>
    </row>
    <row r="445" spans="4:4" ht="12.5">
      <c r="D445" s="195"/>
    </row>
    <row r="446" spans="4:4" ht="12.5">
      <c r="D446" s="195"/>
    </row>
    <row r="447" spans="4:4" ht="12.5">
      <c r="D447" s="195"/>
    </row>
    <row r="448" spans="4:4" ht="12.5">
      <c r="D448" s="195"/>
    </row>
    <row r="449" spans="4:4" ht="12.5">
      <c r="D449" s="195"/>
    </row>
    <row r="450" spans="4:4" ht="12.5">
      <c r="D450" s="195"/>
    </row>
    <row r="451" spans="4:4" ht="12.5">
      <c r="D451" s="195"/>
    </row>
    <row r="452" spans="4:4" ht="12.5">
      <c r="D452" s="195"/>
    </row>
    <row r="453" spans="4:4" ht="12.5">
      <c r="D453" s="195"/>
    </row>
    <row r="454" spans="4:4" ht="12.5">
      <c r="D454" s="195"/>
    </row>
    <row r="455" spans="4:4" ht="12.5">
      <c r="D455" s="195"/>
    </row>
    <row r="456" spans="4:4" ht="12.5">
      <c r="D456" s="195"/>
    </row>
    <row r="457" spans="4:4" ht="12.5">
      <c r="D457" s="195"/>
    </row>
    <row r="458" spans="4:4" ht="12.5">
      <c r="D458" s="195"/>
    </row>
    <row r="459" spans="4:4" ht="12.5">
      <c r="D459" s="195"/>
    </row>
    <row r="460" spans="4:4" ht="12.5">
      <c r="D460" s="195"/>
    </row>
    <row r="461" spans="4:4" ht="12.5">
      <c r="D461" s="195"/>
    </row>
    <row r="462" spans="4:4" ht="12.5">
      <c r="D462" s="195"/>
    </row>
    <row r="463" spans="4:4" ht="12.5">
      <c r="D463" s="195"/>
    </row>
    <row r="464" spans="4:4" ht="12.5">
      <c r="D464" s="195"/>
    </row>
    <row r="465" spans="4:4" ht="12.5">
      <c r="D465" s="195"/>
    </row>
    <row r="466" spans="4:4" ht="12.5">
      <c r="D466" s="195"/>
    </row>
    <row r="467" spans="4:4" ht="12.5">
      <c r="D467" s="195"/>
    </row>
    <row r="468" spans="4:4" ht="12.5">
      <c r="D468" s="195"/>
    </row>
    <row r="469" spans="4:4" ht="12.5">
      <c r="D469" s="195"/>
    </row>
    <row r="470" spans="4:4" ht="12.5">
      <c r="D470" s="195"/>
    </row>
    <row r="471" spans="4:4" ht="12.5">
      <c r="D471" s="195"/>
    </row>
    <row r="472" spans="4:4" ht="12.5">
      <c r="D472" s="195"/>
    </row>
    <row r="473" spans="4:4" ht="12.5">
      <c r="D473" s="195"/>
    </row>
    <row r="474" spans="4:4" ht="12.5">
      <c r="D474" s="195"/>
    </row>
    <row r="475" spans="4:4" ht="12.5">
      <c r="D475" s="195"/>
    </row>
    <row r="476" spans="4:4" ht="12.5">
      <c r="D476" s="195"/>
    </row>
    <row r="477" spans="4:4" ht="12.5">
      <c r="D477" s="195"/>
    </row>
    <row r="478" spans="4:4" ht="12.5">
      <c r="D478" s="195"/>
    </row>
    <row r="479" spans="4:4" ht="12.5">
      <c r="D479" s="195"/>
    </row>
    <row r="480" spans="4:4" ht="12.5">
      <c r="D480" s="195"/>
    </row>
    <row r="481" spans="4:4" ht="12.5">
      <c r="D481" s="195"/>
    </row>
    <row r="482" spans="4:4" ht="12.5">
      <c r="D482" s="195"/>
    </row>
    <row r="483" spans="4:4" ht="12.5">
      <c r="D483" s="195"/>
    </row>
    <row r="484" spans="4:4" ht="12.5">
      <c r="D484" s="195"/>
    </row>
    <row r="485" spans="4:4" ht="12.5">
      <c r="D485" s="195"/>
    </row>
    <row r="486" spans="4:4" ht="12.5">
      <c r="D486" s="195"/>
    </row>
    <row r="487" spans="4:4" ht="12.5">
      <c r="D487" s="195"/>
    </row>
    <row r="488" spans="4:4" ht="12.5">
      <c r="D488" s="195"/>
    </row>
    <row r="489" spans="4:4" ht="12.5">
      <c r="D489" s="195"/>
    </row>
    <row r="490" spans="4:4" ht="12.5">
      <c r="D490" s="195"/>
    </row>
    <row r="491" spans="4:4" ht="12.5">
      <c r="D491" s="195"/>
    </row>
    <row r="492" spans="4:4" ht="12.5">
      <c r="D492" s="195"/>
    </row>
    <row r="493" spans="4:4" ht="12.5">
      <c r="D493" s="195"/>
    </row>
    <row r="494" spans="4:4" ht="12.5">
      <c r="D494" s="195"/>
    </row>
    <row r="495" spans="4:4" ht="12.5">
      <c r="D495" s="195"/>
    </row>
    <row r="496" spans="4:4" ht="12.5">
      <c r="D496" s="195"/>
    </row>
    <row r="497" spans="4:4" ht="12.5">
      <c r="D497" s="195"/>
    </row>
    <row r="498" spans="4:4" ht="12.5">
      <c r="D498" s="195"/>
    </row>
    <row r="499" spans="4:4" ht="12.5">
      <c r="D499" s="195"/>
    </row>
    <row r="500" spans="4:4" ht="12.5">
      <c r="D500" s="195"/>
    </row>
    <row r="501" spans="4:4" ht="12.5">
      <c r="D501" s="195"/>
    </row>
    <row r="502" spans="4:4" ht="12.5">
      <c r="D502" s="195"/>
    </row>
    <row r="503" spans="4:4" ht="12.5">
      <c r="D503" s="195"/>
    </row>
    <row r="504" spans="4:4" ht="12.5">
      <c r="D504" s="195"/>
    </row>
    <row r="505" spans="4:4" ht="12.5">
      <c r="D505" s="195"/>
    </row>
    <row r="506" spans="4:4" ht="12.5">
      <c r="D506" s="195"/>
    </row>
    <row r="507" spans="4:4" ht="12.5">
      <c r="D507" s="195"/>
    </row>
    <row r="508" spans="4:4" ht="12.5">
      <c r="D508" s="195"/>
    </row>
    <row r="509" spans="4:4" ht="12.5">
      <c r="D509" s="195"/>
    </row>
    <row r="510" spans="4:4" ht="12.5">
      <c r="D510" s="195"/>
    </row>
    <row r="511" spans="4:4" ht="12.5">
      <c r="D511" s="195"/>
    </row>
    <row r="512" spans="4:4" ht="12.5">
      <c r="D512" s="195"/>
    </row>
    <row r="513" spans="4:4" ht="12.5">
      <c r="D513" s="195"/>
    </row>
    <row r="514" spans="4:4" ht="12.5">
      <c r="D514" s="195"/>
    </row>
    <row r="515" spans="4:4" ht="12.5">
      <c r="D515" s="195"/>
    </row>
    <row r="516" spans="4:4" ht="12.5">
      <c r="D516" s="195"/>
    </row>
    <row r="517" spans="4:4" ht="12.5">
      <c r="D517" s="195"/>
    </row>
    <row r="518" spans="4:4" ht="12.5">
      <c r="D518" s="195"/>
    </row>
    <row r="519" spans="4:4" ht="12.5">
      <c r="D519" s="195"/>
    </row>
    <row r="520" spans="4:4" ht="12.5">
      <c r="D520" s="195"/>
    </row>
    <row r="521" spans="4:4" ht="12.5">
      <c r="D521" s="195"/>
    </row>
    <row r="522" spans="4:4" ht="12.5">
      <c r="D522" s="195"/>
    </row>
    <row r="523" spans="4:4" ht="12.5">
      <c r="D523" s="195"/>
    </row>
    <row r="524" spans="4:4" ht="12.5">
      <c r="D524" s="195"/>
    </row>
    <row r="525" spans="4:4" ht="12.5">
      <c r="D525" s="195"/>
    </row>
    <row r="526" spans="4:4" ht="12.5">
      <c r="D526" s="195"/>
    </row>
    <row r="527" spans="4:4" ht="12.5">
      <c r="D527" s="195"/>
    </row>
    <row r="528" spans="4:4" ht="12.5">
      <c r="D528" s="195"/>
    </row>
    <row r="529" spans="4:4" ht="12.5">
      <c r="D529" s="195"/>
    </row>
    <row r="530" spans="4:4" ht="12.5">
      <c r="D530" s="195"/>
    </row>
    <row r="531" spans="4:4" ht="12.5">
      <c r="D531" s="195"/>
    </row>
    <row r="532" spans="4:4" ht="12.5">
      <c r="D532" s="195"/>
    </row>
    <row r="533" spans="4:4" ht="12.5">
      <c r="D533" s="195"/>
    </row>
    <row r="534" spans="4:4" ht="12.5">
      <c r="D534" s="195"/>
    </row>
    <row r="535" spans="4:4" ht="12.5">
      <c r="D535" s="195"/>
    </row>
    <row r="536" spans="4:4" ht="12.5">
      <c r="D536" s="195"/>
    </row>
    <row r="537" spans="4:4" ht="12.5">
      <c r="D537" s="195"/>
    </row>
    <row r="538" spans="4:4" ht="12.5">
      <c r="D538" s="195"/>
    </row>
    <row r="539" spans="4:4" ht="12.5">
      <c r="D539" s="195"/>
    </row>
    <row r="540" spans="4:4" ht="12.5">
      <c r="D540" s="195"/>
    </row>
    <row r="541" spans="4:4" ht="12.5">
      <c r="D541" s="195"/>
    </row>
    <row r="542" spans="4:4" ht="12.5">
      <c r="D542" s="195"/>
    </row>
    <row r="543" spans="4:4" ht="12.5">
      <c r="D543" s="195"/>
    </row>
    <row r="544" spans="4:4" ht="12.5">
      <c r="D544" s="195"/>
    </row>
    <row r="545" spans="4:4" ht="12.5">
      <c r="D545" s="195"/>
    </row>
    <row r="546" spans="4:4" ht="12.5">
      <c r="D546" s="195"/>
    </row>
    <row r="547" spans="4:4" ht="12.5">
      <c r="D547" s="195"/>
    </row>
    <row r="548" spans="4:4" ht="12.5">
      <c r="D548" s="195"/>
    </row>
    <row r="549" spans="4:4" ht="12.5">
      <c r="D549" s="195"/>
    </row>
    <row r="550" spans="4:4" ht="12.5">
      <c r="D550" s="195"/>
    </row>
    <row r="551" spans="4:4" ht="12.5">
      <c r="D551" s="195"/>
    </row>
    <row r="552" spans="4:4" ht="12.5">
      <c r="D552" s="195"/>
    </row>
    <row r="553" spans="4:4" ht="12.5">
      <c r="D553" s="195"/>
    </row>
    <row r="554" spans="4:4" ht="12.5">
      <c r="D554" s="195"/>
    </row>
    <row r="555" spans="4:4" ht="12.5">
      <c r="D555" s="195"/>
    </row>
    <row r="556" spans="4:4" ht="12.5">
      <c r="D556" s="195"/>
    </row>
    <row r="557" spans="4:4" ht="12.5">
      <c r="D557" s="195"/>
    </row>
    <row r="558" spans="4:4" ht="12.5">
      <c r="D558" s="195"/>
    </row>
    <row r="559" spans="4:4" ht="12.5">
      <c r="D559" s="195"/>
    </row>
    <row r="560" spans="4:4" ht="12.5">
      <c r="D560" s="195"/>
    </row>
    <row r="561" spans="4:4" ht="12.5">
      <c r="D561" s="195"/>
    </row>
    <row r="562" spans="4:4" ht="12.5">
      <c r="D562" s="195"/>
    </row>
    <row r="563" spans="4:4" ht="12.5">
      <c r="D563" s="195"/>
    </row>
    <row r="564" spans="4:4" ht="12.5">
      <c r="D564" s="195"/>
    </row>
    <row r="565" spans="4:4" ht="12.5">
      <c r="D565" s="195"/>
    </row>
    <row r="566" spans="4:4" ht="12.5">
      <c r="D566" s="195"/>
    </row>
    <row r="567" spans="4:4" ht="12.5">
      <c r="D567" s="195"/>
    </row>
    <row r="568" spans="4:4" ht="12.5">
      <c r="D568" s="195"/>
    </row>
    <row r="569" spans="4:4" ht="12.5">
      <c r="D569" s="195"/>
    </row>
    <row r="570" spans="4:4" ht="12.5">
      <c r="D570" s="195"/>
    </row>
    <row r="571" spans="4:4" ht="12.5">
      <c r="D571" s="195"/>
    </row>
    <row r="572" spans="4:4" ht="12.5">
      <c r="D572" s="195"/>
    </row>
    <row r="573" spans="4:4" ht="12.5">
      <c r="D573" s="195"/>
    </row>
    <row r="574" spans="4:4" ht="12.5">
      <c r="D574" s="195"/>
    </row>
    <row r="575" spans="4:4" ht="12.5">
      <c r="D575" s="195"/>
    </row>
    <row r="576" spans="4:4" ht="12.5">
      <c r="D576" s="195"/>
    </row>
    <row r="577" spans="4:4" ht="12.5">
      <c r="D577" s="195"/>
    </row>
    <row r="578" spans="4:4" ht="12.5">
      <c r="D578" s="195"/>
    </row>
    <row r="579" spans="4:4" ht="12.5">
      <c r="D579" s="195"/>
    </row>
    <row r="580" spans="4:4" ht="12.5">
      <c r="D580" s="195"/>
    </row>
    <row r="581" spans="4:4" ht="12.5">
      <c r="D581" s="195"/>
    </row>
    <row r="582" spans="4:4" ht="12.5">
      <c r="D582" s="195"/>
    </row>
    <row r="583" spans="4:4" ht="12.5">
      <c r="D583" s="195"/>
    </row>
    <row r="584" spans="4:4" ht="12.5">
      <c r="D584" s="195"/>
    </row>
    <row r="585" spans="4:4" ht="12.5">
      <c r="D585" s="195"/>
    </row>
    <row r="586" spans="4:4" ht="12.5">
      <c r="D586" s="195"/>
    </row>
    <row r="587" spans="4:4" ht="12.5">
      <c r="D587" s="195"/>
    </row>
    <row r="588" spans="4:4" ht="12.5">
      <c r="D588" s="195"/>
    </row>
    <row r="589" spans="4:4" ht="12.5">
      <c r="D589" s="195"/>
    </row>
    <row r="590" spans="4:4" ht="12.5">
      <c r="D590" s="195"/>
    </row>
    <row r="591" spans="4:4" ht="12.5">
      <c r="D591" s="195"/>
    </row>
    <row r="592" spans="4:4" ht="12.5">
      <c r="D592" s="195"/>
    </row>
    <row r="593" spans="4:4" ht="12.5">
      <c r="D593" s="195"/>
    </row>
    <row r="594" spans="4:4" ht="12.5">
      <c r="D594" s="195"/>
    </row>
    <row r="595" spans="4:4" ht="12.5">
      <c r="D595" s="195"/>
    </row>
    <row r="596" spans="4:4" ht="12.5">
      <c r="D596" s="195"/>
    </row>
    <row r="597" spans="4:4" ht="12.5">
      <c r="D597" s="195"/>
    </row>
    <row r="598" spans="4:4" ht="12.5">
      <c r="D598" s="195"/>
    </row>
    <row r="599" spans="4:4" ht="12.5">
      <c r="D599" s="195"/>
    </row>
    <row r="600" spans="4:4" ht="12.5">
      <c r="D600" s="195"/>
    </row>
    <row r="601" spans="4:4" ht="12.5">
      <c r="D601" s="195"/>
    </row>
    <row r="602" spans="4:4" ht="12.5">
      <c r="D602" s="195"/>
    </row>
    <row r="603" spans="4:4" ht="12.5">
      <c r="D603" s="195"/>
    </row>
    <row r="604" spans="4:4" ht="12.5">
      <c r="D604" s="195"/>
    </row>
    <row r="605" spans="4:4" ht="12.5">
      <c r="D605" s="195"/>
    </row>
    <row r="606" spans="4:4" ht="12.5">
      <c r="D606" s="195"/>
    </row>
    <row r="607" spans="4:4" ht="12.5">
      <c r="D607" s="195"/>
    </row>
    <row r="608" spans="4:4" ht="12.5">
      <c r="D608" s="195"/>
    </row>
    <row r="609" spans="4:4" ht="12.5">
      <c r="D609" s="195"/>
    </row>
    <row r="610" spans="4:4" ht="12.5">
      <c r="D610" s="195"/>
    </row>
    <row r="611" spans="4:4" ht="12.5">
      <c r="D611" s="195"/>
    </row>
    <row r="612" spans="4:4" ht="12.5">
      <c r="D612" s="195"/>
    </row>
    <row r="613" spans="4:4" ht="12.5">
      <c r="D613" s="195"/>
    </row>
    <row r="614" spans="4:4" ht="12.5">
      <c r="D614" s="195"/>
    </row>
    <row r="615" spans="4:4" ht="12.5">
      <c r="D615" s="195"/>
    </row>
    <row r="616" spans="4:4" ht="12.5">
      <c r="D616" s="195"/>
    </row>
    <row r="617" spans="4:4" ht="12.5">
      <c r="D617" s="195"/>
    </row>
    <row r="618" spans="4:4" ht="12.5">
      <c r="D618" s="195"/>
    </row>
    <row r="619" spans="4:4" ht="12.5">
      <c r="D619" s="195"/>
    </row>
    <row r="620" spans="4:4" ht="12.5">
      <c r="D620" s="195"/>
    </row>
    <row r="621" spans="4:4" ht="12.5">
      <c r="D621" s="195"/>
    </row>
    <row r="622" spans="4:4" ht="12.5">
      <c r="D622" s="195"/>
    </row>
    <row r="623" spans="4:4" ht="12.5">
      <c r="D623" s="195"/>
    </row>
    <row r="624" spans="4:4" ht="12.5">
      <c r="D624" s="195"/>
    </row>
    <row r="625" spans="4:4" ht="12.5">
      <c r="D625" s="195"/>
    </row>
    <row r="626" spans="4:4" ht="12.5">
      <c r="D626" s="195"/>
    </row>
    <row r="627" spans="4:4" ht="12.5">
      <c r="D627" s="195"/>
    </row>
    <row r="628" spans="4:4" ht="12.5">
      <c r="D628" s="195"/>
    </row>
    <row r="629" spans="4:4" ht="12.5">
      <c r="D629" s="195"/>
    </row>
    <row r="630" spans="4:4" ht="12.5">
      <c r="D630" s="195"/>
    </row>
    <row r="631" spans="4:4" ht="12.5">
      <c r="D631" s="195"/>
    </row>
    <row r="632" spans="4:4" ht="12.5">
      <c r="D632" s="195"/>
    </row>
    <row r="633" spans="4:4" ht="12.5">
      <c r="D633" s="195"/>
    </row>
    <row r="634" spans="4:4" ht="12.5">
      <c r="D634" s="195"/>
    </row>
    <row r="635" spans="4:4" ht="12.5">
      <c r="D635" s="195"/>
    </row>
    <row r="636" spans="4:4" ht="12.5">
      <c r="D636" s="195"/>
    </row>
    <row r="637" spans="4:4" ht="12.5">
      <c r="D637" s="195"/>
    </row>
    <row r="638" spans="4:4" ht="12.5">
      <c r="D638" s="195"/>
    </row>
    <row r="639" spans="4:4" ht="12.5">
      <c r="D639" s="195"/>
    </row>
    <row r="640" spans="4:4" ht="12.5">
      <c r="D640" s="195"/>
    </row>
    <row r="641" spans="4:4" ht="12.5">
      <c r="D641" s="195"/>
    </row>
    <row r="642" spans="4:4" ht="12.5">
      <c r="D642" s="195"/>
    </row>
    <row r="643" spans="4:4" ht="12.5">
      <c r="D643" s="195"/>
    </row>
    <row r="644" spans="4:4" ht="12.5">
      <c r="D644" s="195"/>
    </row>
    <row r="645" spans="4:4" ht="12.5">
      <c r="D645" s="195"/>
    </row>
    <row r="646" spans="4:4" ht="12.5">
      <c r="D646" s="195"/>
    </row>
    <row r="647" spans="4:4" ht="12.5">
      <c r="D647" s="195"/>
    </row>
    <row r="648" spans="4:4" ht="12.5">
      <c r="D648" s="195"/>
    </row>
    <row r="649" spans="4:4" ht="12.5">
      <c r="D649" s="195"/>
    </row>
    <row r="650" spans="4:4" ht="12.5">
      <c r="D650" s="195"/>
    </row>
    <row r="651" spans="4:4" ht="12.5">
      <c r="D651" s="195"/>
    </row>
    <row r="652" spans="4:4" ht="12.5">
      <c r="D652" s="195"/>
    </row>
    <row r="653" spans="4:4" ht="12.5">
      <c r="D653" s="195"/>
    </row>
    <row r="654" spans="4:4" ht="12.5">
      <c r="D654" s="195"/>
    </row>
    <row r="655" spans="4:4" ht="12.5">
      <c r="D655" s="195"/>
    </row>
    <row r="656" spans="4:4" ht="12.5">
      <c r="D656" s="195"/>
    </row>
    <row r="657" spans="4:4" ht="12.5">
      <c r="D657" s="195"/>
    </row>
    <row r="658" spans="4:4" ht="12.5">
      <c r="D658" s="195"/>
    </row>
    <row r="659" spans="4:4" ht="12.5">
      <c r="D659" s="195"/>
    </row>
    <row r="660" spans="4:4" ht="12.5">
      <c r="D660" s="195"/>
    </row>
    <row r="661" spans="4:4" ht="12.5">
      <c r="D661" s="195"/>
    </row>
    <row r="662" spans="4:4" ht="12.5">
      <c r="D662" s="195"/>
    </row>
    <row r="663" spans="4:4" ht="12.5">
      <c r="D663" s="195"/>
    </row>
    <row r="664" spans="4:4" ht="12.5">
      <c r="D664" s="195"/>
    </row>
    <row r="665" spans="4:4" ht="12.5">
      <c r="D665" s="195"/>
    </row>
    <row r="666" spans="4:4" ht="12.5">
      <c r="D666" s="195"/>
    </row>
    <row r="667" spans="4:4" ht="12.5">
      <c r="D667" s="195"/>
    </row>
    <row r="668" spans="4:4" ht="12.5">
      <c r="D668" s="195"/>
    </row>
    <row r="669" spans="4:4" ht="12.5">
      <c r="D669" s="195"/>
    </row>
    <row r="670" spans="4:4" ht="12.5">
      <c r="D670" s="195"/>
    </row>
    <row r="671" spans="4:4" ht="12.5">
      <c r="D671" s="195"/>
    </row>
    <row r="672" spans="4:4" ht="12.5">
      <c r="D672" s="195"/>
    </row>
    <row r="673" spans="4:4" ht="12.5">
      <c r="D673" s="195"/>
    </row>
    <row r="674" spans="4:4" ht="12.5">
      <c r="D674" s="195"/>
    </row>
    <row r="675" spans="4:4" ht="12.5">
      <c r="D675" s="195"/>
    </row>
    <row r="676" spans="4:4" ht="12.5">
      <c r="D676" s="195"/>
    </row>
    <row r="677" spans="4:4" ht="12.5">
      <c r="D677" s="195"/>
    </row>
    <row r="678" spans="4:4" ht="12.5">
      <c r="D678" s="195"/>
    </row>
    <row r="679" spans="4:4" ht="12.5">
      <c r="D679" s="195"/>
    </row>
    <row r="680" spans="4:4" ht="12.5">
      <c r="D680" s="195"/>
    </row>
    <row r="681" spans="4:4" ht="12.5">
      <c r="D681" s="195"/>
    </row>
    <row r="682" spans="4:4" ht="12.5">
      <c r="D682" s="195"/>
    </row>
    <row r="683" spans="4:4" ht="12.5">
      <c r="D683" s="195"/>
    </row>
    <row r="684" spans="4:4" ht="12.5">
      <c r="D684" s="195"/>
    </row>
    <row r="685" spans="4:4" ht="12.5">
      <c r="D685" s="195"/>
    </row>
    <row r="686" spans="4:4" ht="12.5">
      <c r="D686" s="195"/>
    </row>
    <row r="687" spans="4:4" ht="12.5">
      <c r="D687" s="195"/>
    </row>
    <row r="688" spans="4:4" ht="12.5">
      <c r="D688" s="195"/>
    </row>
    <row r="689" spans="4:4" ht="12.5">
      <c r="D689" s="195"/>
    </row>
    <row r="690" spans="4:4" ht="12.5">
      <c r="D690" s="195"/>
    </row>
    <row r="691" spans="4:4" ht="12.5">
      <c r="D691" s="195"/>
    </row>
    <row r="692" spans="4:4" ht="12.5">
      <c r="D692" s="195"/>
    </row>
    <row r="693" spans="4:4" ht="12.5">
      <c r="D693" s="195"/>
    </row>
    <row r="694" spans="4:4" ht="12.5">
      <c r="D694" s="195"/>
    </row>
    <row r="695" spans="4:4" ht="12.5">
      <c r="D695" s="195"/>
    </row>
    <row r="696" spans="4:4" ht="12.5">
      <c r="D696" s="195"/>
    </row>
    <row r="697" spans="4:4" ht="12.5">
      <c r="D697" s="195"/>
    </row>
    <row r="698" spans="4:4" ht="12.5">
      <c r="D698" s="195"/>
    </row>
    <row r="699" spans="4:4" ht="12.5">
      <c r="D699" s="195"/>
    </row>
    <row r="700" spans="4:4" ht="12.5">
      <c r="D700" s="195"/>
    </row>
    <row r="701" spans="4:4" ht="12.5">
      <c r="D701" s="195"/>
    </row>
    <row r="702" spans="4:4" ht="12.5">
      <c r="D702" s="195"/>
    </row>
    <row r="703" spans="4:4" ht="12.5">
      <c r="D703" s="195"/>
    </row>
    <row r="704" spans="4:4" ht="12.5">
      <c r="D704" s="195"/>
    </row>
    <row r="705" spans="4:4" ht="12.5">
      <c r="D705" s="195"/>
    </row>
    <row r="706" spans="4:4" ht="12.5">
      <c r="D706" s="195"/>
    </row>
    <row r="707" spans="4:4" ht="12.5">
      <c r="D707" s="195"/>
    </row>
    <row r="708" spans="4:4" ht="12.5">
      <c r="D708" s="195"/>
    </row>
    <row r="709" spans="4:4" ht="12.5">
      <c r="D709" s="195"/>
    </row>
    <row r="710" spans="4:4" ht="12.5">
      <c r="D710" s="195"/>
    </row>
    <row r="711" spans="4:4" ht="12.5">
      <c r="D711" s="195"/>
    </row>
    <row r="712" spans="4:4" ht="12.5">
      <c r="D712" s="195"/>
    </row>
    <row r="713" spans="4:4" ht="12.5">
      <c r="D713" s="195"/>
    </row>
    <row r="714" spans="4:4" ht="12.5">
      <c r="D714" s="195"/>
    </row>
    <row r="715" spans="4:4" ht="12.5">
      <c r="D715" s="195"/>
    </row>
    <row r="716" spans="4:4" ht="12.5">
      <c r="D716" s="195"/>
    </row>
    <row r="717" spans="4:4" ht="12.5">
      <c r="D717" s="195"/>
    </row>
    <row r="718" spans="4:4" ht="12.5">
      <c r="D718" s="195"/>
    </row>
    <row r="719" spans="4:4" ht="12.5">
      <c r="D719" s="195"/>
    </row>
    <row r="720" spans="4:4" ht="12.5">
      <c r="D720" s="195"/>
    </row>
    <row r="721" spans="4:4" ht="12.5">
      <c r="D721" s="195"/>
    </row>
    <row r="722" spans="4:4" ht="12.5">
      <c r="D722" s="195"/>
    </row>
    <row r="723" spans="4:4" ht="12.5">
      <c r="D723" s="195"/>
    </row>
    <row r="724" spans="4:4" ht="12.5">
      <c r="D724" s="195"/>
    </row>
    <row r="725" spans="4:4" ht="12.5">
      <c r="D725" s="195"/>
    </row>
    <row r="726" spans="4:4" ht="12.5">
      <c r="D726" s="195"/>
    </row>
    <row r="727" spans="4:4" ht="12.5">
      <c r="D727" s="195"/>
    </row>
    <row r="728" spans="4:4" ht="12.5">
      <c r="D728" s="195"/>
    </row>
    <row r="729" spans="4:4" ht="12.5">
      <c r="D729" s="195"/>
    </row>
    <row r="730" spans="4:4" ht="12.5">
      <c r="D730" s="195"/>
    </row>
    <row r="731" spans="4:4" ht="12.5">
      <c r="D731" s="195"/>
    </row>
    <row r="732" spans="4:4" ht="12.5">
      <c r="D732" s="195"/>
    </row>
    <row r="733" spans="4:4" ht="12.5">
      <c r="D733" s="195"/>
    </row>
    <row r="734" spans="4:4" ht="12.5">
      <c r="D734" s="195"/>
    </row>
    <row r="735" spans="4:4" ht="12.5">
      <c r="D735" s="195"/>
    </row>
    <row r="736" spans="4:4" ht="12.5">
      <c r="D736" s="195"/>
    </row>
    <row r="737" spans="4:4" ht="12.5">
      <c r="D737" s="195"/>
    </row>
    <row r="738" spans="4:4" ht="12.5">
      <c r="D738" s="195"/>
    </row>
    <row r="739" spans="4:4" ht="12.5">
      <c r="D739" s="195"/>
    </row>
    <row r="740" spans="4:4" ht="12.5">
      <c r="D740" s="195"/>
    </row>
    <row r="741" spans="4:4" ht="12.5">
      <c r="D741" s="195"/>
    </row>
    <row r="742" spans="4:4" ht="12.5">
      <c r="D742" s="195"/>
    </row>
    <row r="743" spans="4:4" ht="12.5">
      <c r="D743" s="195"/>
    </row>
    <row r="744" spans="4:4" ht="12.5">
      <c r="D744" s="195"/>
    </row>
    <row r="745" spans="4:4" ht="12.5">
      <c r="D745" s="195"/>
    </row>
    <row r="746" spans="4:4" ht="12.5">
      <c r="D746" s="195"/>
    </row>
    <row r="747" spans="4:4" ht="12.5">
      <c r="D747" s="195"/>
    </row>
    <row r="748" spans="4:4" ht="12.5">
      <c r="D748" s="195"/>
    </row>
    <row r="749" spans="4:4" ht="12.5">
      <c r="D749" s="195"/>
    </row>
    <row r="750" spans="4:4" ht="12.5">
      <c r="D750" s="195"/>
    </row>
    <row r="751" spans="4:4" ht="12.5">
      <c r="D751" s="195"/>
    </row>
    <row r="752" spans="4:4" ht="12.5">
      <c r="D752" s="195"/>
    </row>
    <row r="753" spans="4:4" ht="12.5">
      <c r="D753" s="195"/>
    </row>
    <row r="754" spans="4:4" ht="12.5">
      <c r="D754" s="195"/>
    </row>
    <row r="755" spans="4:4" ht="12.5">
      <c r="D755" s="195"/>
    </row>
    <row r="756" spans="4:4" ht="12.5">
      <c r="D756" s="195"/>
    </row>
    <row r="757" spans="4:4" ht="12.5">
      <c r="D757" s="195"/>
    </row>
    <row r="758" spans="4:4" ht="12.5">
      <c r="D758" s="195"/>
    </row>
    <row r="759" spans="4:4" ht="12.5">
      <c r="D759" s="195"/>
    </row>
    <row r="760" spans="4:4" ht="12.5">
      <c r="D760" s="195"/>
    </row>
    <row r="761" spans="4:4" ht="12.5">
      <c r="D761" s="195"/>
    </row>
    <row r="762" spans="4:4" ht="12.5">
      <c r="D762" s="195"/>
    </row>
    <row r="763" spans="4:4" ht="12.5">
      <c r="D763" s="195"/>
    </row>
    <row r="764" spans="4:4" ht="12.5">
      <c r="D764" s="195"/>
    </row>
    <row r="765" spans="4:4" ht="12.5">
      <c r="D765" s="195"/>
    </row>
    <row r="766" spans="4:4" ht="12.5">
      <c r="D766" s="195"/>
    </row>
    <row r="767" spans="4:4" ht="12.5">
      <c r="D767" s="195"/>
    </row>
    <row r="768" spans="4:4" ht="12.5">
      <c r="D768" s="195"/>
    </row>
    <row r="769" spans="4:4" ht="12.5">
      <c r="D769" s="195"/>
    </row>
    <row r="770" spans="4:4" ht="12.5">
      <c r="D770" s="195"/>
    </row>
    <row r="771" spans="4:4" ht="12.5">
      <c r="D771" s="195"/>
    </row>
    <row r="772" spans="4:4" ht="12.5">
      <c r="D772" s="195"/>
    </row>
    <row r="773" spans="4:4" ht="12.5">
      <c r="D773" s="195"/>
    </row>
    <row r="774" spans="4:4" ht="12.5">
      <c r="D774" s="195"/>
    </row>
    <row r="775" spans="4:4" ht="12.5">
      <c r="D775" s="195"/>
    </row>
    <row r="776" spans="4:4" ht="12.5">
      <c r="D776" s="195"/>
    </row>
    <row r="777" spans="4:4" ht="12.5">
      <c r="D777" s="195"/>
    </row>
    <row r="778" spans="4:4" ht="12.5">
      <c r="D778" s="195"/>
    </row>
    <row r="779" spans="4:4" ht="12.5">
      <c r="D779" s="195"/>
    </row>
    <row r="780" spans="4:4" ht="12.5">
      <c r="D780" s="195"/>
    </row>
    <row r="781" spans="4:4" ht="12.5">
      <c r="D781" s="195"/>
    </row>
    <row r="782" spans="4:4" ht="12.5">
      <c r="D782" s="195"/>
    </row>
    <row r="783" spans="4:4" ht="12.5">
      <c r="D783" s="195"/>
    </row>
    <row r="784" spans="4:4" ht="12.5">
      <c r="D784" s="195"/>
    </row>
    <row r="785" spans="4:4" ht="12.5">
      <c r="D785" s="195"/>
    </row>
    <row r="786" spans="4:4" ht="12.5">
      <c r="D786" s="195"/>
    </row>
    <row r="787" spans="4:4" ht="12.5">
      <c r="D787" s="195"/>
    </row>
    <row r="788" spans="4:4" ht="12.5">
      <c r="D788" s="195"/>
    </row>
    <row r="789" spans="4:4" ht="12.5">
      <c r="D789" s="195"/>
    </row>
    <row r="790" spans="4:4" ht="12.5">
      <c r="D790" s="195"/>
    </row>
    <row r="791" spans="4:4" ht="12.5">
      <c r="D791" s="195"/>
    </row>
    <row r="792" spans="4:4" ht="12.5">
      <c r="D792" s="195"/>
    </row>
    <row r="793" spans="4:4" ht="12.5">
      <c r="D793" s="195"/>
    </row>
    <row r="794" spans="4:4" ht="12.5">
      <c r="D794" s="195"/>
    </row>
    <row r="795" spans="4:4" ht="12.5">
      <c r="D795" s="195"/>
    </row>
    <row r="796" spans="4:4" ht="12.5">
      <c r="D796" s="195"/>
    </row>
    <row r="797" spans="4:4" ht="12.5">
      <c r="D797" s="195"/>
    </row>
    <row r="798" spans="4:4" ht="12.5">
      <c r="D798" s="195"/>
    </row>
    <row r="799" spans="4:4" ht="12.5">
      <c r="D799" s="195"/>
    </row>
    <row r="800" spans="4:4" ht="12.5">
      <c r="D800" s="195"/>
    </row>
    <row r="801" spans="4:4" ht="12.5">
      <c r="D801" s="195"/>
    </row>
    <row r="802" spans="4:4" ht="12.5">
      <c r="D802" s="195"/>
    </row>
    <row r="803" spans="4:4" ht="12.5">
      <c r="D803" s="195"/>
    </row>
    <row r="804" spans="4:4" ht="12.5">
      <c r="D804" s="195"/>
    </row>
    <row r="805" spans="4:4" ht="12.5">
      <c r="D805" s="195"/>
    </row>
    <row r="806" spans="4:4" ht="12.5">
      <c r="D806" s="195"/>
    </row>
    <row r="807" spans="4:4" ht="12.5">
      <c r="D807" s="195"/>
    </row>
    <row r="808" spans="4:4" ht="12.5">
      <c r="D808" s="195"/>
    </row>
    <row r="809" spans="4:4" ht="12.5">
      <c r="D809" s="195"/>
    </row>
    <row r="810" spans="4:4" ht="12.5">
      <c r="D810" s="195"/>
    </row>
    <row r="811" spans="4:4" ht="12.5">
      <c r="D811" s="195"/>
    </row>
    <row r="812" spans="4:4" ht="12.5">
      <c r="D812" s="195"/>
    </row>
    <row r="813" spans="4:4" ht="12.5">
      <c r="D813" s="195"/>
    </row>
    <row r="814" spans="4:4" ht="12.5">
      <c r="D814" s="195"/>
    </row>
    <row r="815" spans="4:4" ht="12.5">
      <c r="D815" s="195"/>
    </row>
    <row r="816" spans="4:4" ht="12.5">
      <c r="D816" s="195"/>
    </row>
    <row r="817" spans="4:4" ht="12.5">
      <c r="D817" s="195"/>
    </row>
    <row r="818" spans="4:4" ht="12.5">
      <c r="D818" s="195"/>
    </row>
    <row r="819" spans="4:4" ht="12.5">
      <c r="D819" s="195"/>
    </row>
    <row r="820" spans="4:4" ht="12.5">
      <c r="D820" s="195"/>
    </row>
    <row r="821" spans="4:4" ht="12.5">
      <c r="D821" s="195"/>
    </row>
    <row r="822" spans="4:4" ht="12.5">
      <c r="D822" s="195"/>
    </row>
    <row r="823" spans="4:4" ht="12.5">
      <c r="D823" s="195"/>
    </row>
    <row r="824" spans="4:4" ht="12.5">
      <c r="D824" s="195"/>
    </row>
    <row r="825" spans="4:4" ht="12.5">
      <c r="D825" s="195"/>
    </row>
    <row r="826" spans="4:4" ht="12.5">
      <c r="D826" s="195"/>
    </row>
    <row r="827" spans="4:4" ht="12.5">
      <c r="D827" s="195"/>
    </row>
    <row r="828" spans="4:4" ht="12.5">
      <c r="D828" s="195"/>
    </row>
    <row r="829" spans="4:4" ht="12.5">
      <c r="D829" s="195"/>
    </row>
    <row r="830" spans="4:4" ht="12.5">
      <c r="D830" s="195"/>
    </row>
    <row r="831" spans="4:4" ht="12.5">
      <c r="D831" s="195"/>
    </row>
    <row r="832" spans="4:4" ht="12.5">
      <c r="D832" s="195"/>
    </row>
    <row r="833" spans="4:4" ht="12.5">
      <c r="D833" s="195"/>
    </row>
    <row r="834" spans="4:4" ht="12.5">
      <c r="D834" s="195"/>
    </row>
    <row r="835" spans="4:4" ht="12.5">
      <c r="D835" s="195"/>
    </row>
    <row r="836" spans="4:4" ht="12.5">
      <c r="D836" s="195"/>
    </row>
    <row r="837" spans="4:4" ht="12.5">
      <c r="D837" s="195"/>
    </row>
    <row r="838" spans="4:4" ht="12.5">
      <c r="D838" s="195"/>
    </row>
    <row r="839" spans="4:4" ht="12.5">
      <c r="D839" s="195"/>
    </row>
    <row r="840" spans="4:4" ht="12.5">
      <c r="D840" s="195"/>
    </row>
    <row r="841" spans="4:4" ht="12.5">
      <c r="D841" s="195"/>
    </row>
    <row r="842" spans="4:4" ht="12.5">
      <c r="D842" s="195"/>
    </row>
    <row r="843" spans="4:4" ht="12.5">
      <c r="D843" s="195"/>
    </row>
    <row r="844" spans="4:4" ht="12.5">
      <c r="D844" s="195"/>
    </row>
    <row r="845" spans="4:4" ht="12.5">
      <c r="D845" s="195"/>
    </row>
    <row r="846" spans="4:4" ht="12.5">
      <c r="D846" s="195"/>
    </row>
    <row r="847" spans="4:4" ht="12.5">
      <c r="D847" s="195"/>
    </row>
    <row r="848" spans="4:4" ht="12.5">
      <c r="D848" s="195"/>
    </row>
    <row r="849" spans="4:4" ht="12.5">
      <c r="D849" s="195"/>
    </row>
    <row r="850" spans="4:4" ht="12.5">
      <c r="D850" s="195"/>
    </row>
    <row r="851" spans="4:4" ht="12.5">
      <c r="D851" s="195"/>
    </row>
    <row r="852" spans="4:4" ht="12.5">
      <c r="D852" s="195"/>
    </row>
    <row r="853" spans="4:4" ht="12.5">
      <c r="D853" s="195"/>
    </row>
    <row r="854" spans="4:4" ht="12.5">
      <c r="D854" s="195"/>
    </row>
    <row r="855" spans="4:4" ht="12.5">
      <c r="D855" s="195"/>
    </row>
    <row r="856" spans="4:4" ht="12.5">
      <c r="D856" s="195"/>
    </row>
    <row r="857" spans="4:4" ht="12.5">
      <c r="D857" s="195"/>
    </row>
    <row r="858" spans="4:4" ht="12.5">
      <c r="D858" s="195"/>
    </row>
    <row r="859" spans="4:4" ht="12.5">
      <c r="D859" s="195"/>
    </row>
    <row r="860" spans="4:4" ht="12.5">
      <c r="D860" s="195"/>
    </row>
    <row r="861" spans="4:4" ht="12.5">
      <c r="D861" s="195"/>
    </row>
    <row r="862" spans="4:4" ht="12.5">
      <c r="D862" s="195"/>
    </row>
    <row r="863" spans="4:4" ht="12.5">
      <c r="D863" s="195"/>
    </row>
    <row r="864" spans="4:4" ht="12.5">
      <c r="D864" s="195"/>
    </row>
    <row r="865" spans="4:4" ht="12.5">
      <c r="D865" s="195"/>
    </row>
    <row r="866" spans="4:4" ht="12.5">
      <c r="D866" s="195"/>
    </row>
    <row r="867" spans="4:4" ht="12.5">
      <c r="D867" s="195"/>
    </row>
    <row r="868" spans="4:4" ht="12.5">
      <c r="D868" s="195"/>
    </row>
    <row r="869" spans="4:4" ht="12.5">
      <c r="D869" s="195"/>
    </row>
    <row r="870" spans="4:4" ht="12.5">
      <c r="D870" s="195"/>
    </row>
    <row r="871" spans="4:4" ht="12.5">
      <c r="D871" s="195"/>
    </row>
    <row r="872" spans="4:4" ht="12.5">
      <c r="D872" s="195"/>
    </row>
    <row r="873" spans="4:4" ht="12.5">
      <c r="D873" s="195"/>
    </row>
    <row r="874" spans="4:4" ht="12.5">
      <c r="D874" s="195"/>
    </row>
    <row r="875" spans="4:4" ht="12.5">
      <c r="D875" s="195"/>
    </row>
    <row r="876" spans="4:4" ht="12.5">
      <c r="D876" s="195"/>
    </row>
    <row r="877" spans="4:4" ht="12.5">
      <c r="D877" s="195"/>
    </row>
    <row r="878" spans="4:4" ht="12.5">
      <c r="D878" s="195"/>
    </row>
    <row r="879" spans="4:4" ht="12.5">
      <c r="D879" s="195"/>
    </row>
    <row r="880" spans="4:4" ht="12.5">
      <c r="D880" s="195"/>
    </row>
    <row r="881" spans="4:4" ht="12.5">
      <c r="D881" s="195"/>
    </row>
    <row r="882" spans="4:4" ht="12.5">
      <c r="D882" s="195"/>
    </row>
    <row r="883" spans="4:4" ht="12.5">
      <c r="D883" s="195"/>
    </row>
    <row r="884" spans="4:4" ht="12.5">
      <c r="D884" s="195"/>
    </row>
    <row r="885" spans="4:4" ht="12.5">
      <c r="D885" s="195"/>
    </row>
    <row r="886" spans="4:4" ht="12.5">
      <c r="D886" s="195"/>
    </row>
    <row r="887" spans="4:4" ht="12.5">
      <c r="D887" s="195"/>
    </row>
    <row r="888" spans="4:4" ht="12.5">
      <c r="D888" s="195"/>
    </row>
    <row r="889" spans="4:4" ht="12.5">
      <c r="D889" s="195"/>
    </row>
    <row r="890" spans="4:4" ht="12.5">
      <c r="D890" s="195"/>
    </row>
    <row r="891" spans="4:4" ht="12.5">
      <c r="D891" s="195"/>
    </row>
    <row r="892" spans="4:4" ht="12.5">
      <c r="D892" s="195"/>
    </row>
    <row r="893" spans="4:4" ht="12.5">
      <c r="D893" s="195"/>
    </row>
    <row r="894" spans="4:4" ht="12.5">
      <c r="D894" s="195"/>
    </row>
    <row r="895" spans="4:4" ht="12.5">
      <c r="D895" s="195"/>
    </row>
    <row r="896" spans="4:4" ht="12.5">
      <c r="D896" s="195"/>
    </row>
    <row r="897" spans="4:4" ht="12.5">
      <c r="D897" s="195"/>
    </row>
    <row r="898" spans="4:4" ht="12.5">
      <c r="D898" s="195"/>
    </row>
    <row r="899" spans="4:4" ht="12.5">
      <c r="D899" s="195"/>
    </row>
    <row r="900" spans="4:4" ht="12.5">
      <c r="D900" s="195"/>
    </row>
    <row r="901" spans="4:4" ht="12.5">
      <c r="D901" s="195"/>
    </row>
    <row r="902" spans="4:4" ht="12.5">
      <c r="D902" s="195"/>
    </row>
    <row r="903" spans="4:4" ht="12.5">
      <c r="D903" s="195"/>
    </row>
    <row r="904" spans="4:4" ht="12.5">
      <c r="D904" s="195"/>
    </row>
    <row r="905" spans="4:4" ht="12.5">
      <c r="D905" s="195"/>
    </row>
    <row r="906" spans="4:4" ht="12.5">
      <c r="D906" s="195"/>
    </row>
    <row r="907" spans="4:4" ht="12.5">
      <c r="D907" s="195"/>
    </row>
    <row r="908" spans="4:4" ht="12.5">
      <c r="D908" s="195"/>
    </row>
    <row r="909" spans="4:4" ht="12.5">
      <c r="D909" s="195"/>
    </row>
    <row r="910" spans="4:4" ht="12.5">
      <c r="D910" s="195"/>
    </row>
    <row r="911" spans="4:4" ht="12.5">
      <c r="D911" s="195"/>
    </row>
    <row r="912" spans="4:4" ht="12.5">
      <c r="D912" s="195"/>
    </row>
    <row r="913" spans="4:4" ht="12.5">
      <c r="D913" s="195"/>
    </row>
    <row r="914" spans="4:4" ht="12.5">
      <c r="D914" s="195"/>
    </row>
    <row r="915" spans="4:4" ht="12.5">
      <c r="D915" s="195"/>
    </row>
    <row r="916" spans="4:4" ht="12.5">
      <c r="D916" s="195"/>
    </row>
    <row r="917" spans="4:4" ht="12.5">
      <c r="D917" s="195"/>
    </row>
    <row r="918" spans="4:4" ht="12.5">
      <c r="D918" s="195"/>
    </row>
    <row r="919" spans="4:4" ht="12.5">
      <c r="D919" s="195"/>
    </row>
    <row r="920" spans="4:4" ht="12.5">
      <c r="D920" s="195"/>
    </row>
    <row r="921" spans="4:4" ht="12.5">
      <c r="D921" s="195"/>
    </row>
    <row r="922" spans="4:4" ht="12.5">
      <c r="D922" s="195"/>
    </row>
    <row r="923" spans="4:4" ht="12.5">
      <c r="D923" s="195"/>
    </row>
    <row r="924" spans="4:4" ht="12.5">
      <c r="D924" s="195"/>
    </row>
    <row r="925" spans="4:4" ht="12.5">
      <c r="D925" s="195"/>
    </row>
    <row r="926" spans="4:4" ht="12.5">
      <c r="D926" s="195"/>
    </row>
    <row r="927" spans="4:4" ht="12.5">
      <c r="D927" s="195"/>
    </row>
    <row r="928" spans="4:4" ht="12.5">
      <c r="D928" s="195"/>
    </row>
    <row r="929" spans="4:4" ht="12.5">
      <c r="D929" s="195"/>
    </row>
    <row r="930" spans="4:4" ht="12.5">
      <c r="D930" s="195"/>
    </row>
    <row r="931" spans="4:4" ht="12.5">
      <c r="D931" s="195"/>
    </row>
    <row r="932" spans="4:4" ht="12.5">
      <c r="D932" s="195"/>
    </row>
    <row r="933" spans="4:4" ht="12.5">
      <c r="D933" s="195"/>
    </row>
    <row r="934" spans="4:4" ht="12.5">
      <c r="D934" s="195"/>
    </row>
    <row r="935" spans="4:4" ht="12.5">
      <c r="D935" s="195"/>
    </row>
    <row r="936" spans="4:4" ht="12.5">
      <c r="D936" s="195"/>
    </row>
    <row r="937" spans="4:4" ht="12.5">
      <c r="D937" s="195"/>
    </row>
    <row r="938" spans="4:4" ht="12.5">
      <c r="D938" s="195"/>
    </row>
    <row r="939" spans="4:4" ht="12.5">
      <c r="D939" s="195"/>
    </row>
    <row r="940" spans="4:4" ht="12.5">
      <c r="D940" s="195"/>
    </row>
  </sheetData>
  <mergeCells count="39">
    <mergeCell ref="B30:D30"/>
    <mergeCell ref="D26:D27"/>
    <mergeCell ref="E26:F27"/>
    <mergeCell ref="B1:J1"/>
    <mergeCell ref="D2:G2"/>
    <mergeCell ref="D3:G3"/>
    <mergeCell ref="A4:A5"/>
    <mergeCell ref="B4:B5"/>
    <mergeCell ref="C4:C5"/>
    <mergeCell ref="D4:D5"/>
    <mergeCell ref="J4:J5"/>
    <mergeCell ref="J26:J27"/>
    <mergeCell ref="B15:B16"/>
    <mergeCell ref="C15:C16"/>
    <mergeCell ref="B19:D19"/>
    <mergeCell ref="B23:J23"/>
    <mergeCell ref="D24:G24"/>
    <mergeCell ref="D25:G25"/>
    <mergeCell ref="D15:D16"/>
    <mergeCell ref="E15:F16"/>
    <mergeCell ref="G15:G16"/>
    <mergeCell ref="H15:H16"/>
    <mergeCell ref="I15:I16"/>
    <mergeCell ref="J15:J16"/>
    <mergeCell ref="B26:B27"/>
    <mergeCell ref="C26:C27"/>
    <mergeCell ref="D14:G14"/>
    <mergeCell ref="A15:A16"/>
    <mergeCell ref="G26:G27"/>
    <mergeCell ref="H26:H27"/>
    <mergeCell ref="I26:I27"/>
    <mergeCell ref="A26:A27"/>
    <mergeCell ref="E4:F5"/>
    <mergeCell ref="G4:G5"/>
    <mergeCell ref="B8:D8"/>
    <mergeCell ref="B12:J12"/>
    <mergeCell ref="D13:G1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7"/>
  <sheetViews>
    <sheetView showGridLines="0" workbookViewId="0">
      <selection sqref="A1:G1"/>
    </sheetView>
  </sheetViews>
  <sheetFormatPr defaultColWidth="12.6328125" defaultRowHeight="15.75" customHeight="1"/>
  <cols>
    <col min="1" max="2" width="3.36328125" customWidth="1"/>
    <col min="3" max="3" width="24.90625" customWidth="1"/>
    <col min="4" max="4" width="10.26953125" customWidth="1"/>
    <col min="5" max="5" width="5.453125" customWidth="1"/>
    <col min="6" max="6" width="24.08984375" customWidth="1"/>
    <col min="7" max="7" width="21.26953125" hidden="1" customWidth="1"/>
    <col min="8" max="8" width="20.7265625" customWidth="1"/>
  </cols>
  <sheetData>
    <row r="1" spans="1:8" ht="15.5">
      <c r="A1" s="379" t="s">
        <v>216</v>
      </c>
      <c r="B1" s="264"/>
      <c r="C1" s="264"/>
      <c r="D1" s="264"/>
      <c r="E1" s="264"/>
      <c r="F1" s="264"/>
      <c r="G1" s="264"/>
      <c r="H1" s="44" t="s">
        <v>178</v>
      </c>
    </row>
    <row r="2" spans="1:8" ht="48.75" customHeight="1">
      <c r="A2" s="380" t="s">
        <v>217</v>
      </c>
      <c r="B2" s="337"/>
      <c r="C2" s="338"/>
      <c r="D2" s="381" t="str">
        <f ca="1">Пр.взв!C2</f>
        <v>Первенство России по самбо юниорки 18-20 лет (отбор на Первенство Мира и Европы) ЕКП № 23752</v>
      </c>
      <c r="E2" s="337"/>
      <c r="F2" s="337"/>
      <c r="G2" s="337"/>
      <c r="H2" s="340"/>
    </row>
    <row r="3" spans="1:8" ht="15.5">
      <c r="A3" s="382" t="str">
        <f ca="1">Пр.взв!C3</f>
        <v>13.02 - 17.02.2022 г.                                                                                        г. В-Пышма</v>
      </c>
      <c r="B3" s="345"/>
      <c r="C3" s="345"/>
      <c r="D3" s="345"/>
      <c r="E3" s="345"/>
      <c r="F3" s="345"/>
      <c r="G3" s="281"/>
      <c r="H3" s="218" t="str">
        <f>Пр.взв!G4</f>
        <v>В.к.  59  кг</v>
      </c>
    </row>
    <row r="4" spans="1:8" ht="12" customHeight="1">
      <c r="A4" s="383" t="s">
        <v>184</v>
      </c>
      <c r="B4" s="384" t="s">
        <v>9</v>
      </c>
      <c r="C4" s="378" t="s">
        <v>10</v>
      </c>
      <c r="D4" s="374" t="s">
        <v>11</v>
      </c>
      <c r="E4" s="375" t="s">
        <v>13</v>
      </c>
      <c r="F4" s="376"/>
      <c r="G4" s="377" t="s">
        <v>15</v>
      </c>
      <c r="H4" s="378" t="s">
        <v>16</v>
      </c>
    </row>
    <row r="5" spans="1:8" ht="11.25" customHeight="1">
      <c r="A5" s="283"/>
      <c r="B5" s="283"/>
      <c r="C5" s="283"/>
      <c r="D5" s="283"/>
      <c r="E5" s="348"/>
      <c r="F5" s="281"/>
      <c r="G5" s="283"/>
      <c r="H5" s="283"/>
    </row>
    <row r="6" spans="1:8" ht="18">
      <c r="A6" s="219">
        <v>1</v>
      </c>
      <c r="B6" s="220" t="e">
        <f t="array" ref="B6">INDEX(Пр.хода!$B$6:'Пр.хода'!$B$148,MATCH("1",Пр.хода!$AE$6:'Пр.хода'!$AE$148,0),MATCH("№ п/ж",Пр.хода!$B$4:'Пр.хода'!$D$4,0))</f>
        <v>#N/A</v>
      </c>
      <c r="C6" s="221" t="e">
        <f>VLOOKUP($B6,Пр.взв!$D$6:$J$76,3,0)</f>
        <v>#N/A</v>
      </c>
      <c r="D6" s="222" t="e">
        <f>VLOOKUP($B6,Пр.взв!$D$6:$J$76,4,0)</f>
        <v>#N/A</v>
      </c>
      <c r="E6" s="222" t="e">
        <f>VLOOKUP($B6,Пр.взв!$D$6:$J$76,6,0)</f>
        <v>#N/A</v>
      </c>
      <c r="F6" s="223" t="e">
        <f>VLOOKUP($B6,Пр.взв!$D$6:$J$76,7,0)</f>
        <v>#N/A</v>
      </c>
      <c r="G6" s="223" t="e">
        <f>VLOOKUP($B6,Пр.взв!$D$6:$M$76,8,0)</f>
        <v>#N/A</v>
      </c>
      <c r="H6" s="223" t="e">
        <f>VLOOKUP($B6,Пр.взв!$D$6:$M$76,10,0)</f>
        <v>#N/A</v>
      </c>
    </row>
    <row r="7" spans="1:8" ht="18">
      <c r="A7" s="219">
        <v>2</v>
      </c>
      <c r="B7" s="220" t="e">
        <f t="array" ref="B7">INDEX(Пр.хода!$B$6:'Пр.хода'!$B$148,MATCH("2",Пр.хода!$AE$6:'Пр.хода'!$AE$148,0),MATCH("№ п/ж",Пр.хода!$B$4:'Пр.хода'!$D$4,0))</f>
        <v>#N/A</v>
      </c>
      <c r="C7" s="221" t="e">
        <f>VLOOKUP($B7,Пр.взв!$D$6:$J$76,3,0)</f>
        <v>#N/A</v>
      </c>
      <c r="D7" s="222" t="e">
        <f>VLOOKUP($B7,Пр.взв!$D$6:$J$76,4,0)</f>
        <v>#N/A</v>
      </c>
      <c r="E7" s="222" t="e">
        <f>VLOOKUP($B7,Пр.взв!$D$6:$J$76,6,0)</f>
        <v>#N/A</v>
      </c>
      <c r="F7" s="223" t="e">
        <f>VLOOKUP($B7,Пр.взв!$D$6:$J$76,7,0)</f>
        <v>#N/A</v>
      </c>
      <c r="G7" s="223" t="e">
        <f>VLOOKUP($B7,Пр.взв!$D$6:$M$76,8,0)</f>
        <v>#N/A</v>
      </c>
      <c r="H7" s="224" t="e">
        <f>VLOOKUP($B7,Пр.взв!$D$6:$M$76,10,0)</f>
        <v>#N/A</v>
      </c>
    </row>
    <row r="8" spans="1:8" ht="18">
      <c r="A8" s="219">
        <v>3</v>
      </c>
      <c r="B8" s="220" t="e">
        <f t="array" ref="B8">INDEX(Пр.хода!$B$6:'Пр.хода'!$B$148,MATCH("3",Пр.хода!$AE$6:'Пр.хода'!$AE$148,0),MATCH("№ п/ж",Пр.хода!$B$4:'Пр.хода'!$D$4,0))</f>
        <v>#N/A</v>
      </c>
      <c r="C8" s="221" t="e">
        <f>VLOOKUP($B8,Пр.взв!$D$6:$J$76,3,0)</f>
        <v>#N/A</v>
      </c>
      <c r="D8" s="222" t="e">
        <f>VLOOKUP($B8,Пр.взв!$D$6:$J$76,4,0)</f>
        <v>#N/A</v>
      </c>
      <c r="E8" s="222" t="e">
        <f>VLOOKUP($B8,Пр.взв!$D$6:$J$76,6,0)</f>
        <v>#N/A</v>
      </c>
      <c r="F8" s="223" t="e">
        <f>VLOOKUP($B8,Пр.взв!$D$6:$J$76,7,0)</f>
        <v>#N/A</v>
      </c>
      <c r="G8" s="225" t="e">
        <f>VLOOKUP($B8,Пр.взв!$D$6:$M$76,8,0)</f>
        <v>#N/A</v>
      </c>
      <c r="H8" s="226" t="e">
        <f>VLOOKUP($B8,Пр.взв!$D$6:$M$76,10,0)</f>
        <v>#N/A</v>
      </c>
    </row>
    <row r="9" spans="1:8" ht="18">
      <c r="A9" s="219">
        <v>3</v>
      </c>
      <c r="B9" s="220" t="e">
        <f t="array" ref="B9">INDEX(Пр.хода!$B$6:'Пр.хода'!$B$148,MATCH("4",Пр.хода!$AE$6:'Пр.хода'!$AE$148,0),MATCH("№ п/ж",Пр.хода!$B$4:'Пр.хода'!$D$4,0))</f>
        <v>#N/A</v>
      </c>
      <c r="C9" s="221" t="e">
        <f>VLOOKUP($B9,Пр.взв!$D$6:$J$76,3,0)</f>
        <v>#N/A</v>
      </c>
      <c r="D9" s="222" t="e">
        <f>VLOOKUP($B9,Пр.взв!$D$6:$J$76,4,0)</f>
        <v>#N/A</v>
      </c>
      <c r="E9" s="222" t="e">
        <f>VLOOKUP($B9,Пр.взв!$D$6:$J$76,6,0)</f>
        <v>#N/A</v>
      </c>
      <c r="F9" s="223" t="e">
        <f>VLOOKUP($B9,Пр.взв!$D$6:$J$76,7,0)</f>
        <v>#N/A</v>
      </c>
      <c r="G9" s="223" t="e">
        <f>VLOOKUP($B9,Пр.взв!$D$6:$M$76,8,0)</f>
        <v>#N/A</v>
      </c>
      <c r="H9" s="223" t="e">
        <f>VLOOKUP($B9,Пр.взв!$D$6:$M$76,10,0)</f>
        <v>#N/A</v>
      </c>
    </row>
    <row r="10" spans="1:8" ht="15.5">
      <c r="A10" s="227">
        <v>5</v>
      </c>
      <c r="B10" s="220" t="e">
        <f t="array" ref="B10">INDEX(Пр.хода!$B$6:'Пр.хода'!$B$148,MATCH("5",Пр.хода!$AE$6:'Пр.хода'!$AE$148,0),MATCH("№ п/ж",Пр.хода!$B$4:'Пр.хода'!$D$4,0))</f>
        <v>#N/A</v>
      </c>
      <c r="C10" s="221" t="e">
        <f>VLOOKUP($B10,Пр.взв!$D$6:$J$76,3,0)</f>
        <v>#N/A</v>
      </c>
      <c r="D10" s="222" t="e">
        <f>VLOOKUP($B10,Пр.взв!$D$6:$J$76,4,0)</f>
        <v>#N/A</v>
      </c>
      <c r="E10" s="222" t="e">
        <f>VLOOKUP($B10,Пр.взв!$D$6:$J$76,6,0)</f>
        <v>#N/A</v>
      </c>
      <c r="F10" s="223" t="e">
        <f>VLOOKUP($B10,Пр.взв!$D$6:$J$76,7,0)</f>
        <v>#N/A</v>
      </c>
      <c r="G10" s="223" t="e">
        <f>VLOOKUP($B10,Пр.взв!$D$6:$M$76,8,0)</f>
        <v>#N/A</v>
      </c>
      <c r="H10" s="223" t="e">
        <f>VLOOKUP($B10,Пр.взв!$D$6:$M$76,10,0)</f>
        <v>#N/A</v>
      </c>
    </row>
    <row r="11" spans="1:8" ht="15.5">
      <c r="A11" s="227">
        <v>6</v>
      </c>
      <c r="B11" s="220" t="e">
        <f t="array" ref="B11">INDEX(Пр.хода!$B$6:'Пр.хода'!$B$148,MATCH("6",Пр.хода!$AE$6:'Пр.хода'!$AE$148,0),MATCH("№ п/ж",Пр.хода!$B$4:'Пр.хода'!$D$4,0))</f>
        <v>#N/A</v>
      </c>
      <c r="C11" s="221" t="e">
        <f>VLOOKUP($B11,Пр.взв!$D$6:$J$76,3,0)</f>
        <v>#N/A</v>
      </c>
      <c r="D11" s="222" t="e">
        <f>VLOOKUP($B11,Пр.взв!$D$6:$J$76,4,0)</f>
        <v>#N/A</v>
      </c>
      <c r="E11" s="222" t="e">
        <f>VLOOKUP($B11,Пр.взв!$D$6:$J$76,6,0)</f>
        <v>#N/A</v>
      </c>
      <c r="F11" s="223" t="e">
        <f>VLOOKUP($B11,Пр.взв!$D$6:$J$76,7,0)</f>
        <v>#N/A</v>
      </c>
      <c r="G11" s="223" t="e">
        <f>VLOOKUP($B11,Пр.взв!$D$6:$M$76,8,0)</f>
        <v>#N/A</v>
      </c>
      <c r="H11" s="223" t="e">
        <f>VLOOKUP($B11,Пр.взв!$D$6:$M$76,10,0)</f>
        <v>#N/A</v>
      </c>
    </row>
    <row r="12" spans="1:8" ht="15.5">
      <c r="A12" s="227">
        <v>7</v>
      </c>
      <c r="B12" s="220" t="e">
        <f t="array" ref="B12">INDEX(Пр.хода!$B$6:'Пр.хода'!$B$148,MATCH("7",Пр.хода!$AE$6:'Пр.хода'!$AE$148,0),MATCH("№ п/ж",Пр.хода!$B$4:'Пр.хода'!$D$4,0))</f>
        <v>#N/A</v>
      </c>
      <c r="C12" s="221" t="e">
        <f>VLOOKUP($B12,Пр.взв!$D$6:$J$76,3,0)</f>
        <v>#N/A</v>
      </c>
      <c r="D12" s="222" t="e">
        <f>VLOOKUP($B12,Пр.взв!$D$6:$J$76,4,0)</f>
        <v>#N/A</v>
      </c>
      <c r="E12" s="222" t="e">
        <f>VLOOKUP($B12,Пр.взв!$D$6:$J$76,6,0)</f>
        <v>#N/A</v>
      </c>
      <c r="F12" s="223" t="e">
        <f>VLOOKUP($B12,Пр.взв!$D$6:$J$76,7,0)</f>
        <v>#N/A</v>
      </c>
      <c r="G12" s="223" t="e">
        <f>VLOOKUP($B12,Пр.взв!$D$6:$M$76,8,0)</f>
        <v>#N/A</v>
      </c>
      <c r="H12" s="223" t="e">
        <f>VLOOKUP($B12,Пр.взв!$D$6:$M$76,10,0)</f>
        <v>#N/A</v>
      </c>
    </row>
    <row r="13" spans="1:8" ht="15.5">
      <c r="A13" s="227">
        <v>8</v>
      </c>
      <c r="B13" s="220" t="e">
        <f t="array" ref="B13">INDEX(Пр.хода!$B$6:'Пр.хода'!$B$148,MATCH("8",Пр.хода!$AE$6:'Пр.хода'!$AE$148,0),MATCH("№ п/ж",Пр.хода!$B$4:'Пр.хода'!$D$4,0))</f>
        <v>#N/A</v>
      </c>
      <c r="C13" s="221" t="e">
        <f>VLOOKUP($B13,Пр.взв!$D$6:$J$76,3,0)</f>
        <v>#N/A</v>
      </c>
      <c r="D13" s="222" t="e">
        <f>VLOOKUP($B13,Пр.взв!$D$6:$J$76,4,0)</f>
        <v>#N/A</v>
      </c>
      <c r="E13" s="222" t="e">
        <f>VLOOKUP($B13,Пр.взв!$D$6:$J$76,6,0)</f>
        <v>#N/A</v>
      </c>
      <c r="F13" s="223" t="e">
        <f>VLOOKUP($B13,Пр.взв!$D$6:$J$76,7,0)</f>
        <v>#N/A</v>
      </c>
      <c r="G13" s="223" t="e">
        <f>VLOOKUP($B13,Пр.взв!$D$6:$M$76,8,0)</f>
        <v>#N/A</v>
      </c>
      <c r="H13" s="223" t="e">
        <f>VLOOKUP($B13,Пр.взв!$D$6:$M$76,10,0)</f>
        <v>#N/A</v>
      </c>
    </row>
    <row r="14" spans="1:8" ht="15.5">
      <c r="A14" s="227">
        <v>9</v>
      </c>
      <c r="B14" s="220" t="e">
        <f t="array" ref="B14">INDEX(Пр.хода!$B$6:'Пр.хода'!$B$148,MATCH("9",Пр.хода!$AE$6:'Пр.хода'!$AE$148,0),MATCH("№ п/ж",Пр.хода!$B$4:'Пр.хода'!$D$4,0))</f>
        <v>#N/A</v>
      </c>
      <c r="C14" s="221" t="e">
        <f>VLOOKUP($B14,Пр.взв!$D$6:$J$76,3,0)</f>
        <v>#N/A</v>
      </c>
      <c r="D14" s="222" t="e">
        <f>VLOOKUP($B14,Пр.взв!$D$6:$J$76,4,0)</f>
        <v>#N/A</v>
      </c>
      <c r="E14" s="222" t="e">
        <f>VLOOKUP($B14,Пр.взв!$D$6:$J$76,6,0)</f>
        <v>#N/A</v>
      </c>
      <c r="F14" s="223" t="e">
        <f>VLOOKUP($B14,Пр.взв!$D$6:$J$76,7,0)</f>
        <v>#N/A</v>
      </c>
      <c r="G14" s="223" t="e">
        <f>VLOOKUP($B14,Пр.взв!$D$6:$M$76,8,0)</f>
        <v>#N/A</v>
      </c>
      <c r="H14" s="223" t="e">
        <f>VLOOKUP($B14,Пр.взв!$D$6:$M$76,10,0)</f>
        <v>#N/A</v>
      </c>
    </row>
    <row r="15" spans="1:8" ht="15.5">
      <c r="A15" s="227">
        <v>10</v>
      </c>
      <c r="B15" s="220" t="e">
        <f t="array" ref="B15">INDEX(Пр.хода!$B$6:'Пр.хода'!$B$148,MATCH("10",Пр.хода!$AE$6:'Пр.хода'!$AE$148,0),MATCH("№ п/ж",Пр.хода!$B$4:'Пр.хода'!$D$4,0))</f>
        <v>#N/A</v>
      </c>
      <c r="C15" s="221" t="e">
        <f>VLOOKUP($B15,Пр.взв!$D$6:$J$76,3,0)</f>
        <v>#N/A</v>
      </c>
      <c r="D15" s="222" t="e">
        <f>VLOOKUP($B15,Пр.взв!$D$6:$J$76,4,0)</f>
        <v>#N/A</v>
      </c>
      <c r="E15" s="222" t="e">
        <f>VLOOKUP($B15,Пр.взв!$D$6:$J$76,6,0)</f>
        <v>#N/A</v>
      </c>
      <c r="F15" s="223" t="e">
        <f>VLOOKUP($B15,Пр.взв!$D$6:$J$76,7,0)</f>
        <v>#N/A</v>
      </c>
      <c r="G15" s="223" t="e">
        <f>VLOOKUP($B15,Пр.взв!$D$6:$M$76,8,0)</f>
        <v>#N/A</v>
      </c>
      <c r="H15" s="223" t="e">
        <f>VLOOKUP($B15,Пр.взв!$D$6:$M$76,10,0)</f>
        <v>#N/A</v>
      </c>
    </row>
    <row r="16" spans="1:8" ht="15.5">
      <c r="A16" s="227">
        <v>11</v>
      </c>
      <c r="B16" s="220" t="e">
        <f t="array" ref="B16">INDEX(Пр.хода!$B$6:'Пр.хода'!$B$148,MATCH("11",Пр.хода!$AE$6:'Пр.хода'!$AE$148,0),MATCH("№ п/ж",Пр.хода!$B$4:'Пр.хода'!$D$4,0))</f>
        <v>#N/A</v>
      </c>
      <c r="C16" s="221" t="e">
        <f>VLOOKUP($B16,Пр.взв!$D$6:$J$76,3,0)</f>
        <v>#N/A</v>
      </c>
      <c r="D16" s="222" t="e">
        <f>VLOOKUP($B16,Пр.взв!$D$6:$J$76,4,0)</f>
        <v>#N/A</v>
      </c>
      <c r="E16" s="222" t="e">
        <f>VLOOKUP($B16,Пр.взв!$D$6:$J$76,6,0)</f>
        <v>#N/A</v>
      </c>
      <c r="F16" s="223" t="e">
        <f>VLOOKUP($B16,Пр.взв!$D$6:$J$76,7,0)</f>
        <v>#N/A</v>
      </c>
      <c r="G16" s="223" t="e">
        <f>VLOOKUP($B16,Пр.взв!$D$6:$M$76,8,0)</f>
        <v>#N/A</v>
      </c>
      <c r="H16" s="223" t="e">
        <f>VLOOKUP($B16,Пр.взв!$D$6:$M$76,10,0)</f>
        <v>#N/A</v>
      </c>
    </row>
    <row r="17" spans="1:8" ht="15.5">
      <c r="A17" s="227">
        <v>12</v>
      </c>
      <c r="B17" s="220" t="e">
        <f t="array" ref="B17">INDEX(Пр.хода!$B$6:'Пр.хода'!$B$148,MATCH("12",Пр.хода!$AE$6:'Пр.хода'!$AE$148,0),MATCH("№ п/ж",Пр.хода!$B$4:'Пр.хода'!$D$4,0))</f>
        <v>#N/A</v>
      </c>
      <c r="C17" s="221" t="e">
        <f>VLOOKUP($B17,Пр.взв!$D$6:$J$76,3,0)</f>
        <v>#N/A</v>
      </c>
      <c r="D17" s="222" t="e">
        <f>VLOOKUP($B17,Пр.взв!$D$6:$J$76,4,0)</f>
        <v>#N/A</v>
      </c>
      <c r="E17" s="222" t="e">
        <f>VLOOKUP($B17,Пр.взв!$D$6:$J$76,6,0)</f>
        <v>#N/A</v>
      </c>
      <c r="F17" s="223" t="e">
        <f>VLOOKUP($B17,Пр.взв!$D$6:$J$76,7,0)</f>
        <v>#N/A</v>
      </c>
      <c r="G17" s="223" t="e">
        <f>VLOOKUP($B17,Пр.взв!$D$6:$M$76,8,0)</f>
        <v>#N/A</v>
      </c>
      <c r="H17" s="223" t="e">
        <f>VLOOKUP($B17,Пр.взв!$D$6:$M$76,10,0)</f>
        <v>#N/A</v>
      </c>
    </row>
    <row r="18" spans="1:8" ht="15.5">
      <c r="A18" s="227">
        <v>13</v>
      </c>
      <c r="B18" s="220" t="e">
        <f t="array" ref="B18">INDEX(Пр.хода!$B$6:'Пр.хода'!$B$148,MATCH("13",Пр.хода!$AE$6:'Пр.хода'!$AE$148,0),MATCH("№ п/ж",Пр.хода!$B$4:'Пр.хода'!$D$4,0))</f>
        <v>#N/A</v>
      </c>
      <c r="C18" s="221" t="e">
        <f>VLOOKUP($B18,Пр.взв!$D$6:$J$76,3,0)</f>
        <v>#N/A</v>
      </c>
      <c r="D18" s="222" t="e">
        <f>VLOOKUP($B18,Пр.взв!$D$6:$J$76,4,0)</f>
        <v>#N/A</v>
      </c>
      <c r="E18" s="222" t="e">
        <f>VLOOKUP($B18,Пр.взв!$D$6:$J$76,6,0)</f>
        <v>#N/A</v>
      </c>
      <c r="F18" s="223" t="e">
        <f>VLOOKUP($B18,Пр.взв!$D$6:$J$76,7,0)</f>
        <v>#N/A</v>
      </c>
      <c r="G18" s="223" t="e">
        <f>VLOOKUP($B18,Пр.взв!$D$6:$M$76,8,0)</f>
        <v>#N/A</v>
      </c>
      <c r="H18" s="223" t="e">
        <f>VLOOKUP($B18,Пр.взв!$D$6:$M$76,10,0)</f>
        <v>#N/A</v>
      </c>
    </row>
    <row r="19" spans="1:8" ht="15.5">
      <c r="A19" s="227">
        <v>14</v>
      </c>
      <c r="B19" s="220" t="e">
        <f t="array" ref="B19">INDEX(Пр.хода!$B$6:'Пр.хода'!$B$148,MATCH("14",Пр.хода!$AE$6:'Пр.хода'!$AE$148,0),MATCH("№ п/ж",Пр.хода!$B$4:'Пр.хода'!$D$4,0))</f>
        <v>#N/A</v>
      </c>
      <c r="C19" s="221" t="e">
        <f>VLOOKUP($B19,Пр.взв!$D$6:$J$76,3,0)</f>
        <v>#N/A</v>
      </c>
      <c r="D19" s="222" t="e">
        <f>VLOOKUP($B19,Пр.взв!$D$6:$J$76,4,0)</f>
        <v>#N/A</v>
      </c>
      <c r="E19" s="222" t="e">
        <f>VLOOKUP($B19,Пр.взв!$D$6:$J$76,6,0)</f>
        <v>#N/A</v>
      </c>
      <c r="F19" s="223" t="e">
        <f>VLOOKUP($B19,Пр.взв!$D$6:$J$76,7,0)</f>
        <v>#N/A</v>
      </c>
      <c r="G19" s="223" t="e">
        <f>VLOOKUP($B19,Пр.взв!$D$6:$M$76,8,0)</f>
        <v>#N/A</v>
      </c>
      <c r="H19" s="223" t="e">
        <f>VLOOKUP($B19,Пр.взв!$D$6:$M$76,10,0)</f>
        <v>#N/A</v>
      </c>
    </row>
    <row r="20" spans="1:8" ht="15.5">
      <c r="A20" s="227">
        <v>15</v>
      </c>
      <c r="B20" s="220" t="e">
        <f t="array" ref="B20">INDEX(Пр.хода!$B$6:'Пр.хода'!$B$148,MATCH("15",Пр.хода!$AE$6:'Пр.хода'!$AE$148,0),MATCH("№ п/ж",Пр.хода!$B$4:'Пр.хода'!$D$4,0))</f>
        <v>#N/A</v>
      </c>
      <c r="C20" s="221" t="e">
        <f>VLOOKUP($B20,Пр.взв!$D$6:$J$76,3,0)</f>
        <v>#N/A</v>
      </c>
      <c r="D20" s="222" t="e">
        <f>VLOOKUP($B20,Пр.взв!$D$6:$J$76,4,0)</f>
        <v>#N/A</v>
      </c>
      <c r="E20" s="222" t="e">
        <f>VLOOKUP($B20,Пр.взв!$D$6:$J$76,6,0)</f>
        <v>#N/A</v>
      </c>
      <c r="F20" s="223" t="e">
        <f>VLOOKUP($B20,Пр.взв!$D$6:$J$76,7,0)</f>
        <v>#N/A</v>
      </c>
      <c r="G20" s="223" t="e">
        <f>VLOOKUP($B20,Пр.взв!$D$6:$M$76,8,0)</f>
        <v>#N/A</v>
      </c>
      <c r="H20" s="223" t="e">
        <f>VLOOKUP($B20,Пр.взв!$D$6:$M$76,10,0)</f>
        <v>#N/A</v>
      </c>
    </row>
    <row r="21" spans="1:8" ht="15.5">
      <c r="A21" s="227">
        <v>16</v>
      </c>
      <c r="B21" s="220" t="e">
        <f t="array" ref="B21">INDEX(Пр.хода!$B$6:'Пр.хода'!$B$148,MATCH("16",Пр.хода!$AE$6:'Пр.хода'!$AE$148,0),MATCH("№ п/ж",Пр.хода!$B$4:'Пр.хода'!$D$4,0))</f>
        <v>#N/A</v>
      </c>
      <c r="C21" s="221" t="e">
        <f>VLOOKUP($B21,Пр.взв!$D$6:$J$76,3,0)</f>
        <v>#N/A</v>
      </c>
      <c r="D21" s="222" t="e">
        <f>VLOOKUP($B21,Пр.взв!$D$6:$J$76,4,0)</f>
        <v>#N/A</v>
      </c>
      <c r="E21" s="222" t="e">
        <f>VLOOKUP($B21,Пр.взв!$D$6:$J$76,6,0)</f>
        <v>#N/A</v>
      </c>
      <c r="F21" s="223" t="e">
        <f>VLOOKUP($B21,Пр.взв!$D$6:$J$76,7,0)</f>
        <v>#N/A</v>
      </c>
      <c r="G21" s="223" t="e">
        <f>VLOOKUP($B21,Пр.взв!$D$6:$M$76,8,0)</f>
        <v>#N/A</v>
      </c>
      <c r="H21" s="223" t="e">
        <f>VLOOKUP($B21,Пр.взв!$D$6:$M$76,10,0)</f>
        <v>#N/A</v>
      </c>
    </row>
    <row r="22" spans="1:8" ht="15.5">
      <c r="A22" s="227">
        <v>17</v>
      </c>
      <c r="B22" s="220" t="e">
        <f t="array" ref="B22">INDEX(Пр.хода!$B$6:'Пр.хода'!$B$148,MATCH("17",Пр.хода!$AE$6:'Пр.хода'!$AE$148,0),MATCH("№ п/ж",Пр.хода!$B$4:'Пр.хода'!$D$4,0))</f>
        <v>#N/A</v>
      </c>
      <c r="C22" s="221" t="e">
        <f>VLOOKUP($B22,Пр.взв!$D$6:$J$76,3,0)</f>
        <v>#N/A</v>
      </c>
      <c r="D22" s="222" t="e">
        <f>VLOOKUP($B22,Пр.взв!$D$6:$J$76,4,0)</f>
        <v>#N/A</v>
      </c>
      <c r="E22" s="222" t="e">
        <f>VLOOKUP($B22,Пр.взв!$D$6:$J$76,6,0)</f>
        <v>#N/A</v>
      </c>
      <c r="F22" s="223" t="e">
        <f>VLOOKUP($B22,Пр.взв!$D$6:$J$76,7,0)</f>
        <v>#N/A</v>
      </c>
      <c r="G22" s="223" t="e">
        <f>VLOOKUP($B22,Пр.взв!$D$6:$M$76,8,0)</f>
        <v>#N/A</v>
      </c>
      <c r="H22" s="223" t="e">
        <f>VLOOKUP($B22,Пр.взв!$D$6:$M$76,10,0)</f>
        <v>#N/A</v>
      </c>
    </row>
    <row r="23" spans="1:8" ht="15.5">
      <c r="A23" s="227">
        <v>18</v>
      </c>
      <c r="B23" s="220" t="e">
        <f t="array" ref="B23">INDEX(Пр.хода!$B$6:'Пр.хода'!$B$148,MATCH("18",Пр.хода!$AE$6:'Пр.хода'!$AE$148,0),MATCH("№ п/ж",Пр.хода!$B$4:'Пр.хода'!$D$4,0))</f>
        <v>#N/A</v>
      </c>
      <c r="C23" s="221" t="e">
        <f>VLOOKUP($B23,Пр.взв!$D$6:$J$76,3,0)</f>
        <v>#N/A</v>
      </c>
      <c r="D23" s="222" t="e">
        <f>VLOOKUP($B23,Пр.взв!$D$6:$J$76,4,0)</f>
        <v>#N/A</v>
      </c>
      <c r="E23" s="222" t="e">
        <f>VLOOKUP($B23,Пр.взв!$D$6:$J$76,6,0)</f>
        <v>#N/A</v>
      </c>
      <c r="F23" s="223" t="e">
        <f>VLOOKUP($B23,Пр.взв!$D$6:$J$76,7,0)</f>
        <v>#N/A</v>
      </c>
      <c r="G23" s="223" t="e">
        <f>VLOOKUP($B23,Пр.взв!$D$6:$M$76,8,0)</f>
        <v>#N/A</v>
      </c>
      <c r="H23" s="223" t="e">
        <f>VLOOKUP($B23,Пр.взв!$D$6:$M$76,10,0)</f>
        <v>#N/A</v>
      </c>
    </row>
    <row r="24" spans="1:8" ht="15.5">
      <c r="A24" s="227">
        <v>19</v>
      </c>
      <c r="B24" s="220" t="e">
        <f t="array" ref="B24">INDEX(Пр.хода!$B$6:'Пр.хода'!$B$148,MATCH("19",Пр.хода!$AE$6:'Пр.хода'!$AE$148,0),MATCH("№ п/ж",Пр.хода!$B$4:'Пр.хода'!$D$4,0))</f>
        <v>#N/A</v>
      </c>
      <c r="C24" s="221" t="e">
        <f>VLOOKUP($B24,Пр.взв!$D$6:$J$76,3,0)</f>
        <v>#N/A</v>
      </c>
      <c r="D24" s="222" t="e">
        <f>VLOOKUP($B24,Пр.взв!$D$6:$J$76,4,0)</f>
        <v>#N/A</v>
      </c>
      <c r="E24" s="222" t="e">
        <f>VLOOKUP($B24,Пр.взв!$D$6:$J$76,6,0)</f>
        <v>#N/A</v>
      </c>
      <c r="F24" s="223" t="e">
        <f>VLOOKUP($B24,Пр.взв!$D$6:$J$76,7,0)</f>
        <v>#N/A</v>
      </c>
      <c r="G24" s="223" t="e">
        <f>VLOOKUP($B24,Пр.взв!$D$6:$M$76,8,0)</f>
        <v>#N/A</v>
      </c>
      <c r="H24" s="223" t="e">
        <f>VLOOKUP($B24,Пр.взв!$D$6:$M$76,10,0)</f>
        <v>#N/A</v>
      </c>
    </row>
    <row r="25" spans="1:8" ht="15.5">
      <c r="A25" s="227">
        <v>20</v>
      </c>
      <c r="B25" s="220" t="e">
        <f t="array" ref="B25">INDEX(Пр.хода!$B$6:'Пр.хода'!$B$148,MATCH("20",Пр.хода!$AE$6:'Пр.хода'!$AE$148,0),MATCH("№ п/ж",Пр.хода!$B$4:'Пр.хода'!$D$4,0))</f>
        <v>#N/A</v>
      </c>
      <c r="C25" s="221" t="e">
        <f>VLOOKUP($B25,Пр.взв!$D$6:$J$76,3,0)</f>
        <v>#N/A</v>
      </c>
      <c r="D25" s="222" t="e">
        <f>VLOOKUP($B25,Пр.взв!$D$6:$J$76,4,0)</f>
        <v>#N/A</v>
      </c>
      <c r="E25" s="222" t="e">
        <f>VLOOKUP($B25,Пр.взв!$D$6:$J$76,6,0)</f>
        <v>#N/A</v>
      </c>
      <c r="F25" s="223" t="e">
        <f>VLOOKUP($B25,Пр.взв!$D$6:$J$76,7,0)</f>
        <v>#N/A</v>
      </c>
      <c r="G25" s="223" t="e">
        <f>VLOOKUP($B25,Пр.взв!$D$6:$M$76,8,0)</f>
        <v>#N/A</v>
      </c>
      <c r="H25" s="223" t="e">
        <f>VLOOKUP($B25,Пр.взв!$D$6:$M$76,10,0)</f>
        <v>#N/A</v>
      </c>
    </row>
    <row r="26" spans="1:8" ht="15.5">
      <c r="A26" s="227">
        <v>21</v>
      </c>
      <c r="B26" s="220" t="e">
        <f t="array" ref="B26">INDEX(Пр.хода!$B$6:'Пр.хода'!$B$148,MATCH("21",Пр.хода!$AE$6:'Пр.хода'!$AE$148,0),MATCH("№ п/ж",Пр.хода!$B$4:'Пр.хода'!$D$4,0))</f>
        <v>#N/A</v>
      </c>
      <c r="C26" s="221" t="e">
        <f>VLOOKUP($B26,Пр.взв!$D$6:$J$76,3,0)</f>
        <v>#N/A</v>
      </c>
      <c r="D26" s="222" t="e">
        <f>VLOOKUP($B26,Пр.взв!$D$6:$J$76,4,0)</f>
        <v>#N/A</v>
      </c>
      <c r="E26" s="222" t="e">
        <f>VLOOKUP($B26,Пр.взв!$D$6:$J$76,6,0)</f>
        <v>#N/A</v>
      </c>
      <c r="F26" s="223" t="e">
        <f>VLOOKUP($B26,Пр.взв!$D$6:$J$76,7,0)</f>
        <v>#N/A</v>
      </c>
      <c r="G26" s="223" t="e">
        <f>VLOOKUP($B26,Пр.взв!$D$6:$M$76,8,0)</f>
        <v>#N/A</v>
      </c>
      <c r="H26" s="223" t="e">
        <f>VLOOKUP($B26,Пр.взв!$D$6:$M$76,10,0)</f>
        <v>#N/A</v>
      </c>
    </row>
    <row r="27" spans="1:8" ht="15.5">
      <c r="A27" s="227">
        <v>22</v>
      </c>
      <c r="B27" s="220" t="e">
        <f t="array" ref="B27">INDEX(Пр.хода!$B$6:'Пр.хода'!$B$148,MATCH("22",Пр.хода!$AE$6:'Пр.хода'!$AE$148,0),MATCH("№ п/ж",Пр.хода!$B$4:'Пр.хода'!$D$4,0))</f>
        <v>#N/A</v>
      </c>
      <c r="C27" s="221" t="e">
        <f>VLOOKUP($B27,Пр.взв!$D$6:$J$76,3,0)</f>
        <v>#N/A</v>
      </c>
      <c r="D27" s="222" t="e">
        <f>VLOOKUP($B27,Пр.взв!$D$6:$J$76,4,0)</f>
        <v>#N/A</v>
      </c>
      <c r="E27" s="222" t="e">
        <f>VLOOKUP($B27,Пр.взв!$D$6:$J$76,6,0)</f>
        <v>#N/A</v>
      </c>
      <c r="F27" s="223" t="e">
        <f>VLOOKUP($B27,Пр.взв!$D$6:$J$76,7,0)</f>
        <v>#N/A</v>
      </c>
      <c r="G27" s="223" t="e">
        <f>VLOOKUP($B27,Пр.взв!$D$6:$M$76,8,0)</f>
        <v>#N/A</v>
      </c>
      <c r="H27" s="223" t="e">
        <f>VLOOKUP($B27,Пр.взв!$D$6:$M$76,10,0)</f>
        <v>#N/A</v>
      </c>
    </row>
    <row r="28" spans="1:8" ht="15.5">
      <c r="A28" s="227">
        <v>23</v>
      </c>
      <c r="B28" s="220" t="e">
        <f t="array" ref="B28">INDEX(Пр.хода!$B$6:'Пр.хода'!$B$148,MATCH("23",Пр.хода!$AE$6:'Пр.хода'!$AE$148,0),MATCH("№ п/ж",Пр.хода!$B$4:'Пр.хода'!$D$4,0))</f>
        <v>#N/A</v>
      </c>
      <c r="C28" s="221" t="e">
        <f>VLOOKUP($B28,Пр.взв!$D$6:$J$76,3,0)</f>
        <v>#N/A</v>
      </c>
      <c r="D28" s="222" t="e">
        <f>VLOOKUP($B28,Пр.взв!$D$6:$J$76,4,0)</f>
        <v>#N/A</v>
      </c>
      <c r="E28" s="222" t="e">
        <f>VLOOKUP($B28,Пр.взв!$D$6:$J$76,6,0)</f>
        <v>#N/A</v>
      </c>
      <c r="F28" s="223" t="e">
        <f>VLOOKUP($B28,Пр.взв!$D$6:$J$76,7,0)</f>
        <v>#N/A</v>
      </c>
      <c r="G28" s="223" t="e">
        <f>VLOOKUP($B28,Пр.взв!$D$6:$M$76,8,0)</f>
        <v>#N/A</v>
      </c>
      <c r="H28" s="223" t="e">
        <f>VLOOKUP($B28,Пр.взв!$D$6:$M$76,10,0)</f>
        <v>#N/A</v>
      </c>
    </row>
    <row r="29" spans="1:8" ht="15.5">
      <c r="A29" s="227">
        <v>24</v>
      </c>
      <c r="B29" s="220" t="e">
        <f t="array" ref="B29">INDEX(Пр.хода!$B$6:'Пр.хода'!$B$148,MATCH("24",Пр.хода!$AE$6:'Пр.хода'!$AE$148,0),MATCH("№ п/ж",Пр.хода!$B$4:'Пр.хода'!$D$4,0))</f>
        <v>#N/A</v>
      </c>
      <c r="C29" s="221" t="e">
        <f>VLOOKUP($B29,Пр.взв!$D$6:$J$76,3,0)</f>
        <v>#N/A</v>
      </c>
      <c r="D29" s="222" t="e">
        <f>VLOOKUP($B29,Пр.взв!$D$6:$J$76,4,0)</f>
        <v>#N/A</v>
      </c>
      <c r="E29" s="222" t="e">
        <f>VLOOKUP($B29,Пр.взв!$D$6:$J$76,6,0)</f>
        <v>#N/A</v>
      </c>
      <c r="F29" s="223" t="e">
        <f>VLOOKUP($B29,Пр.взв!$D$6:$J$76,7,0)</f>
        <v>#N/A</v>
      </c>
      <c r="G29" s="223" t="e">
        <f>VLOOKUP($B29,Пр.взв!$D$6:$M$76,8,0)</f>
        <v>#N/A</v>
      </c>
      <c r="H29" s="223" t="e">
        <f>VLOOKUP($B29,Пр.взв!$D$6:$M$76,10,0)</f>
        <v>#N/A</v>
      </c>
    </row>
    <row r="30" spans="1:8" ht="15.5">
      <c r="A30" s="227">
        <v>25</v>
      </c>
      <c r="B30" s="220" t="e">
        <f t="array" ref="B30">INDEX(Пр.хода!$B$6:'Пр.хода'!$B$148,MATCH("25",Пр.хода!$AE$6:'Пр.хода'!$AE$148,0),MATCH("№ п/ж",Пр.хода!$B$4:'Пр.хода'!$D$4,0))</f>
        <v>#N/A</v>
      </c>
      <c r="C30" s="221" t="e">
        <f>VLOOKUP($B30,Пр.взв!$D$6:$J$76,3,0)</f>
        <v>#N/A</v>
      </c>
      <c r="D30" s="222" t="e">
        <f>VLOOKUP($B30,Пр.взв!$D$6:$J$76,4,0)</f>
        <v>#N/A</v>
      </c>
      <c r="E30" s="222" t="e">
        <f>VLOOKUP($B30,Пр.взв!$D$6:$J$76,6,0)</f>
        <v>#N/A</v>
      </c>
      <c r="F30" s="223" t="e">
        <f>VLOOKUP($B30,Пр.взв!$D$6:$J$76,7,0)</f>
        <v>#N/A</v>
      </c>
      <c r="G30" s="223" t="e">
        <f>VLOOKUP($B30,Пр.взв!$D$6:$M$76,8,0)</f>
        <v>#N/A</v>
      </c>
      <c r="H30" s="223" t="e">
        <f>VLOOKUP($B30,Пр.взв!$D$6:$M$76,10,0)</f>
        <v>#N/A</v>
      </c>
    </row>
    <row r="31" spans="1:8" ht="15.5">
      <c r="A31" s="227">
        <v>26</v>
      </c>
      <c r="B31" s="220" t="e">
        <f t="array" ref="B31">INDEX(Пр.хода!$B$6:'Пр.хода'!$B$148,MATCH("26",Пр.хода!$AE$6:'Пр.хода'!$AE$148,0),MATCH("№ п/ж",Пр.хода!$B$4:'Пр.хода'!$D$4,0))</f>
        <v>#N/A</v>
      </c>
      <c r="C31" s="221" t="e">
        <f>VLOOKUP($B31,Пр.взв!$D$6:$J$76,3,0)</f>
        <v>#N/A</v>
      </c>
      <c r="D31" s="222" t="e">
        <f>VLOOKUP($B31,Пр.взв!$D$6:$J$76,4,0)</f>
        <v>#N/A</v>
      </c>
      <c r="E31" s="222" t="e">
        <f>VLOOKUP($B31,Пр.взв!$D$6:$J$76,6,0)</f>
        <v>#N/A</v>
      </c>
      <c r="F31" s="223" t="e">
        <f>VLOOKUP($B31,Пр.взв!$D$6:$J$76,7,0)</f>
        <v>#N/A</v>
      </c>
      <c r="G31" s="223" t="e">
        <f>VLOOKUP($B31,Пр.взв!$D$6:$M$76,8,0)</f>
        <v>#N/A</v>
      </c>
      <c r="H31" s="223" t="e">
        <f>VLOOKUP($B31,Пр.взв!$D$6:$M$76,10,0)</f>
        <v>#N/A</v>
      </c>
    </row>
    <row r="32" spans="1:8" ht="15.5" hidden="1">
      <c r="A32" s="227">
        <v>27</v>
      </c>
      <c r="B32" s="220" t="e">
        <f t="array" ref="B32">INDEX(Пр.хода!$B$6:'Пр.хода'!$B$148,MATCH("27",Пр.хода!$AE$6:'Пр.хода'!$AE$148,0),MATCH("№ п/ж",Пр.хода!$B$4:'Пр.хода'!$D$4,0))</f>
        <v>#N/A</v>
      </c>
      <c r="C32" s="221" t="e">
        <f>VLOOKUP($B32,Пр.взв!$D$6:$J$76,3,0)</f>
        <v>#N/A</v>
      </c>
      <c r="D32" s="222" t="e">
        <f>VLOOKUP($B32,Пр.взв!$D$6:$J$76,4,0)</f>
        <v>#N/A</v>
      </c>
      <c r="E32" s="222" t="e">
        <f>VLOOKUP($B32,Пр.взв!$D$6:$J$76,6,0)</f>
        <v>#N/A</v>
      </c>
      <c r="F32" s="223" t="e">
        <f>VLOOKUP($B32,Пр.взв!$D$6:$J$76,7,0)</f>
        <v>#N/A</v>
      </c>
      <c r="G32" s="223" t="e">
        <f>VLOOKUP($B32,Пр.взв!$D$6:$M$76,8,0)</f>
        <v>#N/A</v>
      </c>
      <c r="H32" s="223" t="e">
        <f>VLOOKUP($B32,Пр.взв!$D$6:$M$76,10,0)</f>
        <v>#N/A</v>
      </c>
    </row>
    <row r="33" spans="1:8" ht="15.5" hidden="1">
      <c r="A33" s="227">
        <v>28</v>
      </c>
      <c r="B33" s="220" t="e">
        <f t="array" ref="B33">INDEX(Пр.хода!$B$6:'Пр.хода'!$B$148,MATCH("28",Пр.хода!$AE$6:'Пр.хода'!$AE$148,0),MATCH("№ п/ж",Пр.хода!$B$4:'Пр.хода'!$D$4,0))</f>
        <v>#N/A</v>
      </c>
      <c r="C33" s="221" t="e">
        <f>VLOOKUP($B33,Пр.взв!$D$6:$J$76,3,0)</f>
        <v>#N/A</v>
      </c>
      <c r="D33" s="222" t="e">
        <f>VLOOKUP($B33,Пр.взв!$D$6:$J$76,4,0)</f>
        <v>#N/A</v>
      </c>
      <c r="E33" s="222" t="e">
        <f>VLOOKUP($B33,Пр.взв!$D$6:$J$76,6,0)</f>
        <v>#N/A</v>
      </c>
      <c r="F33" s="223" t="e">
        <f>VLOOKUP($B33,Пр.взв!$D$6:$J$76,7,0)</f>
        <v>#N/A</v>
      </c>
      <c r="G33" s="223" t="e">
        <f>VLOOKUP($B33,Пр.взв!$D$6:$M$76,8,0)</f>
        <v>#N/A</v>
      </c>
      <c r="H33" s="223" t="e">
        <f>VLOOKUP($B33,Пр.взв!$D$6:$M$76,10,0)</f>
        <v>#N/A</v>
      </c>
    </row>
    <row r="34" spans="1:8" ht="15.5" hidden="1">
      <c r="A34" s="227">
        <v>29</v>
      </c>
      <c r="B34" s="220" t="e">
        <f t="array" ref="B34">INDEX(Пр.хода!$B$6:'Пр.хода'!$B$148,MATCH("29",Пр.хода!$AE$6:'Пр.хода'!$AE$148,0),MATCH("№ п/ж",Пр.хода!$B$4:'Пр.хода'!$D$4,0))</f>
        <v>#N/A</v>
      </c>
      <c r="C34" s="221" t="e">
        <f>VLOOKUP($B34,Пр.взв!$D$6:$J$76,3,0)</f>
        <v>#N/A</v>
      </c>
      <c r="D34" s="222" t="e">
        <f>VLOOKUP($B34,Пр.взв!$D$6:$J$76,4,0)</f>
        <v>#N/A</v>
      </c>
      <c r="E34" s="222" t="e">
        <f>VLOOKUP($B34,Пр.взв!$D$6:$J$76,6,0)</f>
        <v>#N/A</v>
      </c>
      <c r="F34" s="223" t="e">
        <f>VLOOKUP($B34,Пр.взв!$D$6:$J$76,7,0)</f>
        <v>#N/A</v>
      </c>
      <c r="G34" s="223" t="e">
        <f>VLOOKUP($B34,Пр.взв!$D$6:$M$76,8,0)</f>
        <v>#N/A</v>
      </c>
      <c r="H34" s="223" t="e">
        <f>VLOOKUP($B34,Пр.взв!$D$6:$M$76,10,0)</f>
        <v>#N/A</v>
      </c>
    </row>
    <row r="35" spans="1:8" ht="15.5" hidden="1">
      <c r="A35" s="227">
        <v>30</v>
      </c>
      <c r="B35" s="220" t="e">
        <f t="array" ref="B35">INDEX(Пр.хода!$B$6:'Пр.хода'!$B$148,MATCH("30",Пр.хода!$AE$6:'Пр.хода'!$AE$148,0),MATCH("№ п/ж",Пр.хода!$B$4:'Пр.хода'!$D$4,0))</f>
        <v>#N/A</v>
      </c>
      <c r="C35" s="221" t="e">
        <f>VLOOKUP($B35,Пр.взв!$D$6:$J$76,3,0)</f>
        <v>#N/A</v>
      </c>
      <c r="D35" s="222" t="e">
        <f>VLOOKUP($B35,Пр.взв!$D$6:$J$76,4,0)</f>
        <v>#N/A</v>
      </c>
      <c r="E35" s="222" t="e">
        <f>VLOOKUP($B35,Пр.взв!$D$6:$J$76,6,0)</f>
        <v>#N/A</v>
      </c>
      <c r="F35" s="223" t="e">
        <f>VLOOKUP($B35,Пр.взв!$D$6:$J$76,7,0)</f>
        <v>#N/A</v>
      </c>
      <c r="G35" s="223" t="e">
        <f>VLOOKUP($B35,Пр.взв!$D$6:$M$76,8,0)</f>
        <v>#N/A</v>
      </c>
      <c r="H35" s="223" t="e">
        <f>VLOOKUP($B35,Пр.взв!$D$6:$M$76,10,0)</f>
        <v>#N/A</v>
      </c>
    </row>
    <row r="36" spans="1:8" ht="15.5" hidden="1">
      <c r="A36" s="227">
        <v>31</v>
      </c>
      <c r="B36" s="220" t="e">
        <f t="array" ref="B36">INDEX(Пр.хода!$B$6:'Пр.хода'!$B$148,MATCH("31",Пр.хода!$AE$6:'Пр.хода'!$AE$148,0),MATCH("№ п/ж",Пр.хода!$B$4:'Пр.хода'!$D$4,0))</f>
        <v>#N/A</v>
      </c>
      <c r="C36" s="221" t="e">
        <f>VLOOKUP($B36,Пр.взв!$D$6:$J$76,3,0)</f>
        <v>#N/A</v>
      </c>
      <c r="D36" s="222" t="e">
        <f>VLOOKUP($B36,Пр.взв!$D$6:$J$76,4,0)</f>
        <v>#N/A</v>
      </c>
      <c r="E36" s="222" t="e">
        <f>VLOOKUP($B36,Пр.взв!$D$6:$J$76,6,0)</f>
        <v>#N/A</v>
      </c>
      <c r="F36" s="223" t="e">
        <f>VLOOKUP($B36,Пр.взв!$D$6:$J$76,7,0)</f>
        <v>#N/A</v>
      </c>
      <c r="G36" s="223" t="e">
        <f>VLOOKUP($B36,Пр.взв!$D$6:$M$76,8,0)</f>
        <v>#N/A</v>
      </c>
      <c r="H36" s="223" t="e">
        <f>VLOOKUP($B36,Пр.взв!$D$6:$M$76,10,0)</f>
        <v>#N/A</v>
      </c>
    </row>
    <row r="37" spans="1:8" ht="15.5" hidden="1">
      <c r="A37" s="227">
        <v>32</v>
      </c>
      <c r="B37" s="220" t="e">
        <f t="array" ref="B37">INDEX(Пр.хода!$B$6:'Пр.хода'!$B$148,MATCH("32",Пр.хода!$AE$6:'Пр.хода'!$AE$148,0),MATCH("№ п/ж",Пр.хода!$B$4:'Пр.хода'!$D$4,0))</f>
        <v>#N/A</v>
      </c>
      <c r="C37" s="221" t="e">
        <f>VLOOKUP($B37,Пр.взв!$D$6:$J$76,3,0)</f>
        <v>#N/A</v>
      </c>
      <c r="D37" s="222" t="e">
        <f>VLOOKUP($B37,Пр.взв!$D$6:$J$76,4,0)</f>
        <v>#N/A</v>
      </c>
      <c r="E37" s="222" t="e">
        <f>VLOOKUP($B37,Пр.взв!$D$6:$J$76,6,0)</f>
        <v>#N/A</v>
      </c>
      <c r="F37" s="223" t="e">
        <f>VLOOKUP($B37,Пр.взв!$D$6:$J$76,7,0)</f>
        <v>#N/A</v>
      </c>
      <c r="G37" s="223" t="e">
        <f>VLOOKUP($B37,Пр.взв!$D$6:$M$76,8,0)</f>
        <v>#N/A</v>
      </c>
      <c r="H37" s="223" t="e">
        <f>VLOOKUP($B37,Пр.взв!$D$6:$M$76,10,0)</f>
        <v>#N/A</v>
      </c>
    </row>
    <row r="38" spans="1:8" ht="15.5" hidden="1">
      <c r="A38" s="227">
        <v>33</v>
      </c>
      <c r="B38" s="220" t="e">
        <f t="array" ref="B38">INDEX(Пр.хода!$B$6:'Пр.хода'!$B$148,MATCH("33",Пр.хода!$AE$6:'Пр.хода'!$AE$148,0),MATCH("№ п/ж",Пр.хода!$B$4:'Пр.хода'!$D$4,0))</f>
        <v>#N/A</v>
      </c>
      <c r="C38" s="221" t="e">
        <f>VLOOKUP($B38,Пр.взв!$D$6:$J$76,3,0)</f>
        <v>#N/A</v>
      </c>
      <c r="D38" s="222" t="e">
        <f>VLOOKUP($B38,Пр.взв!$D$6:$J$76,4,0)</f>
        <v>#N/A</v>
      </c>
      <c r="E38" s="222" t="e">
        <f>VLOOKUP($B38,Пр.взв!$D$6:$J$76,6,0)</f>
        <v>#N/A</v>
      </c>
      <c r="F38" s="223" t="e">
        <f>VLOOKUP($B38,Пр.взв!$D$6:$J$76,7,0)</f>
        <v>#N/A</v>
      </c>
      <c r="G38" s="223" t="e">
        <f>VLOOKUP($B38,Пр.взв!$D$6:$M$76,8,0)</f>
        <v>#N/A</v>
      </c>
      <c r="H38" s="223" t="e">
        <f>VLOOKUP($B38,Пр.взв!$D$6:$M$76,10,0)</f>
        <v>#N/A</v>
      </c>
    </row>
    <row r="39" spans="1:8" ht="15.5" hidden="1">
      <c r="A39" s="227">
        <v>34</v>
      </c>
      <c r="B39" s="220" t="e">
        <f t="array" ref="B39">INDEX(Пр.хода!$B$6:'Пр.хода'!$B$148,MATCH("34",Пр.хода!$AE$6:'Пр.хода'!$AE$148,0),MATCH("№ п/ж",Пр.хода!$B$4:'Пр.хода'!$D$4,0))</f>
        <v>#N/A</v>
      </c>
      <c r="C39" s="221" t="e">
        <f>VLOOKUP($B39,Пр.взв!$D$6:$J$76,3,0)</f>
        <v>#N/A</v>
      </c>
      <c r="D39" s="222" t="e">
        <f>VLOOKUP($B39,Пр.взв!$D$6:$J$76,4,0)</f>
        <v>#N/A</v>
      </c>
      <c r="E39" s="222" t="e">
        <f>VLOOKUP($B39,Пр.взв!$D$6:$J$76,6,0)</f>
        <v>#N/A</v>
      </c>
      <c r="F39" s="223" t="e">
        <f>VLOOKUP($B39,Пр.взв!$D$6:$J$76,7,0)</f>
        <v>#N/A</v>
      </c>
      <c r="G39" s="223" t="e">
        <f>VLOOKUP($B39,Пр.взв!$D$6:$M$76,8,0)</f>
        <v>#N/A</v>
      </c>
      <c r="H39" s="223" t="e">
        <f>VLOOKUP($B39,Пр.взв!$D$6:$M$76,10,0)</f>
        <v>#N/A</v>
      </c>
    </row>
    <row r="40" spans="1:8" ht="15.5" hidden="1">
      <c r="A40" s="227">
        <v>35</v>
      </c>
      <c r="B40" s="220" t="e">
        <f t="array" ref="B40">INDEX(Пр.хода!$B$6:'Пр.хода'!$B$148,MATCH("35",Пр.хода!$AE$6:'Пр.хода'!$AE$148,0),MATCH("№ п/ж",Пр.хода!$B$4:'Пр.хода'!$D$4,0))</f>
        <v>#N/A</v>
      </c>
      <c r="C40" s="221" t="e">
        <f>VLOOKUP($B40,Пр.взв!$D$6:$J$76,3,0)</f>
        <v>#N/A</v>
      </c>
      <c r="D40" s="222" t="e">
        <f>VLOOKUP($B40,Пр.взв!$D$6:$J$76,4,0)</f>
        <v>#N/A</v>
      </c>
      <c r="E40" s="222" t="e">
        <f>VLOOKUP($B40,Пр.взв!$D$6:$J$76,6,0)</f>
        <v>#N/A</v>
      </c>
      <c r="F40" s="223" t="e">
        <f>VLOOKUP($B40,Пр.взв!$D$6:$J$76,7,0)</f>
        <v>#N/A</v>
      </c>
      <c r="G40" s="223" t="e">
        <f>VLOOKUP($B40,Пр.взв!$D$6:$M$76,8,0)</f>
        <v>#N/A</v>
      </c>
      <c r="H40" s="223" t="e">
        <f>VLOOKUP($B40,Пр.взв!$D$6:$M$76,10,0)</f>
        <v>#N/A</v>
      </c>
    </row>
    <row r="41" spans="1:8" ht="15.5" hidden="1">
      <c r="A41" s="227">
        <v>36</v>
      </c>
      <c r="B41" s="220" t="e">
        <f t="array" ref="B41">INDEX(Пр.хода!$B$6:'Пр.хода'!$B$148,MATCH("36",Пр.хода!$AE$6:'Пр.хода'!$AE$148,0),MATCH("№ п/ж",Пр.хода!$B$4:'Пр.хода'!$D$4,0))</f>
        <v>#N/A</v>
      </c>
      <c r="C41" s="221" t="e">
        <f>VLOOKUP($B41,Пр.взв!$D$6:$J$76,3,0)</f>
        <v>#N/A</v>
      </c>
      <c r="D41" s="222" t="e">
        <f>VLOOKUP($B41,Пр.взв!$D$6:$J$76,4,0)</f>
        <v>#N/A</v>
      </c>
      <c r="E41" s="222" t="e">
        <f>VLOOKUP($B41,Пр.взв!$D$6:$J$76,6,0)</f>
        <v>#N/A</v>
      </c>
      <c r="F41" s="223" t="e">
        <f>VLOOKUP($B41,Пр.взв!$D$6:$J$76,7,0)</f>
        <v>#N/A</v>
      </c>
      <c r="G41" s="223" t="e">
        <f>VLOOKUP($B41,Пр.взв!$D$6:$M$76,8,0)</f>
        <v>#N/A</v>
      </c>
      <c r="H41" s="223" t="e">
        <f>VLOOKUP($B41,Пр.взв!$D$6:$M$76,10,0)</f>
        <v>#N/A</v>
      </c>
    </row>
    <row r="42" spans="1:8" ht="15.5" hidden="1">
      <c r="A42" s="227">
        <v>37</v>
      </c>
      <c r="B42" s="220" t="e">
        <f t="array" ref="B42">INDEX(Пр.хода!$B$6:'Пр.хода'!$B$148,MATCH("37",Пр.хода!$AE$6:'Пр.хода'!$AE$148,0),MATCH("№ п/ж",Пр.хода!$B$4:'Пр.хода'!$D$4,0))</f>
        <v>#N/A</v>
      </c>
      <c r="C42" s="221" t="e">
        <f>VLOOKUP($B42,Пр.взв!$D$6:$J$76,3,0)</f>
        <v>#N/A</v>
      </c>
      <c r="D42" s="222" t="e">
        <f>VLOOKUP($B42,Пр.взв!$D$6:$J$76,4,0)</f>
        <v>#N/A</v>
      </c>
      <c r="E42" s="222" t="e">
        <f>VLOOKUP($B42,Пр.взв!$D$6:$J$76,6,0)</f>
        <v>#N/A</v>
      </c>
      <c r="F42" s="223" t="e">
        <f>VLOOKUP($B42,Пр.взв!$D$6:$J$76,7,0)</f>
        <v>#N/A</v>
      </c>
      <c r="G42" s="223" t="e">
        <f>VLOOKUP($B42,Пр.взв!$D$6:$M$76,8,0)</f>
        <v>#N/A</v>
      </c>
      <c r="H42" s="223" t="e">
        <f>VLOOKUP($B42,Пр.взв!$D$6:$M$76,10,0)</f>
        <v>#N/A</v>
      </c>
    </row>
    <row r="43" spans="1:8" ht="15.5" hidden="1">
      <c r="A43" s="227">
        <v>38</v>
      </c>
      <c r="B43" s="220" t="e">
        <f t="array" ref="B43">INDEX(Пр.хода!$B$6:'Пр.хода'!$B$148,MATCH("38",Пр.хода!$AE$6:'Пр.хода'!$AE$148,0),MATCH("№ п/ж",Пр.хода!$B$4:'Пр.хода'!$D$4,0))</f>
        <v>#N/A</v>
      </c>
      <c r="C43" s="221" t="e">
        <f>VLOOKUP($B43,Пр.взв!$D$6:$J$76,3,0)</f>
        <v>#N/A</v>
      </c>
      <c r="D43" s="222" t="e">
        <f>VLOOKUP($B43,Пр.взв!$D$6:$J$76,4,0)</f>
        <v>#N/A</v>
      </c>
      <c r="E43" s="222" t="e">
        <f>VLOOKUP($B43,Пр.взв!$D$6:$J$76,6,0)</f>
        <v>#N/A</v>
      </c>
      <c r="F43" s="223" t="e">
        <f>VLOOKUP($B43,Пр.взв!$D$6:$J$76,7,0)</f>
        <v>#N/A</v>
      </c>
      <c r="G43" s="223" t="e">
        <f>VLOOKUP($B43,Пр.взв!$D$6:$M$76,8,0)</f>
        <v>#N/A</v>
      </c>
      <c r="H43" s="223" t="e">
        <f>VLOOKUP($B43,Пр.взв!$D$6:$M$76,10,0)</f>
        <v>#N/A</v>
      </c>
    </row>
    <row r="44" spans="1:8" ht="15.5" hidden="1">
      <c r="A44" s="227">
        <v>39</v>
      </c>
      <c r="B44" s="220" t="e">
        <f t="array" ref="B44">INDEX(Пр.хода!$B$6:'Пр.хода'!$B$148,MATCH("39",Пр.хода!$AE$6:'Пр.хода'!$AE$148,0),MATCH("№ п/ж",Пр.хода!$B$4:'Пр.хода'!$D$4,0))</f>
        <v>#N/A</v>
      </c>
      <c r="C44" s="221" t="e">
        <f>VLOOKUP($B44,Пр.взв!$D$6:$J$76,3,0)</f>
        <v>#N/A</v>
      </c>
      <c r="D44" s="222" t="e">
        <f>VLOOKUP($B44,Пр.взв!$D$6:$J$76,4,0)</f>
        <v>#N/A</v>
      </c>
      <c r="E44" s="222" t="e">
        <f>VLOOKUP($B44,Пр.взв!$D$6:$J$76,6,0)</f>
        <v>#N/A</v>
      </c>
      <c r="F44" s="223" t="e">
        <f>VLOOKUP($B44,Пр.взв!$D$6:$J$76,7,0)</f>
        <v>#N/A</v>
      </c>
      <c r="G44" s="223" t="e">
        <f>VLOOKUP($B44,Пр.взв!$D$6:$M$76,8,0)</f>
        <v>#N/A</v>
      </c>
      <c r="H44" s="223" t="e">
        <f>VLOOKUP($B44,Пр.взв!$D$6:$M$76,10,0)</f>
        <v>#N/A</v>
      </c>
    </row>
    <row r="45" spans="1:8" ht="15.5" hidden="1">
      <c r="A45" s="227">
        <v>40</v>
      </c>
      <c r="B45" s="220" t="e">
        <f t="array" ref="B45">INDEX(Пр.хода!$B$6:'Пр.хода'!$B$148,MATCH("40",Пр.хода!$AE$6:'Пр.хода'!$AE$148,0),MATCH("№ п/ж",Пр.хода!$B$4:'Пр.хода'!$D$4,0))</f>
        <v>#N/A</v>
      </c>
      <c r="C45" s="221" t="e">
        <f>VLOOKUP($B45,Пр.взв!$D$6:$J$76,3,0)</f>
        <v>#N/A</v>
      </c>
      <c r="D45" s="222" t="e">
        <f>VLOOKUP($B45,Пр.взв!$D$6:$J$76,4,0)</f>
        <v>#N/A</v>
      </c>
      <c r="E45" s="222" t="e">
        <f>VLOOKUP($B45,Пр.взв!$D$6:$J$76,6,0)</f>
        <v>#N/A</v>
      </c>
      <c r="F45" s="223" t="e">
        <f>VLOOKUP($B45,Пр.взв!$D$6:$J$76,7,0)</f>
        <v>#N/A</v>
      </c>
      <c r="G45" s="223" t="e">
        <f>VLOOKUP($B45,Пр.взв!$D$6:$M$76,8,0)</f>
        <v>#N/A</v>
      </c>
      <c r="H45" s="223" t="e">
        <f>VLOOKUP($B45,Пр.взв!$D$6:$M$76,10,0)</f>
        <v>#N/A</v>
      </c>
    </row>
    <row r="46" spans="1:8" ht="15.5" hidden="1">
      <c r="A46" s="227">
        <v>41</v>
      </c>
      <c r="B46" s="220" t="e">
        <f t="array" ref="B46">INDEX(Пр.хода!$B$6:'Пр.хода'!$B$148,MATCH("41",Пр.хода!$AE$6:'Пр.хода'!$AE$148,0),MATCH("№ п/ж",Пр.хода!$B$4:'Пр.хода'!$D$4,0))</f>
        <v>#N/A</v>
      </c>
      <c r="C46" s="221" t="e">
        <f>VLOOKUP($B46,Пр.взв!$D$6:$J$76,3,0)</f>
        <v>#N/A</v>
      </c>
      <c r="D46" s="222" t="e">
        <f>VLOOKUP($B46,Пр.взв!$D$6:$J$76,4,0)</f>
        <v>#N/A</v>
      </c>
      <c r="E46" s="222" t="e">
        <f>VLOOKUP($B46,Пр.взв!$D$6:$J$76,6,0)</f>
        <v>#N/A</v>
      </c>
      <c r="F46" s="223" t="e">
        <f>VLOOKUP($B46,Пр.взв!$D$6:$J$76,7,0)</f>
        <v>#N/A</v>
      </c>
      <c r="G46" s="223" t="e">
        <f>VLOOKUP($B46,Пр.взв!$D$6:$M$76,8,0)</f>
        <v>#N/A</v>
      </c>
      <c r="H46" s="223" t="e">
        <f>VLOOKUP($B46,Пр.взв!$D$6:$M$76,10,0)</f>
        <v>#N/A</v>
      </c>
    </row>
    <row r="47" spans="1:8" ht="15.5" hidden="1">
      <c r="A47" s="227">
        <v>42</v>
      </c>
      <c r="B47" s="220" t="e">
        <f t="array" ref="B47">INDEX(Пр.хода!$B$6:'Пр.хода'!$B$148,MATCH("42",Пр.хода!$AE$6:'Пр.хода'!$AE$148,0),MATCH("№ п/ж",Пр.хода!$B$4:'Пр.хода'!$D$4,0))</f>
        <v>#N/A</v>
      </c>
      <c r="C47" s="221" t="e">
        <f>VLOOKUP($B47,Пр.взв!$D$6:$J$76,3,0)</f>
        <v>#N/A</v>
      </c>
      <c r="D47" s="222" t="e">
        <f>VLOOKUP($B47,Пр.взв!$D$6:$J$76,4,0)</f>
        <v>#N/A</v>
      </c>
      <c r="E47" s="222" t="e">
        <f>VLOOKUP($B47,Пр.взв!$D$6:$J$76,6,0)</f>
        <v>#N/A</v>
      </c>
      <c r="F47" s="223" t="e">
        <f>VLOOKUP($B47,Пр.взв!$D$6:$J$76,7,0)</f>
        <v>#N/A</v>
      </c>
      <c r="G47" s="223" t="e">
        <f>VLOOKUP($B47,Пр.взв!$D$6:$M$76,8,0)</f>
        <v>#N/A</v>
      </c>
      <c r="H47" s="223" t="e">
        <f>VLOOKUP($B47,Пр.взв!$D$6:$M$76,10,0)</f>
        <v>#N/A</v>
      </c>
    </row>
    <row r="48" spans="1:8" ht="15.5" hidden="1">
      <c r="A48" s="227">
        <v>43</v>
      </c>
      <c r="B48" s="220" t="e">
        <f t="array" ref="B48">INDEX(Пр.хода!$B$6:'Пр.хода'!$B$148,MATCH("43",Пр.хода!$AE$6:'Пр.хода'!$AE$148,0),MATCH("№ п/ж",Пр.хода!$B$4:'Пр.хода'!$D$4,0))</f>
        <v>#N/A</v>
      </c>
      <c r="C48" s="221" t="e">
        <f>VLOOKUP($B48,Пр.взв!$D$6:$J$76,3,0)</f>
        <v>#N/A</v>
      </c>
      <c r="D48" s="222" t="e">
        <f>VLOOKUP($B48,Пр.взв!$D$6:$J$76,4,0)</f>
        <v>#N/A</v>
      </c>
      <c r="E48" s="222" t="e">
        <f>VLOOKUP($B48,Пр.взв!$D$6:$J$76,6,0)</f>
        <v>#N/A</v>
      </c>
      <c r="F48" s="223" t="e">
        <f>VLOOKUP($B48,Пр.взв!$D$6:$J$76,7,0)</f>
        <v>#N/A</v>
      </c>
      <c r="G48" s="223" t="e">
        <f>VLOOKUP($B48,Пр.взв!$D$6:$M$76,8,0)</f>
        <v>#N/A</v>
      </c>
      <c r="H48" s="223" t="e">
        <f>VLOOKUP($B48,Пр.взв!$D$6:$M$76,10,0)</f>
        <v>#N/A</v>
      </c>
    </row>
    <row r="49" spans="1:8" ht="15.5" hidden="1">
      <c r="A49" s="227">
        <v>44</v>
      </c>
      <c r="B49" s="220" t="e">
        <f t="array" ref="B49">INDEX(Пр.хода!$B$6:'Пр.хода'!$B$148,MATCH("44",Пр.хода!$AE$6:'Пр.хода'!$AE$148,0),MATCH("№ п/ж",Пр.хода!$B$4:'Пр.хода'!$D$4,0))</f>
        <v>#N/A</v>
      </c>
      <c r="C49" s="221" t="e">
        <f>VLOOKUP($B49,Пр.взв!$D$6:$J$76,3,0)</f>
        <v>#N/A</v>
      </c>
      <c r="D49" s="222" t="e">
        <f>VLOOKUP($B49,Пр.взв!$D$6:$J$76,4,0)</f>
        <v>#N/A</v>
      </c>
      <c r="E49" s="222" t="e">
        <f>VLOOKUP($B49,Пр.взв!$D$6:$J$76,6,0)</f>
        <v>#N/A</v>
      </c>
      <c r="F49" s="223" t="e">
        <f>VLOOKUP($B49,Пр.взв!$D$6:$J$76,7,0)</f>
        <v>#N/A</v>
      </c>
      <c r="G49" s="223" t="e">
        <f>VLOOKUP($B49,Пр.взв!$D$6:$M$76,8,0)</f>
        <v>#N/A</v>
      </c>
      <c r="H49" s="223" t="e">
        <f>VLOOKUP($B49,Пр.взв!$D$6:$M$76,10,0)</f>
        <v>#N/A</v>
      </c>
    </row>
    <row r="50" spans="1:8" ht="15.5" hidden="1">
      <c r="A50" s="227">
        <v>45</v>
      </c>
      <c r="B50" s="220" t="e">
        <f t="array" ref="B50">INDEX(Пр.хода!$B$6:'Пр.хода'!$B$148,MATCH("45",Пр.хода!$AE$6:'Пр.хода'!$AE$148,0),MATCH("№ п/ж",Пр.хода!$B$4:'Пр.хода'!$D$4,0))</f>
        <v>#N/A</v>
      </c>
      <c r="C50" s="221" t="e">
        <f>VLOOKUP($B50,Пр.взв!$D$6:$J$76,3,0)</f>
        <v>#N/A</v>
      </c>
      <c r="D50" s="222" t="e">
        <f>VLOOKUP($B50,Пр.взв!$D$6:$J$76,4,0)</f>
        <v>#N/A</v>
      </c>
      <c r="E50" s="222" t="e">
        <f>VLOOKUP($B50,Пр.взв!$D$6:$J$76,6,0)</f>
        <v>#N/A</v>
      </c>
      <c r="F50" s="223" t="e">
        <f>VLOOKUP($B50,Пр.взв!$D$6:$J$76,7,0)</f>
        <v>#N/A</v>
      </c>
      <c r="G50" s="223" t="e">
        <f>VLOOKUP($B50,Пр.взв!$D$6:$M$76,8,0)</f>
        <v>#N/A</v>
      </c>
      <c r="H50" s="223" t="e">
        <f>VLOOKUP($B50,Пр.взв!$D$6:$M$76,10,0)</f>
        <v>#N/A</v>
      </c>
    </row>
    <row r="51" spans="1:8" ht="15.5" hidden="1">
      <c r="A51" s="227">
        <v>46</v>
      </c>
      <c r="B51" s="220" t="e">
        <f t="array" ref="B51">INDEX(Пр.хода!$B$6:'Пр.хода'!$B$148,MATCH("46",Пр.хода!$AE$6:'Пр.хода'!$AE$148,0),MATCH("№ п/ж",Пр.хода!$B$4:'Пр.хода'!$D$4,0))</f>
        <v>#N/A</v>
      </c>
      <c r="C51" s="221" t="e">
        <f>VLOOKUP($B51,Пр.взв!$D$6:$J$76,3,0)</f>
        <v>#N/A</v>
      </c>
      <c r="D51" s="222" t="e">
        <f>VLOOKUP($B51,Пр.взв!$D$6:$J$76,4,0)</f>
        <v>#N/A</v>
      </c>
      <c r="E51" s="222" t="e">
        <f>VLOOKUP($B51,Пр.взв!$D$6:$J$76,6,0)</f>
        <v>#N/A</v>
      </c>
      <c r="F51" s="223" t="e">
        <f>VLOOKUP($B51,Пр.взв!$D$6:$J$76,7,0)</f>
        <v>#N/A</v>
      </c>
      <c r="G51" s="223" t="e">
        <f>VLOOKUP($B51,Пр.взв!$D$6:$M$76,8,0)</f>
        <v>#N/A</v>
      </c>
      <c r="H51" s="223" t="e">
        <f>VLOOKUP($B51,Пр.взв!$D$6:$M$76,10,0)</f>
        <v>#N/A</v>
      </c>
    </row>
    <row r="52" spans="1:8" ht="15.5" hidden="1">
      <c r="A52" s="227">
        <v>47</v>
      </c>
      <c r="B52" s="220" t="e">
        <f t="array" ref="B52">INDEX(Пр.хода!$B$6:'Пр.хода'!$B$148,MATCH("47",Пр.хода!$AE$6:'Пр.хода'!$AE$148,0),MATCH("№ п/ж",Пр.хода!$B$4:'Пр.хода'!$D$4,0))</f>
        <v>#N/A</v>
      </c>
      <c r="C52" s="221" t="e">
        <f>VLOOKUP($B52,Пр.взв!$D$6:$J$76,3,0)</f>
        <v>#N/A</v>
      </c>
      <c r="D52" s="222" t="e">
        <f>VLOOKUP($B52,Пр.взв!$D$6:$J$76,4,0)</f>
        <v>#N/A</v>
      </c>
      <c r="E52" s="222" t="e">
        <f>VLOOKUP($B52,Пр.взв!$D$6:$J$76,6,0)</f>
        <v>#N/A</v>
      </c>
      <c r="F52" s="223" t="e">
        <f>VLOOKUP($B52,Пр.взв!$D$6:$J$76,7,0)</f>
        <v>#N/A</v>
      </c>
      <c r="G52" s="223" t="e">
        <f>VLOOKUP($B52,Пр.взв!$D$6:$M$76,8,0)</f>
        <v>#N/A</v>
      </c>
      <c r="H52" s="223" t="e">
        <f>VLOOKUP($B52,Пр.взв!$D$6:$M$76,10,0)</f>
        <v>#N/A</v>
      </c>
    </row>
    <row r="53" spans="1:8" ht="15.5" hidden="1">
      <c r="A53" s="227">
        <v>48</v>
      </c>
      <c r="B53" s="220" t="e">
        <f t="array" ref="B53">INDEX(Пр.хода!$B$6:'Пр.хода'!$B$148,MATCH("48",Пр.хода!$AE$6:'Пр.хода'!$AE$148,0),MATCH("№ п/ж",Пр.хода!$B$4:'Пр.хода'!$D$4,0))</f>
        <v>#N/A</v>
      </c>
      <c r="C53" s="221" t="e">
        <f>VLOOKUP($B53,Пр.взв!$D$6:$J$76,3,0)</f>
        <v>#N/A</v>
      </c>
      <c r="D53" s="222" t="e">
        <f>VLOOKUP($B53,Пр.взв!$D$6:$J$76,4,0)</f>
        <v>#N/A</v>
      </c>
      <c r="E53" s="222" t="e">
        <f>VLOOKUP($B53,Пр.взв!$D$6:$J$76,6,0)</f>
        <v>#N/A</v>
      </c>
      <c r="F53" s="223" t="e">
        <f>VLOOKUP($B53,Пр.взв!$D$6:$J$76,7,0)</f>
        <v>#N/A</v>
      </c>
      <c r="G53" s="223" t="e">
        <f>VLOOKUP($B53,Пр.взв!$D$6:$M$76,8,0)</f>
        <v>#N/A</v>
      </c>
      <c r="H53" s="223" t="e">
        <f>VLOOKUP($B53,Пр.взв!$D$6:$M$76,10,0)</f>
        <v>#N/A</v>
      </c>
    </row>
    <row r="54" spans="1:8" ht="15.5" hidden="1">
      <c r="A54" s="227">
        <v>49</v>
      </c>
      <c r="B54" s="220" t="e">
        <f t="array" ref="B54">INDEX(Пр.хода!$B$6:'Пр.хода'!$B$148,MATCH("49",Пр.хода!$AE$6:'Пр.хода'!$AE$148,0),MATCH("№ п/ж",Пр.хода!$B$4:'Пр.хода'!$D$4,0))</f>
        <v>#N/A</v>
      </c>
      <c r="C54" s="221" t="e">
        <f>VLOOKUP($B54,Пр.взв!$D$6:$J$76,3,0)</f>
        <v>#N/A</v>
      </c>
      <c r="D54" s="222" t="e">
        <f>VLOOKUP($B54,Пр.взв!$D$6:$J$76,4,0)</f>
        <v>#N/A</v>
      </c>
      <c r="E54" s="222" t="e">
        <f>VLOOKUP($B54,Пр.взв!$D$6:$J$76,6,0)</f>
        <v>#N/A</v>
      </c>
      <c r="F54" s="223" t="e">
        <f>VLOOKUP($B54,Пр.взв!$D$6:$J$76,7,0)</f>
        <v>#N/A</v>
      </c>
      <c r="G54" s="223" t="e">
        <f>VLOOKUP($B54,Пр.взв!$D$6:$M$76,8,0)</f>
        <v>#N/A</v>
      </c>
      <c r="H54" s="223" t="e">
        <f>VLOOKUP($B54,Пр.взв!$D$6:$M$76,10,0)</f>
        <v>#N/A</v>
      </c>
    </row>
    <row r="55" spans="1:8" ht="15.5" hidden="1">
      <c r="A55" s="227">
        <v>50</v>
      </c>
      <c r="B55" s="220" t="e">
        <f t="array" ref="B55">INDEX(Пр.хода!$B$6:'Пр.хода'!$B$148,MATCH("50",Пр.хода!$AE$6:'Пр.хода'!$AE$148,0),MATCH("№ п/ж",Пр.хода!$B$4:'Пр.хода'!$D$4,0))</f>
        <v>#N/A</v>
      </c>
      <c r="C55" s="221" t="e">
        <f>VLOOKUP($B55,Пр.взв!$D$6:$J$76,3,0)</f>
        <v>#N/A</v>
      </c>
      <c r="D55" s="222" t="e">
        <f>VLOOKUP($B55,Пр.взв!$D$6:$J$76,4,0)</f>
        <v>#N/A</v>
      </c>
      <c r="E55" s="222" t="e">
        <f>VLOOKUP($B55,Пр.взв!$D$6:$J$76,6,0)</f>
        <v>#N/A</v>
      </c>
      <c r="F55" s="223" t="e">
        <f>VLOOKUP($B55,Пр.взв!$D$6:$J$76,7,0)</f>
        <v>#N/A</v>
      </c>
      <c r="G55" s="223" t="e">
        <f>VLOOKUP($B55,Пр.взв!$D$6:$M$76,8,0)</f>
        <v>#N/A</v>
      </c>
      <c r="H55" s="223" t="e">
        <f>VLOOKUP($B55,Пр.взв!$D$6:$M$76,10,0)</f>
        <v>#N/A</v>
      </c>
    </row>
    <row r="56" spans="1:8" ht="15.5" hidden="1">
      <c r="A56" s="227">
        <v>51</v>
      </c>
      <c r="B56" s="220" t="e">
        <f t="array" ref="B56">INDEX(Пр.хода!$B$6:'Пр.хода'!$B$148,MATCH("51",Пр.хода!$AE$6:'Пр.хода'!$AE$148,0),MATCH("№ п/ж",Пр.хода!$B$4:'Пр.хода'!$D$4,0))</f>
        <v>#N/A</v>
      </c>
      <c r="C56" s="221" t="e">
        <f>VLOOKUP($B56,Пр.взв!$D$6:$J$76,3,0)</f>
        <v>#N/A</v>
      </c>
      <c r="D56" s="222" t="e">
        <f>VLOOKUP($B56,Пр.взв!$D$6:$J$76,4,0)</f>
        <v>#N/A</v>
      </c>
      <c r="E56" s="222" t="e">
        <f>VLOOKUP($B56,Пр.взв!$D$6:$J$76,6,0)</f>
        <v>#N/A</v>
      </c>
      <c r="F56" s="223" t="e">
        <f>VLOOKUP($B56,Пр.взв!$D$6:$J$76,7,0)</f>
        <v>#N/A</v>
      </c>
      <c r="G56" s="223" t="e">
        <f>VLOOKUP($B56,Пр.взв!$D$6:$M$76,8,0)</f>
        <v>#N/A</v>
      </c>
      <c r="H56" s="223" t="e">
        <f>VLOOKUP($B56,Пр.взв!$D$6:$M$76,10,0)</f>
        <v>#N/A</v>
      </c>
    </row>
    <row r="57" spans="1:8" ht="15.5" hidden="1">
      <c r="A57" s="227">
        <v>52</v>
      </c>
      <c r="B57" s="220" t="e">
        <f t="array" ref="B57">INDEX(Пр.хода!$B$6:'Пр.хода'!$B$148,MATCH("52",Пр.хода!$AE$6:'Пр.хода'!$AE$148,0),MATCH("№ п/ж",Пр.хода!$B$4:'Пр.хода'!$D$4,0))</f>
        <v>#N/A</v>
      </c>
      <c r="C57" s="221" t="e">
        <f>VLOOKUP($B57,Пр.взв!$D$6:$J$76,3,0)</f>
        <v>#N/A</v>
      </c>
      <c r="D57" s="222" t="e">
        <f>VLOOKUP($B57,Пр.взв!$D$6:$J$76,4,0)</f>
        <v>#N/A</v>
      </c>
      <c r="E57" s="222" t="e">
        <f>VLOOKUP($B57,Пр.взв!$D$6:$J$76,6,0)</f>
        <v>#N/A</v>
      </c>
      <c r="F57" s="223" t="e">
        <f>VLOOKUP($B57,Пр.взв!$D$6:$J$76,7,0)</f>
        <v>#N/A</v>
      </c>
      <c r="G57" s="223" t="e">
        <f>VLOOKUP($B57,Пр.взв!$D$6:$M$76,8,0)</f>
        <v>#N/A</v>
      </c>
      <c r="H57" s="223" t="e">
        <f>VLOOKUP($B57,Пр.взв!$D$6:$M$76,10,0)</f>
        <v>#N/A</v>
      </c>
    </row>
    <row r="58" spans="1:8" ht="15.5" hidden="1">
      <c r="A58" s="227">
        <v>53</v>
      </c>
      <c r="B58" s="220" t="e">
        <f t="array" ref="B58">INDEX(Пр.хода!$B$6:'Пр.хода'!$B$148,MATCH("53",Пр.хода!$AE$6:'Пр.хода'!$AE$148,0),MATCH("№ п/ж",Пр.хода!$B$4:'Пр.хода'!$D$4,0))</f>
        <v>#N/A</v>
      </c>
      <c r="C58" s="221" t="e">
        <f>VLOOKUP($B58,Пр.взв!$D$6:$J$76,3,0)</f>
        <v>#N/A</v>
      </c>
      <c r="D58" s="222" t="e">
        <f>VLOOKUP($B58,Пр.взв!$D$6:$J$76,4,0)</f>
        <v>#N/A</v>
      </c>
      <c r="E58" s="222" t="e">
        <f>VLOOKUP($B58,Пр.взв!$D$6:$J$76,6,0)</f>
        <v>#N/A</v>
      </c>
      <c r="F58" s="223" t="e">
        <f>VLOOKUP($B58,Пр.взв!$D$6:$J$76,7,0)</f>
        <v>#N/A</v>
      </c>
      <c r="G58" s="223" t="e">
        <f>VLOOKUP($B58,Пр.взв!$D$6:$M$76,8,0)</f>
        <v>#N/A</v>
      </c>
      <c r="H58" s="223" t="e">
        <f>VLOOKUP($B58,Пр.взв!$D$6:$M$76,10,0)</f>
        <v>#N/A</v>
      </c>
    </row>
    <row r="59" spans="1:8" ht="15.5" hidden="1">
      <c r="A59" s="227">
        <v>54</v>
      </c>
      <c r="B59" s="220" t="e">
        <f t="array" ref="B59">INDEX(Пр.хода!$B$6:'Пр.хода'!$B$148,MATCH("54",Пр.хода!$AE$6:'Пр.хода'!$AE$148,0),MATCH("№ п/ж",Пр.хода!$B$4:'Пр.хода'!$D$4,0))</f>
        <v>#N/A</v>
      </c>
      <c r="C59" s="221" t="e">
        <f>VLOOKUP($B59,Пр.взв!$D$6:$J$76,3,0)</f>
        <v>#N/A</v>
      </c>
      <c r="D59" s="222" t="e">
        <f>VLOOKUP($B59,Пр.взв!$D$6:$J$76,4,0)</f>
        <v>#N/A</v>
      </c>
      <c r="E59" s="222" t="e">
        <f>VLOOKUP($B59,Пр.взв!$D$6:$J$76,6,0)</f>
        <v>#N/A</v>
      </c>
      <c r="F59" s="223" t="e">
        <f>VLOOKUP($B59,Пр.взв!$D$6:$J$76,7,0)</f>
        <v>#N/A</v>
      </c>
      <c r="G59" s="223" t="e">
        <f>VLOOKUP($B59,Пр.взв!$D$6:$M$76,8,0)</f>
        <v>#N/A</v>
      </c>
      <c r="H59" s="223" t="e">
        <f>VLOOKUP($B59,Пр.взв!$D$6:$M$76,10,0)</f>
        <v>#N/A</v>
      </c>
    </row>
    <row r="60" spans="1:8" ht="15.5" hidden="1">
      <c r="A60" s="227">
        <v>55</v>
      </c>
      <c r="B60" s="220" t="e">
        <f t="array" ref="B60">INDEX(Пр.хода!$B$6:'Пр.хода'!$B$148,MATCH("55",Пр.хода!$AE$6:'Пр.хода'!$AE$148,0),MATCH("№ п/ж",Пр.хода!$B$4:'Пр.хода'!$D$4,0))</f>
        <v>#N/A</v>
      </c>
      <c r="C60" s="221" t="e">
        <f>VLOOKUP($B60,Пр.взв!$D$6:$J$76,3,0)</f>
        <v>#N/A</v>
      </c>
      <c r="D60" s="222" t="e">
        <f>VLOOKUP($B60,Пр.взв!$D$6:$J$76,4,0)</f>
        <v>#N/A</v>
      </c>
      <c r="E60" s="222" t="e">
        <f>VLOOKUP($B60,Пр.взв!$D$6:$J$76,6,0)</f>
        <v>#N/A</v>
      </c>
      <c r="F60" s="223" t="e">
        <f>VLOOKUP($B60,Пр.взв!$D$6:$J$76,7,0)</f>
        <v>#N/A</v>
      </c>
      <c r="G60" s="223" t="e">
        <f>VLOOKUP($B60,Пр.взв!$D$6:$M$76,8,0)</f>
        <v>#N/A</v>
      </c>
      <c r="H60" s="223" t="e">
        <f>VLOOKUP($B60,Пр.взв!$D$6:$M$76,10,0)</f>
        <v>#N/A</v>
      </c>
    </row>
    <row r="61" spans="1:8" ht="15.5" hidden="1">
      <c r="A61" s="227">
        <v>56</v>
      </c>
      <c r="B61" s="220" t="e">
        <f t="array" ref="B61">INDEX(Пр.хода!$B$6:'Пр.хода'!$B$148,MATCH("56",Пр.хода!$AE$6:'Пр.хода'!$AE$148,0),MATCH("№ п/ж",Пр.хода!$B$4:'Пр.хода'!$D$4,0))</f>
        <v>#N/A</v>
      </c>
      <c r="C61" s="221" t="e">
        <f>VLOOKUP($B61,Пр.взв!$D$6:$J$76,3,0)</f>
        <v>#N/A</v>
      </c>
      <c r="D61" s="222" t="e">
        <f>VLOOKUP($B61,Пр.взв!$D$6:$J$76,4,0)</f>
        <v>#N/A</v>
      </c>
      <c r="E61" s="222" t="e">
        <f>VLOOKUP($B61,Пр.взв!$D$6:$J$76,6,0)</f>
        <v>#N/A</v>
      </c>
      <c r="F61" s="223" t="e">
        <f>VLOOKUP($B61,Пр.взв!$D$6:$J$76,7,0)</f>
        <v>#N/A</v>
      </c>
      <c r="G61" s="223" t="e">
        <f>VLOOKUP($B61,Пр.взв!$D$6:$M$76,8,0)</f>
        <v>#N/A</v>
      </c>
      <c r="H61" s="223" t="e">
        <f>VLOOKUP($B61,Пр.взв!$D$6:$M$76,10,0)</f>
        <v>#N/A</v>
      </c>
    </row>
    <row r="62" spans="1:8" ht="15.5" hidden="1">
      <c r="A62" s="227">
        <v>57</v>
      </c>
      <c r="B62" s="220" t="e">
        <f t="array" ref="B62">INDEX(Пр.хода!$B$6:'Пр.хода'!$B$148,MATCH("57",Пр.хода!$AE$6:'Пр.хода'!$AE$148,0),MATCH("№ п/ж",Пр.хода!$B$4:'Пр.хода'!$D$4,0))</f>
        <v>#N/A</v>
      </c>
      <c r="C62" s="221" t="e">
        <f>VLOOKUP($B62,Пр.взв!$D$6:$J$76,3,0)</f>
        <v>#N/A</v>
      </c>
      <c r="D62" s="222" t="e">
        <f>VLOOKUP($B62,Пр.взв!$D$6:$J$76,4,0)</f>
        <v>#N/A</v>
      </c>
      <c r="E62" s="222" t="e">
        <f>VLOOKUP($B62,Пр.взв!$D$6:$J$76,6,0)</f>
        <v>#N/A</v>
      </c>
      <c r="F62" s="223" t="e">
        <f>VLOOKUP($B62,Пр.взв!$D$6:$J$76,7,0)</f>
        <v>#N/A</v>
      </c>
      <c r="G62" s="223" t="e">
        <f>VLOOKUP($B62,Пр.взв!$D$6:$M$76,8,0)</f>
        <v>#N/A</v>
      </c>
      <c r="H62" s="223" t="e">
        <f>VLOOKUP($B62,Пр.взв!$D$6:$M$76,10,0)</f>
        <v>#N/A</v>
      </c>
    </row>
    <row r="63" spans="1:8" ht="15.5" hidden="1">
      <c r="A63" s="227">
        <v>58</v>
      </c>
      <c r="B63" s="220" t="e">
        <f t="array" ref="B63">INDEX(Пр.хода!$B$6:'Пр.хода'!$B$148,MATCH("58",Пр.хода!$AE$6:'Пр.хода'!$AE$148,0),MATCH("№ п/ж",Пр.хода!$B$4:'Пр.хода'!$D$4,0))</f>
        <v>#N/A</v>
      </c>
      <c r="C63" s="221" t="e">
        <f>VLOOKUP($B63,Пр.взв!$D$6:$J$76,3,0)</f>
        <v>#N/A</v>
      </c>
      <c r="D63" s="222" t="e">
        <f>VLOOKUP($B63,Пр.взв!$D$6:$J$76,4,0)</f>
        <v>#N/A</v>
      </c>
      <c r="E63" s="222" t="e">
        <f>VLOOKUP($B63,Пр.взв!$D$6:$J$76,6,0)</f>
        <v>#N/A</v>
      </c>
      <c r="F63" s="223" t="e">
        <f>VLOOKUP($B63,Пр.взв!$D$6:$J$76,7,0)</f>
        <v>#N/A</v>
      </c>
      <c r="G63" s="223" t="e">
        <f>VLOOKUP($B63,Пр.взв!$D$6:$M$76,8,0)</f>
        <v>#N/A</v>
      </c>
      <c r="H63" s="223" t="e">
        <f>VLOOKUP($B63,Пр.взв!$D$6:$M$76,10,0)</f>
        <v>#N/A</v>
      </c>
    </row>
    <row r="64" spans="1:8" ht="15.5" hidden="1">
      <c r="A64" s="227">
        <v>59</v>
      </c>
      <c r="B64" s="220" t="e">
        <f t="array" ref="B64">INDEX(Пр.хода!$B$6:'Пр.хода'!$B$148,MATCH("59",Пр.хода!$AE$6:'Пр.хода'!$AE$148,0),MATCH("№ п/ж",Пр.хода!$B$4:'Пр.хода'!$D$4,0))</f>
        <v>#N/A</v>
      </c>
      <c r="C64" s="221" t="e">
        <f>VLOOKUP($B64,Пр.взв!$D$6:$J$76,3,0)</f>
        <v>#N/A</v>
      </c>
      <c r="D64" s="222" t="e">
        <f>VLOOKUP($B64,Пр.взв!$D$6:$J$76,4,0)</f>
        <v>#N/A</v>
      </c>
      <c r="E64" s="222" t="e">
        <f>VLOOKUP($B64,Пр.взв!$D$6:$J$76,6,0)</f>
        <v>#N/A</v>
      </c>
      <c r="F64" s="223" t="e">
        <f>VLOOKUP($B64,Пр.взв!$D$6:$J$76,7,0)</f>
        <v>#N/A</v>
      </c>
      <c r="G64" s="223" t="e">
        <f>VLOOKUP($B64,Пр.взв!$D$6:$M$76,8,0)</f>
        <v>#N/A</v>
      </c>
      <c r="H64" s="223" t="e">
        <f>VLOOKUP($B64,Пр.взв!$D$6:$M$76,10,0)</f>
        <v>#N/A</v>
      </c>
    </row>
    <row r="65" spans="1:8" ht="15.5" hidden="1">
      <c r="A65" s="227">
        <v>60</v>
      </c>
      <c r="B65" s="220" t="e">
        <f t="array" ref="B65">INDEX(Пр.хода!$B$6:'Пр.хода'!$B$148,MATCH("60",Пр.хода!$AE$6:'Пр.хода'!$AE$148,0),MATCH("№ п/ж",Пр.хода!$B$4:'Пр.хода'!$D$4,0))</f>
        <v>#N/A</v>
      </c>
      <c r="C65" s="221" t="e">
        <f>VLOOKUP($B65,Пр.взв!$D$6:$J$76,3,0)</f>
        <v>#N/A</v>
      </c>
      <c r="D65" s="222" t="e">
        <f>VLOOKUP($B65,Пр.взв!$D$6:$J$76,4,0)</f>
        <v>#N/A</v>
      </c>
      <c r="E65" s="222" t="e">
        <f>VLOOKUP($B65,Пр.взв!$D$6:$J$76,6,0)</f>
        <v>#N/A</v>
      </c>
      <c r="F65" s="223" t="e">
        <f>VLOOKUP($B65,Пр.взв!$D$6:$J$76,7,0)</f>
        <v>#N/A</v>
      </c>
      <c r="G65" s="223" t="e">
        <f>VLOOKUP($B65,Пр.взв!$D$6:$M$76,8,0)</f>
        <v>#N/A</v>
      </c>
      <c r="H65" s="223" t="e">
        <f>VLOOKUP($B65,Пр.взв!$D$6:$M$76,10,0)</f>
        <v>#N/A</v>
      </c>
    </row>
    <row r="66" spans="1:8" ht="15.5" hidden="1">
      <c r="A66" s="227">
        <v>61</v>
      </c>
      <c r="B66" s="220" t="e">
        <f t="array" ref="B66">INDEX(Пр.хода!$B$6:'Пр.хода'!$B$148,MATCH("61",Пр.хода!$AE$6:'Пр.хода'!$AE$148,0),MATCH("№ п/ж",Пр.хода!$B$4:'Пр.хода'!$D$4,0))</f>
        <v>#N/A</v>
      </c>
      <c r="C66" s="221" t="e">
        <f>VLOOKUP($B66,Пр.взв!$D$6:$J$76,3,0)</f>
        <v>#N/A</v>
      </c>
      <c r="D66" s="222" t="e">
        <f>VLOOKUP($B66,Пр.взв!$D$6:$J$76,4,0)</f>
        <v>#N/A</v>
      </c>
      <c r="E66" s="222" t="e">
        <f>VLOOKUP($B66,Пр.взв!$D$6:$J$76,6,0)</f>
        <v>#N/A</v>
      </c>
      <c r="F66" s="223" t="e">
        <f>VLOOKUP($B66,Пр.взв!$D$6:$J$76,7,0)</f>
        <v>#N/A</v>
      </c>
      <c r="G66" s="223" t="e">
        <f>VLOOKUP($B66,Пр.взв!$D$6:$M$76,8,0)</f>
        <v>#N/A</v>
      </c>
      <c r="H66" s="223" t="e">
        <f>VLOOKUP($B66,Пр.взв!$D$6:$M$76,10,0)</f>
        <v>#N/A</v>
      </c>
    </row>
    <row r="67" spans="1:8" ht="15.5" hidden="1">
      <c r="A67" s="227">
        <v>62</v>
      </c>
      <c r="B67" s="220" t="e">
        <f t="array" ref="B67">INDEX(Пр.хода!$B$6:'Пр.хода'!$B$148,MATCH("62",Пр.хода!$AE$6:'Пр.хода'!$AE$148,0),MATCH("№ п/ж",Пр.хода!$B$4:'Пр.хода'!$D$4,0))</f>
        <v>#N/A</v>
      </c>
      <c r="C67" s="221" t="e">
        <f>VLOOKUP($B67,Пр.взв!$D$6:$J$76,3,0)</f>
        <v>#N/A</v>
      </c>
      <c r="D67" s="222" t="e">
        <f>VLOOKUP($B67,Пр.взв!$D$6:$J$76,4,0)</f>
        <v>#N/A</v>
      </c>
      <c r="E67" s="222" t="e">
        <f>VLOOKUP($B67,Пр.взв!$D$6:$J$76,6,0)</f>
        <v>#N/A</v>
      </c>
      <c r="F67" s="223" t="e">
        <f>VLOOKUP($B67,Пр.взв!$D$6:$J$76,7,0)</f>
        <v>#N/A</v>
      </c>
      <c r="G67" s="223" t="e">
        <f>VLOOKUP($B67,Пр.взв!$D$6:$M$76,8,0)</f>
        <v>#N/A</v>
      </c>
      <c r="H67" s="223" t="e">
        <f>VLOOKUP($B67,Пр.взв!$D$6:$M$76,10,0)</f>
        <v>#N/A</v>
      </c>
    </row>
    <row r="68" spans="1:8" ht="15.5" hidden="1">
      <c r="A68" s="227">
        <v>63</v>
      </c>
      <c r="B68" s="220" t="e">
        <f t="array" ref="B68">INDEX(Пр.хода!$B$6:'Пр.хода'!$B$148,MATCH("63",Пр.хода!$AE$6:'Пр.хода'!$AE$148,0),MATCH("№ п/ж",Пр.хода!$B$4:'Пр.хода'!$D$4,0))</f>
        <v>#N/A</v>
      </c>
      <c r="C68" s="221" t="e">
        <f>VLOOKUP($B68,Пр.взв!$D$6:$J$76,3,0)</f>
        <v>#N/A</v>
      </c>
      <c r="D68" s="222" t="e">
        <f>VLOOKUP($B68,Пр.взв!$D$6:$J$76,4,0)</f>
        <v>#N/A</v>
      </c>
      <c r="E68" s="222" t="e">
        <f>VLOOKUP($B68,Пр.взв!$D$6:$J$76,6,0)</f>
        <v>#N/A</v>
      </c>
      <c r="F68" s="223" t="e">
        <f>VLOOKUP($B68,Пр.взв!$D$6:$J$76,7,0)</f>
        <v>#N/A</v>
      </c>
      <c r="G68" s="223" t="e">
        <f>VLOOKUP($B68,Пр.взв!$D$6:$M$76,8,0)</f>
        <v>#N/A</v>
      </c>
      <c r="H68" s="223" t="e">
        <f>VLOOKUP($B68,Пр.взв!$D$6:$M$76,10,0)</f>
        <v>#N/A</v>
      </c>
    </row>
    <row r="69" spans="1:8" ht="15.5" hidden="1">
      <c r="A69" s="227">
        <v>64</v>
      </c>
      <c r="B69" s="220" t="e">
        <f t="array" ref="B69">INDEX(Пр.хода!$B$6:'Пр.хода'!$B$148,MATCH("64",Пр.хода!$AE$6:'Пр.хода'!$AE$148,0),MATCH("№ п/ж",Пр.хода!$B$4:'Пр.хода'!$D$4,0))</f>
        <v>#N/A</v>
      </c>
      <c r="C69" s="221" t="e">
        <f>VLOOKUP($B69,Пр.взв!$D$6:$J$76,3,0)</f>
        <v>#N/A</v>
      </c>
      <c r="D69" s="222" t="e">
        <f>VLOOKUP($B69,Пр.взв!$D$6:$J$76,4,0)</f>
        <v>#N/A</v>
      </c>
      <c r="E69" s="222" t="e">
        <f>VLOOKUP($B69,Пр.взв!$D$6:$J$76,6,0)</f>
        <v>#N/A</v>
      </c>
      <c r="F69" s="223" t="e">
        <f>VLOOKUP($B69,Пр.взв!$D$6:$J$76,7,0)</f>
        <v>#N/A</v>
      </c>
      <c r="G69" s="223" t="e">
        <f>VLOOKUP($B69,Пр.взв!$D$6:$M$76,8,0)</f>
        <v>#N/A</v>
      </c>
      <c r="H69" s="223" t="e">
        <f>VLOOKUP($B69,Пр.взв!$D$6:$M$76,10,0)</f>
        <v>#N/A</v>
      </c>
    </row>
    <row r="70" spans="1:8" ht="15.5">
      <c r="A70" s="227">
        <v>65</v>
      </c>
      <c r="B70" s="220" t="e">
        <f t="array" ref="B70">INDEX(Пр.хода!$B$6:'Пр.хода'!$B$148,MATCH("65",Пр.хода!$AE$6:'Пр.хода'!$AE$148,0),MATCH("№ п/ж",Пр.хода!$B$4:'Пр.хода'!$D$4,0))</f>
        <v>#N/A</v>
      </c>
      <c r="C70" s="221" t="e">
        <f>VLOOKUP($B70,Пр.взв!$D$6:$J$76,3,0)</f>
        <v>#N/A</v>
      </c>
      <c r="D70" s="222" t="e">
        <f>VLOOKUP($B70,Пр.взв!$D$6:$J$76,4,0)</f>
        <v>#N/A</v>
      </c>
      <c r="E70" s="222" t="e">
        <f>VLOOKUP($B70,Пр.взв!$D$6:$J$76,6,0)</f>
        <v>#N/A</v>
      </c>
      <c r="F70" s="223" t="e">
        <f>VLOOKUP($B70,Пр.взв!$D$6:$J$76,7,0)</f>
        <v>#N/A</v>
      </c>
      <c r="G70" s="223" t="e">
        <f>VLOOKUP($B70,Пр.взв!$D$6:$M$76,8,0)</f>
        <v>#N/A</v>
      </c>
      <c r="H70" s="223" t="e">
        <f>VLOOKUP($B70,Пр.взв!$D$6:$M$76,10,0)</f>
        <v>#N/A</v>
      </c>
    </row>
    <row r="71" spans="1:8" ht="15.5">
      <c r="A71" s="227">
        <v>66</v>
      </c>
      <c r="B71" s="220" t="e">
        <f t="array" ref="B71">INDEX(Пр.хода!$B$6:'Пр.хода'!$B$148,MATCH("66",Пр.хода!$AE$6:'Пр.хода'!$AE$148,0),MATCH("№ п/ж",Пр.хода!$B$4:'Пр.хода'!$D$4,0))</f>
        <v>#N/A</v>
      </c>
      <c r="C71" s="221" t="e">
        <f>VLOOKUP($B71,Пр.взв!$D$6:$J$76,3,0)</f>
        <v>#N/A</v>
      </c>
      <c r="D71" s="222" t="e">
        <f>VLOOKUP($B71,Пр.взв!$D$6:$J$76,4,0)</f>
        <v>#N/A</v>
      </c>
      <c r="E71" s="222" t="e">
        <f>VLOOKUP($B71,Пр.взв!$D$6:$J$76,6,0)</f>
        <v>#N/A</v>
      </c>
      <c r="F71" s="223" t="e">
        <f>VLOOKUP($B71,Пр.взв!$D$6:$J$76,7,0)</f>
        <v>#N/A</v>
      </c>
      <c r="G71" s="223" t="e">
        <f>VLOOKUP($B71,Пр.взв!$D$6:$M$76,8,0)</f>
        <v>#N/A</v>
      </c>
      <c r="H71" s="223" t="e">
        <f>VLOOKUP($B71,Пр.взв!$D$6:$M$76,10,0)</f>
        <v>#N/A</v>
      </c>
    </row>
    <row r="72" spans="1:8" ht="15.5">
      <c r="A72" s="227">
        <v>67</v>
      </c>
      <c r="B72" s="220" t="e">
        <f t="array" ref="B72">INDEX(Пр.хода!$B$6:'Пр.хода'!$B$148,MATCH("67",Пр.хода!$AE$6:'Пр.хода'!$AE$148,0),MATCH("№ п/ж",Пр.хода!$B$4:'Пр.хода'!$D$4,0))</f>
        <v>#N/A</v>
      </c>
      <c r="C72" s="221" t="e">
        <f>VLOOKUP($B72,Пр.взв!$D$6:$J$76,3,0)</f>
        <v>#N/A</v>
      </c>
      <c r="D72" s="222" t="e">
        <f>VLOOKUP($B72,Пр.взв!$D$6:$J$76,4,0)</f>
        <v>#N/A</v>
      </c>
      <c r="E72" s="222" t="e">
        <f>VLOOKUP($B72,Пр.взв!$D$6:$J$76,6,0)</f>
        <v>#N/A</v>
      </c>
      <c r="F72" s="223" t="e">
        <f>VLOOKUP($B72,Пр.взв!$D$6:$J$76,7,0)</f>
        <v>#N/A</v>
      </c>
      <c r="G72" s="223" t="e">
        <f>VLOOKUP($B72,Пр.взв!$D$6:$M$76,8,0)</f>
        <v>#N/A</v>
      </c>
      <c r="H72" s="223" t="e">
        <f>VLOOKUP($B72,Пр.взв!$D$6:$M$76,10,0)</f>
        <v>#N/A</v>
      </c>
    </row>
    <row r="73" spans="1:8" ht="15.5">
      <c r="A73" s="227">
        <v>68</v>
      </c>
      <c r="B73" s="220" t="e">
        <f t="array" ref="B73">INDEX(Пр.хода!$B$6:'Пр.хода'!$B$148,MATCH("68",Пр.хода!$AE$6:'Пр.хода'!$AE$148,0),MATCH("№ п/ж",Пр.хода!$B$4:'Пр.хода'!$D$4,0))</f>
        <v>#N/A</v>
      </c>
      <c r="C73" s="221" t="e">
        <f>VLOOKUP($B73,Пр.взв!$D$6:$J$76,3,0)</f>
        <v>#N/A</v>
      </c>
      <c r="D73" s="222" t="e">
        <f>VLOOKUP($B73,Пр.взв!$D$6:$J$76,4,0)</f>
        <v>#N/A</v>
      </c>
      <c r="E73" s="222" t="e">
        <f>VLOOKUP($B73,Пр.взв!$D$6:$J$76,6,0)</f>
        <v>#N/A</v>
      </c>
      <c r="F73" s="223" t="e">
        <f>VLOOKUP($B73,Пр.взв!$D$6:$J$76,7,0)</f>
        <v>#N/A</v>
      </c>
      <c r="G73" s="223" t="e">
        <f>VLOOKUP($B73,Пр.взв!$D$6:$M$76,8,0)</f>
        <v>#N/A</v>
      </c>
      <c r="H73" s="223" t="e">
        <f>VLOOKUP($B73,Пр.взв!$D$6:$M$76,10,0)</f>
        <v>#N/A</v>
      </c>
    </row>
    <row r="74" spans="1:8" ht="15.5">
      <c r="A74" s="227">
        <v>69</v>
      </c>
      <c r="B74" s="220" t="e">
        <f t="array" ref="B74">INDEX(Пр.хода!$B$6:'Пр.хода'!$B$148,MATCH("69",Пр.хода!$AE$6:'Пр.хода'!$AE$148,0),MATCH("№ п/ж",Пр.хода!$B$4:'Пр.хода'!$D$4,0))</f>
        <v>#N/A</v>
      </c>
      <c r="C74" s="221" t="e">
        <f>VLOOKUP($B74,Пр.взв!$D$6:$J$76,3,0)</f>
        <v>#N/A</v>
      </c>
      <c r="D74" s="222" t="e">
        <f>VLOOKUP($B74,Пр.взв!$D$6:$J$76,4,0)</f>
        <v>#N/A</v>
      </c>
      <c r="E74" s="222" t="e">
        <f>VLOOKUP($B74,Пр.взв!$D$6:$J$76,6,0)</f>
        <v>#N/A</v>
      </c>
      <c r="F74" s="223" t="e">
        <f>VLOOKUP($B74,Пр.взв!$D$6:$J$76,7,0)</f>
        <v>#N/A</v>
      </c>
      <c r="G74" s="223" t="e">
        <f>VLOOKUP($B74,Пр.взв!$D$6:$M$76,8,0)</f>
        <v>#N/A</v>
      </c>
      <c r="H74" s="223" t="e">
        <f>VLOOKUP($B74,Пр.взв!$D$6:$M$76,10,0)</f>
        <v>#N/A</v>
      </c>
    </row>
    <row r="75" spans="1:8" ht="15.5">
      <c r="A75" s="227">
        <v>70</v>
      </c>
      <c r="B75" s="220" t="e">
        <f t="array" ref="B75">INDEX(Пр.хода!$B$6:'Пр.хода'!$B$148,MATCH("70",Пр.хода!$AE$6:'Пр.хода'!$AE$148,0),MATCH("№ п/ж",Пр.хода!$B$4:'Пр.хода'!$D$4,0))</f>
        <v>#N/A</v>
      </c>
      <c r="C75" s="221" t="e">
        <f>VLOOKUP($B75,Пр.взв!$D$6:$J$76,3,0)</f>
        <v>#N/A</v>
      </c>
      <c r="D75" s="222" t="e">
        <f>VLOOKUP($B75,Пр.взв!$D$6:$J$76,4,0)</f>
        <v>#N/A</v>
      </c>
      <c r="E75" s="222" t="e">
        <f>VLOOKUP($B75,Пр.взв!$D$6:$J$76,6,0)</f>
        <v>#N/A</v>
      </c>
      <c r="F75" s="223" t="e">
        <f>VLOOKUP($B75,Пр.взв!$D$6:$J$76,7,0)</f>
        <v>#N/A</v>
      </c>
      <c r="G75" s="223" t="e">
        <f>VLOOKUP($B75,Пр.взв!$D$6:$M$76,8,0)</f>
        <v>#N/A</v>
      </c>
      <c r="H75" s="223" t="e">
        <f>VLOOKUP($B75,Пр.взв!$D$6:$M$76,10,0)</f>
        <v>#N/A</v>
      </c>
    </row>
    <row r="76" spans="1:8" ht="15.5">
      <c r="A76" s="227">
        <v>71</v>
      </c>
      <c r="B76" s="220" t="e">
        <f t="array" ref="B76">INDEX(Пр.хода!$B$6:'Пр.хода'!$B$148,MATCH("71",Пр.хода!$AE$6:'Пр.хода'!$AE$148,0),MATCH("№ п/ж",Пр.хода!$B$4:'Пр.хода'!$D$4,0))</f>
        <v>#N/A</v>
      </c>
      <c r="C76" s="221" t="e">
        <f>VLOOKUP($B76,Пр.взв!$D$6:$J$76,3,0)</f>
        <v>#N/A</v>
      </c>
      <c r="D76" s="222" t="e">
        <f>VLOOKUP($B76,Пр.взв!$D$6:$J$76,4,0)</f>
        <v>#N/A</v>
      </c>
      <c r="E76" s="222" t="e">
        <f>VLOOKUP($B76,Пр.взв!$D$6:$J$76,6,0)</f>
        <v>#N/A</v>
      </c>
      <c r="F76" s="223" t="e">
        <f>VLOOKUP($B76,Пр.взв!$D$6:$J$76,7,0)</f>
        <v>#N/A</v>
      </c>
      <c r="G76" s="223" t="e">
        <f>VLOOKUP($B76,Пр.взв!$D$6:$M$76,8,0)</f>
        <v>#N/A</v>
      </c>
      <c r="H76" s="223" t="e">
        <f>VLOOKUP($B76,Пр.взв!$D$6:$M$76,10,0)</f>
        <v>#N/A</v>
      </c>
    </row>
    <row r="77" spans="1:8" ht="13">
      <c r="A77" s="228"/>
      <c r="B77" s="229"/>
      <c r="C77" s="229"/>
      <c r="D77" s="229"/>
      <c r="E77" s="229"/>
      <c r="F77" s="230"/>
      <c r="G77" s="229"/>
      <c r="H77" s="229"/>
    </row>
    <row r="78" spans="1:8" ht="13">
      <c r="A78" s="228" t="str">
        <f ca="1">Пр.хода!B153</f>
        <v>Гл.судья, судья ВК</v>
      </c>
      <c r="B78" s="229"/>
      <c r="C78" s="229"/>
      <c r="D78" s="229"/>
      <c r="E78" s="229"/>
      <c r="F78" s="230" t="str">
        <f ca="1">Пр.хода!N153</f>
        <v>Редин Д.А.</v>
      </c>
      <c r="G78" s="229"/>
      <c r="H78" s="229" t="str">
        <f ca="1">Пр.хода!Y153</f>
        <v>/ Хабаровский кр. /</v>
      </c>
    </row>
    <row r="79" spans="1:8" ht="9" customHeight="1">
      <c r="A79" s="231"/>
      <c r="B79" s="229"/>
      <c r="C79" s="229"/>
      <c r="D79" s="229"/>
      <c r="E79" s="229"/>
      <c r="F79" s="230"/>
      <c r="G79" s="229"/>
      <c r="H79" s="229"/>
    </row>
    <row r="80" spans="1:8" ht="13">
      <c r="A80" s="228" t="str">
        <f ca="1">Пр.хода!B154</f>
        <v>Гл.секретарь, судья ВК</v>
      </c>
      <c r="B80" s="229"/>
      <c r="C80" s="229"/>
      <c r="D80" s="229"/>
      <c r="E80" s="229"/>
      <c r="F80" s="230" t="str">
        <f ca="1">Пр.хода!N154</f>
        <v>Мордовин С.Н.</v>
      </c>
      <c r="G80" s="229"/>
      <c r="H80" s="229" t="str">
        <f ca="1">Пр.хода!Y154</f>
        <v>/ Р.Алтай /</v>
      </c>
    </row>
    <row r="81" spans="2:8" ht="12.5">
      <c r="B81" s="229"/>
      <c r="C81" s="229"/>
      <c r="D81" s="229"/>
      <c r="E81" s="229"/>
      <c r="F81" s="229"/>
      <c r="G81" s="229"/>
      <c r="H81" s="229"/>
    </row>
    <row r="82" spans="2:8" ht="12.5">
      <c r="B82" s="229"/>
      <c r="C82" s="229"/>
      <c r="D82" s="229"/>
      <c r="E82" s="229"/>
      <c r="F82" s="229"/>
      <c r="G82" s="229"/>
      <c r="H82" s="229"/>
    </row>
    <row r="83" spans="2:8" ht="12.5">
      <c r="B83" s="229"/>
      <c r="C83" s="229"/>
      <c r="D83" s="229"/>
      <c r="E83" s="229"/>
      <c r="F83" s="229"/>
      <c r="G83" s="229"/>
      <c r="H83" s="229"/>
    </row>
    <row r="84" spans="2:8" ht="12.5">
      <c r="B84" s="229"/>
      <c r="C84" s="229"/>
      <c r="D84" s="229"/>
      <c r="E84" s="229"/>
      <c r="F84" s="229"/>
      <c r="G84" s="229"/>
      <c r="H84" s="229"/>
    </row>
    <row r="85" spans="2:8" ht="12.5">
      <c r="B85" s="229"/>
      <c r="C85" s="229"/>
      <c r="D85" s="229"/>
      <c r="E85" s="229"/>
      <c r="F85" s="229"/>
      <c r="G85" s="229"/>
      <c r="H85" s="229"/>
    </row>
    <row r="86" spans="2:8" ht="12.5">
      <c r="B86" s="229"/>
      <c r="C86" s="229"/>
      <c r="D86" s="229"/>
      <c r="E86" s="229"/>
      <c r="F86" s="229"/>
      <c r="G86" s="229"/>
      <c r="H86" s="229"/>
    </row>
    <row r="87" spans="2:8" ht="12.5">
      <c r="B87" s="229"/>
      <c r="C87" s="229"/>
      <c r="D87" s="229"/>
      <c r="E87" s="229"/>
      <c r="F87" s="229"/>
      <c r="G87" s="229"/>
      <c r="H87" s="229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0" priority="1">
      <formula>AND(NOT(ISBLANK(B6)), COUNTIF($B$1:$B87, "=" &amp; B6) &gt; 1)</formula>
    </cfRule>
  </conditionalFormatting>
  <hyperlinks>
    <hyperlink ref="H1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P1000"/>
  <sheetViews>
    <sheetView workbookViewId="0"/>
  </sheetViews>
  <sheetFormatPr defaultColWidth="12.6328125" defaultRowHeight="15.75" customHeight="1"/>
  <cols>
    <col min="1" max="2" width="4.08984375" customWidth="1"/>
    <col min="3" max="3" width="5.36328125" customWidth="1"/>
    <col min="4" max="4" width="20.6328125" customWidth="1"/>
    <col min="5" max="5" width="10.6328125" customWidth="1"/>
    <col min="6" max="6" width="6.90625" customWidth="1"/>
    <col min="8" max="8" width="30.6328125" customWidth="1"/>
    <col min="9" max="11" width="7.08984375" customWidth="1"/>
    <col min="12" max="12" width="2.453125" customWidth="1"/>
    <col min="13" max="13" width="4.08984375" hidden="1" customWidth="1"/>
    <col min="14" max="14" width="5.36328125" customWidth="1"/>
    <col min="15" max="15" width="20.6328125" customWidth="1"/>
    <col min="16" max="16" width="10.6328125" customWidth="1"/>
    <col min="17" max="17" width="6.90625" customWidth="1"/>
    <col min="19" max="19" width="30.6328125" customWidth="1"/>
    <col min="20" max="23" width="7.08984375" customWidth="1"/>
    <col min="24" max="24" width="5.36328125" customWidth="1"/>
    <col min="25" max="25" width="20.6328125" customWidth="1"/>
    <col min="26" max="26" width="10.6328125" customWidth="1"/>
    <col min="27" max="27" width="6.90625" customWidth="1"/>
    <col min="29" max="29" width="30.6328125" customWidth="1"/>
    <col min="30" max="33" width="7.08984375" customWidth="1"/>
    <col min="34" max="34" width="5.36328125" customWidth="1"/>
    <col min="35" max="35" width="20.6328125" customWidth="1"/>
    <col min="36" max="36" width="10.6328125" customWidth="1"/>
    <col min="37" max="37" width="6.90625" customWidth="1"/>
    <col min="39" max="39" width="30.6328125" customWidth="1"/>
    <col min="40" max="42" width="7.08984375" customWidth="1"/>
  </cols>
  <sheetData>
    <row r="1" spans="1:42" ht="25">
      <c r="A1" s="232" t="str">
        <f>IF(C2=3,A3,IF(C2=4,A4,IF(C2=5,A5,IF(C2=6,A6,IF(C2=7,A7,IF(C2=2,A2,IF(C2=1,A8,IF(C2=8,A9))))))))</f>
        <v>select BD</v>
      </c>
      <c r="B1" s="232"/>
      <c r="C1" s="386" t="s">
        <v>218</v>
      </c>
      <c r="D1" s="264"/>
      <c r="E1" s="233">
        <v>1</v>
      </c>
      <c r="F1" s="234"/>
      <c r="G1" s="385" t="s">
        <v>219</v>
      </c>
      <c r="H1" s="264"/>
      <c r="I1" s="264"/>
      <c r="J1" s="264"/>
      <c r="K1" s="264"/>
      <c r="L1" s="232" t="str">
        <f>IF(N2=3,L3,IF(N2=4,L4,IF(N2=5,L5,IF(N2=6,L6,IF(N2=7,L7,IF(N2=2,L2,IF(N2=1,L8)))))))</f>
        <v>select BB</v>
      </c>
      <c r="M1" s="232"/>
      <c r="N1" s="386" t="s">
        <v>218</v>
      </c>
      <c r="O1" s="264"/>
      <c r="P1" s="233">
        <v>1</v>
      </c>
      <c r="Q1" s="234"/>
      <c r="R1" s="385" t="s">
        <v>219</v>
      </c>
      <c r="S1" s="264"/>
      <c r="T1" s="264"/>
      <c r="U1" s="264"/>
      <c r="V1" s="264"/>
      <c r="W1" s="200"/>
      <c r="X1" s="386" t="s">
        <v>218</v>
      </c>
      <c r="Y1" s="264"/>
      <c r="Z1" s="233">
        <v>1</v>
      </c>
      <c r="AA1" s="234"/>
      <c r="AB1" s="385" t="s">
        <v>219</v>
      </c>
      <c r="AC1" s="264"/>
      <c r="AD1" s="264"/>
      <c r="AE1" s="264"/>
      <c r="AF1" s="264"/>
      <c r="AG1" s="200"/>
      <c r="AH1" s="386" t="s">
        <v>218</v>
      </c>
      <c r="AI1" s="264"/>
      <c r="AJ1" s="233">
        <v>1</v>
      </c>
      <c r="AK1" s="234"/>
      <c r="AL1" s="385" t="s">
        <v>219</v>
      </c>
      <c r="AM1" s="264"/>
      <c r="AN1" s="264"/>
      <c r="AO1" s="264"/>
      <c r="AP1" s="264"/>
    </row>
    <row r="2" spans="1:42" ht="15.5">
      <c r="A2" s="235" t="s">
        <v>220</v>
      </c>
      <c r="B2" s="236"/>
      <c r="C2" s="201">
        <v>1</v>
      </c>
      <c r="D2" s="85" t="s">
        <v>221</v>
      </c>
      <c r="E2" s="237" t="s">
        <v>212</v>
      </c>
      <c r="F2" s="193"/>
      <c r="G2" s="203"/>
      <c r="H2" s="238" t="str">
        <f>Пр.хода!Z3</f>
        <v>В.к.  59  кг</v>
      </c>
      <c r="I2" s="203"/>
      <c r="J2" s="239">
        <v>8</v>
      </c>
      <c r="K2" s="239">
        <f ca="1">Пр.хода!BC3</f>
        <v>0.5</v>
      </c>
      <c r="L2" s="236" t="s">
        <v>222</v>
      </c>
      <c r="M2" s="236"/>
      <c r="N2" s="201">
        <f>C2</f>
        <v>1</v>
      </c>
      <c r="O2" s="85" t="s">
        <v>221</v>
      </c>
      <c r="P2" s="237" t="s">
        <v>213</v>
      </c>
      <c r="Q2" s="193"/>
      <c r="R2" s="203"/>
      <c r="S2" s="238" t="str">
        <f>H2</f>
        <v>В.к.  59  кг</v>
      </c>
      <c r="T2" s="203"/>
      <c r="U2" s="203"/>
      <c r="V2" s="203"/>
      <c r="W2" s="203"/>
      <c r="X2" s="201">
        <f>N2</f>
        <v>1</v>
      </c>
      <c r="Y2" s="85" t="s">
        <v>221</v>
      </c>
      <c r="Z2" s="237" t="s">
        <v>213</v>
      </c>
      <c r="AA2" s="193"/>
      <c r="AB2" s="203"/>
      <c r="AC2" s="238" t="str">
        <f>H2</f>
        <v>В.к.  59  кг</v>
      </c>
      <c r="AD2" s="203"/>
      <c r="AE2" s="203"/>
      <c r="AF2" s="203"/>
      <c r="AG2" s="203"/>
      <c r="AH2" s="201">
        <v>4</v>
      </c>
      <c r="AI2" s="85" t="s">
        <v>221</v>
      </c>
      <c r="AJ2" s="237"/>
      <c r="AK2" s="193"/>
      <c r="AL2" s="203"/>
      <c r="AM2" s="238" t="str">
        <f>AC2</f>
        <v>В.к.  59  кг</v>
      </c>
      <c r="AN2" s="203"/>
      <c r="AO2" s="239"/>
      <c r="AP2" s="239"/>
    </row>
    <row r="3" spans="1:42" ht="12.5">
      <c r="A3" s="240" t="s">
        <v>223</v>
      </c>
      <c r="B3" s="240"/>
      <c r="C3" s="373" t="s">
        <v>9</v>
      </c>
      <c r="D3" s="365" t="s">
        <v>10</v>
      </c>
      <c r="E3" s="363" t="s">
        <v>224</v>
      </c>
      <c r="F3" s="363" t="s">
        <v>225</v>
      </c>
      <c r="G3" s="364"/>
      <c r="H3" s="365" t="s">
        <v>207</v>
      </c>
      <c r="I3" s="370" t="s">
        <v>208</v>
      </c>
      <c r="J3" s="365" t="s">
        <v>209</v>
      </c>
      <c r="K3" s="371" t="s">
        <v>210</v>
      </c>
      <c r="L3" s="240" t="s">
        <v>226</v>
      </c>
      <c r="M3" s="240"/>
      <c r="N3" s="373" t="s">
        <v>9</v>
      </c>
      <c r="O3" s="365" t="s">
        <v>10</v>
      </c>
      <c r="P3" s="363" t="s">
        <v>224</v>
      </c>
      <c r="Q3" s="363" t="s">
        <v>225</v>
      </c>
      <c r="R3" s="364"/>
      <c r="S3" s="365" t="s">
        <v>207</v>
      </c>
      <c r="T3" s="370" t="s">
        <v>208</v>
      </c>
      <c r="U3" s="365" t="s">
        <v>209</v>
      </c>
      <c r="V3" s="371" t="s">
        <v>210</v>
      </c>
      <c r="W3" s="241"/>
      <c r="X3" s="373" t="s">
        <v>9</v>
      </c>
      <c r="Y3" s="365" t="s">
        <v>10</v>
      </c>
      <c r="Z3" s="363" t="s">
        <v>224</v>
      </c>
      <c r="AA3" s="363" t="s">
        <v>225</v>
      </c>
      <c r="AB3" s="364"/>
      <c r="AC3" s="365" t="s">
        <v>207</v>
      </c>
      <c r="AD3" s="370" t="s">
        <v>208</v>
      </c>
      <c r="AE3" s="365" t="s">
        <v>209</v>
      </c>
      <c r="AF3" s="371" t="s">
        <v>210</v>
      </c>
      <c r="AG3" s="241"/>
      <c r="AH3" s="373" t="s">
        <v>9</v>
      </c>
      <c r="AI3" s="365" t="s">
        <v>10</v>
      </c>
      <c r="AJ3" s="363" t="s">
        <v>224</v>
      </c>
      <c r="AK3" s="363" t="s">
        <v>225</v>
      </c>
      <c r="AL3" s="364"/>
      <c r="AM3" s="365" t="s">
        <v>207</v>
      </c>
      <c r="AN3" s="370" t="s">
        <v>208</v>
      </c>
      <c r="AO3" s="365" t="s">
        <v>209</v>
      </c>
      <c r="AP3" s="371" t="s">
        <v>210</v>
      </c>
    </row>
    <row r="4" spans="1:42" ht="12.75" customHeight="1">
      <c r="A4" s="240" t="s">
        <v>227</v>
      </c>
      <c r="B4" s="242"/>
      <c r="C4" s="359"/>
      <c r="D4" s="307"/>
      <c r="E4" s="324"/>
      <c r="F4" s="324"/>
      <c r="G4" s="322"/>
      <c r="H4" s="307"/>
      <c r="I4" s="324"/>
      <c r="J4" s="307"/>
      <c r="K4" s="372"/>
      <c r="L4" s="242" t="s">
        <v>223</v>
      </c>
      <c r="M4" s="242"/>
      <c r="N4" s="359"/>
      <c r="O4" s="307"/>
      <c r="P4" s="324"/>
      <c r="Q4" s="324"/>
      <c r="R4" s="322"/>
      <c r="S4" s="307"/>
      <c r="T4" s="324"/>
      <c r="U4" s="307"/>
      <c r="V4" s="372"/>
      <c r="W4" s="241"/>
      <c r="X4" s="359"/>
      <c r="Y4" s="307"/>
      <c r="Z4" s="324"/>
      <c r="AA4" s="324"/>
      <c r="AB4" s="322"/>
      <c r="AC4" s="307"/>
      <c r="AD4" s="324"/>
      <c r="AE4" s="307"/>
      <c r="AF4" s="372"/>
      <c r="AG4" s="241"/>
      <c r="AH4" s="359"/>
      <c r="AI4" s="307"/>
      <c r="AJ4" s="324"/>
      <c r="AK4" s="324"/>
      <c r="AL4" s="322"/>
      <c r="AM4" s="307"/>
      <c r="AN4" s="324"/>
      <c r="AO4" s="307"/>
      <c r="AP4" s="372"/>
    </row>
    <row r="5" spans="1:42" ht="27.75" customHeight="1">
      <c r="A5" s="240" t="s">
        <v>228</v>
      </c>
      <c r="B5" s="243" t="str">
        <f t="shared" ref="B5:B75" ca="1" si="0">IF(C5=0,(K$2+1),C5)</f>
        <v xml:space="preserve">            </v>
      </c>
      <c r="C5" s="244" t="str">
        <f ca="1">IFERROR(__xludf.DUMMYFUNCTION("QUERY('Пр.хода'!AY11:BH1000,A1)"),"            ")</f>
        <v xml:space="preserve">            </v>
      </c>
      <c r="D5" s="205" t="e">
        <f ca="1">IF(C5=0,"",(VLOOKUP($C5,Пр.взв!$D$6:$J$76,2,0)))</f>
        <v>#N/A</v>
      </c>
      <c r="E5" s="205" t="e">
        <f ca="1">IF(C5=0,"",(VLOOKUP($C5,Пр.взв!$D$6:$J$76,5,0)))</f>
        <v>#N/A</v>
      </c>
      <c r="F5" s="205" t="e">
        <f ca="1">IF(C5=0,"",(VLOOKUP($C5,Пр.взв!$D$6:$M$76,6,0)))</f>
        <v>#N/A</v>
      </c>
      <c r="G5" s="205" t="e">
        <f ca="1">IF(C5=0,"",(VLOOKUP($C5,Пр.взв!$D$6:$M$76,8,0)))</f>
        <v>#N/A</v>
      </c>
      <c r="H5" s="207" t="str">
        <f ca="1">IF(C5=0,"", IF(C6=0,"СВОБОДЕН",""))</f>
        <v>СВОБОДЕН</v>
      </c>
      <c r="I5" s="207"/>
      <c r="J5" s="207"/>
      <c r="K5" s="208"/>
      <c r="L5" s="242" t="s">
        <v>227</v>
      </c>
      <c r="M5" s="245" t="str">
        <f ca="1">IFERROR(__xludf.DUMMYFUNCTION("FILTER(B5:H1000,B5:B1000&gt;K2)"),"            ")</f>
        <v xml:space="preserve">            </v>
      </c>
      <c r="N5" s="246" t="str">
        <f ca="1">IFERROR(__xludf.DUMMYFUNCTION("""COMPUTED_VALUE"""),"            ")</f>
        <v xml:space="preserve">            </v>
      </c>
      <c r="O5" s="205" t="str">
        <f ca="1">IFERROR(__xludf.DUMMYFUNCTION("""COMPUTED_VALUE"""),"#N/A")</f>
        <v>#N/A</v>
      </c>
      <c r="P5" s="205" t="str">
        <f ca="1">IFERROR(__xludf.DUMMYFUNCTION("""COMPUTED_VALUE"""),"#N/A")</f>
        <v>#N/A</v>
      </c>
      <c r="Q5" s="205" t="str">
        <f ca="1">IFERROR(__xludf.DUMMYFUNCTION("""COMPUTED_VALUE"""),"#N/A")</f>
        <v>#N/A</v>
      </c>
      <c r="R5" s="205" t="str">
        <f ca="1">IFERROR(__xludf.DUMMYFUNCTION("""COMPUTED_VALUE"""),"#N/A")</f>
        <v>#N/A</v>
      </c>
      <c r="S5" s="207" t="str">
        <f ca="1">IFERROR(__xludf.DUMMYFUNCTION("""COMPUTED_VALUE"""),"СВОБОДЕН")</f>
        <v>СВОБОДЕН</v>
      </c>
      <c r="T5" s="207"/>
      <c r="U5" s="207"/>
      <c r="V5" s="208"/>
      <c r="W5" s="247"/>
      <c r="X5" s="246" t="str">
        <f ca="1">IFERROR(__xludf.DUMMYFUNCTION("IF(N5=0,QUERY(N6:S1000),QUERY(N5:S1000))"),"            ")</f>
        <v xml:space="preserve">            </v>
      </c>
      <c r="Y5" s="205" t="str">
        <f ca="1">IFERROR(__xludf.DUMMYFUNCTION("""COMPUTED_VALUE"""),"#N/A")</f>
        <v>#N/A</v>
      </c>
      <c r="Z5" s="205" t="str">
        <f ca="1">IFERROR(__xludf.DUMMYFUNCTION("""COMPUTED_VALUE"""),"#N/A")</f>
        <v>#N/A</v>
      </c>
      <c r="AA5" s="205" t="str">
        <f ca="1">IFERROR(__xludf.DUMMYFUNCTION("""COMPUTED_VALUE"""),"#N/A")</f>
        <v>#N/A</v>
      </c>
      <c r="AB5" s="205" t="str">
        <f ca="1">IFERROR(__xludf.DUMMYFUNCTION("""COMPUTED_VALUE"""),"#N/A")</f>
        <v>#N/A</v>
      </c>
      <c r="AC5" s="207" t="str">
        <f ca="1">IFERROR(__xludf.DUMMYFUNCTION("""COMPUTED_VALUE"""),"СВОБОДЕН")</f>
        <v>СВОБОДЕН</v>
      </c>
      <c r="AD5" s="207"/>
      <c r="AE5" s="207"/>
      <c r="AF5" s="208"/>
      <c r="AG5" s="247"/>
      <c r="AH5" s="244" t="str">
        <f ca="1">IFERROR(__xludf.DUMMYFUNCTION("QUERY('Пр.хода'!AY11:BG1000,A1)"),"            ")</f>
        <v xml:space="preserve">            </v>
      </c>
      <c r="AI5" s="205" t="e">
        <f ca="1">IF($AH5=0,"",(VLOOKUP($AH5,Пр.взв!$D$6:$J$71,2,0)))</f>
        <v>#N/A</v>
      </c>
      <c r="AJ5" s="205" t="e">
        <f ca="1">IF($AH5=0,"",(VLOOKUP($AH5,Пр.взв!$D$6:$J$71,5,0)))</f>
        <v>#N/A</v>
      </c>
      <c r="AK5" s="205" t="e">
        <f ca="1">IF($AH5=0,"",(VLOOKUP($AH5,Пр.взв!$D$6:$J$71,6,0)))</f>
        <v>#N/A</v>
      </c>
      <c r="AL5" s="205" t="e">
        <f ca="1">IF($AH5=0,"",(VLOOKUP($AH5,Пр.взв!$D$6:$M$71,8,0)))</f>
        <v>#N/A</v>
      </c>
      <c r="AM5" s="205"/>
      <c r="AN5" s="207"/>
      <c r="AO5" s="207"/>
      <c r="AP5" s="208"/>
    </row>
    <row r="6" spans="1:42" ht="27.75" customHeight="1">
      <c r="A6" s="240" t="s">
        <v>229</v>
      </c>
      <c r="B6" s="240">
        <f t="shared" ca="1" si="0"/>
        <v>1.5</v>
      </c>
      <c r="C6" s="248">
        <f ca="1">IFERROR(__xludf.DUMMYFUNCTION("""COMPUTED_VALUE"""),0)</f>
        <v>0</v>
      </c>
      <c r="D6" s="210" t="str">
        <f ca="1">IF(C6=0,"",(VLOOKUP($C6,Пр.взв!$D$6:$J$76,2,0)))</f>
        <v/>
      </c>
      <c r="E6" s="210" t="str">
        <f ca="1">IF(C6=0,"",(VLOOKUP($C6,Пр.взв!$D$6:$J$76,5,0)))</f>
        <v/>
      </c>
      <c r="F6" s="210" t="str">
        <f ca="1">IF(C6=0,"",(VLOOKUP($C6,Пр.взв!$D$6:$M$76,6,0)))</f>
        <v/>
      </c>
      <c r="G6" s="210" t="str">
        <f ca="1">IF(C6=0,"",(VLOOKUP($C6,Пр.взв!$D$6:$M$76,8,0)))</f>
        <v/>
      </c>
      <c r="H6" s="212"/>
      <c r="I6" s="212"/>
      <c r="J6" s="212"/>
      <c r="K6" s="213"/>
      <c r="L6" s="242" t="s">
        <v>228</v>
      </c>
      <c r="M6" s="242">
        <f ca="1">IFERROR(__xludf.DUMMYFUNCTION("""COMPUTED_VALUE"""),1.5)</f>
        <v>1.5</v>
      </c>
      <c r="N6" s="249">
        <f ca="1">IFERROR(__xludf.DUMMYFUNCTION("""COMPUTED_VALUE"""),0)</f>
        <v>0</v>
      </c>
      <c r="O6" s="210" t="str">
        <f ca="1">IFERROR(__xludf.DUMMYFUNCTION("""COMPUTED_VALUE"""),"")</f>
        <v/>
      </c>
      <c r="P6" s="210" t="str">
        <f ca="1">IFERROR(__xludf.DUMMYFUNCTION("""COMPUTED_VALUE"""),"")</f>
        <v/>
      </c>
      <c r="Q6" s="210" t="str">
        <f ca="1">IFERROR(__xludf.DUMMYFUNCTION("""COMPUTED_VALUE"""),"")</f>
        <v/>
      </c>
      <c r="R6" s="210" t="str">
        <f ca="1">IFERROR(__xludf.DUMMYFUNCTION("""COMPUTED_VALUE"""),"")</f>
        <v/>
      </c>
      <c r="S6" s="212"/>
      <c r="T6" s="212"/>
      <c r="U6" s="212"/>
      <c r="V6" s="213"/>
      <c r="W6" s="247"/>
      <c r="X6" s="249">
        <f ca="1">IFERROR(__xludf.DUMMYFUNCTION("""COMPUTED_VALUE"""),0)</f>
        <v>0</v>
      </c>
      <c r="Y6" s="210"/>
      <c r="Z6" s="210"/>
      <c r="AA6" s="210"/>
      <c r="AB6" s="210"/>
      <c r="AC6" s="212"/>
      <c r="AD6" s="212"/>
      <c r="AE6" s="212"/>
      <c r="AF6" s="213"/>
      <c r="AG6" s="247"/>
      <c r="AH6" s="248">
        <f ca="1">IFERROR(__xludf.DUMMYFUNCTION("""COMPUTED_VALUE"""),0)</f>
        <v>0</v>
      </c>
      <c r="AI6" s="210" t="str">
        <f ca="1">IF($AH6=0,"",(VLOOKUP($AH6,Пр.взв!$D$6:$J$71,2,0)))</f>
        <v/>
      </c>
      <c r="AJ6" s="210" t="str">
        <f ca="1">IF($AH6=0,"",(VLOOKUP($AH6,Пр.взв!$D$6:$J$71,5,0)))</f>
        <v/>
      </c>
      <c r="AK6" s="210" t="str">
        <f ca="1">IF($AH6=0,"",(VLOOKUP($AH6,Пр.взв!$D$6:$J$71,6,0)))</f>
        <v/>
      </c>
      <c r="AL6" s="210" t="str">
        <f ca="1">IF($AH6=0,"",(VLOOKUP($AH6,Пр.взв!$D$6:$M$71,8,0)))</f>
        <v/>
      </c>
      <c r="AM6" s="212"/>
      <c r="AN6" s="212"/>
      <c r="AO6" s="212"/>
      <c r="AP6" s="213"/>
    </row>
    <row r="7" spans="1:42" ht="27.75" customHeight="1">
      <c r="A7" s="240" t="s">
        <v>230</v>
      </c>
      <c r="B7" s="240">
        <f t="shared" ca="1" si="0"/>
        <v>1.5</v>
      </c>
      <c r="C7" s="244"/>
      <c r="D7" s="205" t="str">
        <f>IF(C7=0,"",(VLOOKUP($C7,Пр.взв!$D$6:$J$76,2,0)))</f>
        <v/>
      </c>
      <c r="E7" s="205" t="str">
        <f>IF(C7=0,"",(VLOOKUP($C7,Пр.взв!$D$6:$J$76,5,0)))</f>
        <v/>
      </c>
      <c r="F7" s="205" t="str">
        <f>IF(C7=0,"",(VLOOKUP($C7,Пр.взв!$D$6:$M$76,6,0)))</f>
        <v/>
      </c>
      <c r="G7" s="205" t="str">
        <f>IF(C7=0,"",(VLOOKUP($C7,Пр.взв!$D$6:$M$76,8,0)))</f>
        <v/>
      </c>
      <c r="H7" s="207" t="str">
        <f>IF(C7=0,"", IF(C8=0,"СВОБОДЕН",""))</f>
        <v/>
      </c>
      <c r="I7" s="207"/>
      <c r="J7" s="207"/>
      <c r="K7" s="208"/>
      <c r="L7" s="242" t="s">
        <v>229</v>
      </c>
      <c r="M7" s="242">
        <f ca="1">IFERROR(__xludf.DUMMYFUNCTION("""COMPUTED_VALUE"""),1.5)</f>
        <v>1.5</v>
      </c>
      <c r="N7" s="250"/>
      <c r="O7" s="205" t="str">
        <f ca="1">IFERROR(__xludf.DUMMYFUNCTION("""COMPUTED_VALUE"""),"")</f>
        <v/>
      </c>
      <c r="P7" s="205" t="str">
        <f ca="1">IFERROR(__xludf.DUMMYFUNCTION("""COMPUTED_VALUE"""),"")</f>
        <v/>
      </c>
      <c r="Q7" s="205" t="str">
        <f ca="1">IFERROR(__xludf.DUMMYFUNCTION("""COMPUTED_VALUE"""),"")</f>
        <v/>
      </c>
      <c r="R7" s="205" t="str">
        <f ca="1">IFERROR(__xludf.DUMMYFUNCTION("""COMPUTED_VALUE"""),"")</f>
        <v/>
      </c>
      <c r="S7" s="207" t="str">
        <f ca="1">IFERROR(__xludf.DUMMYFUNCTION("""COMPUTED_VALUE"""),"")</f>
        <v/>
      </c>
      <c r="T7" s="207"/>
      <c r="U7" s="207"/>
      <c r="V7" s="208"/>
      <c r="W7" s="247"/>
      <c r="X7" s="250"/>
      <c r="Y7" s="205"/>
      <c r="Z7" s="205"/>
      <c r="AA7" s="205"/>
      <c r="AB7" s="205"/>
      <c r="AC7" s="207"/>
      <c r="AD7" s="207"/>
      <c r="AE7" s="207"/>
      <c r="AF7" s="208"/>
      <c r="AG7" s="247"/>
      <c r="AH7" s="244"/>
      <c r="AI7" s="205" t="str">
        <f>IF($AH7=0,"",(VLOOKUP($AH7,Пр.взв!$D$6:$J$71,2,0)))</f>
        <v/>
      </c>
      <c r="AJ7" s="205" t="str">
        <f>IF($AH7=0,"",(VLOOKUP($AH7,Пр.взв!$D$6:$J$71,5,0)))</f>
        <v/>
      </c>
      <c r="AK7" s="205" t="str">
        <f>IF($AH7=0,"",(VLOOKUP($AH7,Пр.взв!$D$6:$J$71,6,0)))</f>
        <v/>
      </c>
      <c r="AL7" s="205" t="str">
        <f>IF($AH7=0,"",(VLOOKUP($AH7,Пр.взв!$D$6:$M$71,8,0)))</f>
        <v/>
      </c>
      <c r="AM7" s="207" t="str">
        <f>IF(AH7=0,"", IF(AH8=0,"СВОБОДЕН",""))</f>
        <v/>
      </c>
      <c r="AN7" s="207"/>
      <c r="AO7" s="207"/>
      <c r="AP7" s="208"/>
    </row>
    <row r="8" spans="1:42" ht="27.75" customHeight="1">
      <c r="A8" s="240" t="s">
        <v>222</v>
      </c>
      <c r="B8" s="240">
        <f t="shared" ca="1" si="0"/>
        <v>1.5</v>
      </c>
      <c r="C8" s="248"/>
      <c r="D8" s="210" t="str">
        <f>IF(C8=0,"",(VLOOKUP($C8,Пр.взв!$D$6:$J$76,2,0)))</f>
        <v/>
      </c>
      <c r="E8" s="210" t="str">
        <f>IF(C8=0,"",(VLOOKUP($C8,Пр.взв!$D$6:$J$76,5,0)))</f>
        <v/>
      </c>
      <c r="F8" s="210" t="str">
        <f>IF(C8=0,"",(VLOOKUP($C8,Пр.взв!$D$6:$M$76,6,0)))</f>
        <v/>
      </c>
      <c r="G8" s="210" t="str">
        <f>IF(C8=0,"",(VLOOKUP($C8,Пр.взв!$D$6:$M$76,8,0)))</f>
        <v/>
      </c>
      <c r="H8" s="212"/>
      <c r="I8" s="212"/>
      <c r="J8" s="212"/>
      <c r="K8" s="213"/>
      <c r="L8" s="242" t="s">
        <v>231</v>
      </c>
      <c r="M8" s="242">
        <f ca="1">IFERROR(__xludf.DUMMYFUNCTION("""COMPUTED_VALUE"""),1.5)</f>
        <v>1.5</v>
      </c>
      <c r="N8" s="249"/>
      <c r="O8" s="210" t="str">
        <f ca="1">IFERROR(__xludf.DUMMYFUNCTION("""COMPUTED_VALUE"""),"")</f>
        <v/>
      </c>
      <c r="P8" s="210" t="str">
        <f ca="1">IFERROR(__xludf.DUMMYFUNCTION("""COMPUTED_VALUE"""),"")</f>
        <v/>
      </c>
      <c r="Q8" s="210" t="str">
        <f ca="1">IFERROR(__xludf.DUMMYFUNCTION("""COMPUTED_VALUE"""),"")</f>
        <v/>
      </c>
      <c r="R8" s="210" t="str">
        <f ca="1">IFERROR(__xludf.DUMMYFUNCTION("""COMPUTED_VALUE"""),"")</f>
        <v/>
      </c>
      <c r="S8" s="212"/>
      <c r="T8" s="212"/>
      <c r="U8" s="212"/>
      <c r="V8" s="213"/>
      <c r="W8" s="247"/>
      <c r="X8" s="249"/>
      <c r="Y8" s="210"/>
      <c r="Z8" s="210"/>
      <c r="AA8" s="210"/>
      <c r="AB8" s="210"/>
      <c r="AC8" s="212"/>
      <c r="AD8" s="212"/>
      <c r="AE8" s="212"/>
      <c r="AF8" s="213"/>
      <c r="AG8" s="247"/>
      <c r="AH8" s="248"/>
      <c r="AI8" s="210" t="str">
        <f>IF($AH8=0,"",(VLOOKUP($AH8,Пр.взв!$D$6:$J$71,2,0)))</f>
        <v/>
      </c>
      <c r="AJ8" s="210" t="str">
        <f>IF($AH8=0,"",(VLOOKUP($AH8,Пр.взв!$D$6:$J$71,5,0)))</f>
        <v/>
      </c>
      <c r="AK8" s="210" t="str">
        <f>IF($AH8=0,"",(VLOOKUP($AH8,Пр.взв!$D$6:$J$71,6,0)))</f>
        <v/>
      </c>
      <c r="AL8" s="210" t="str">
        <f>IF($AH8=0,"",(VLOOKUP($AH8,Пр.взв!$D$6:$M$71,8,0)))</f>
        <v/>
      </c>
      <c r="AM8" s="212"/>
      <c r="AN8" s="212"/>
      <c r="AO8" s="212"/>
      <c r="AP8" s="213"/>
    </row>
    <row r="9" spans="1:42" ht="27.75" customHeight="1">
      <c r="A9" s="240" t="s">
        <v>232</v>
      </c>
      <c r="B9" s="240">
        <f t="shared" ca="1" si="0"/>
        <v>1.5</v>
      </c>
      <c r="C9" s="244"/>
      <c r="D9" s="205" t="str">
        <f>IF(C9=0,"",(VLOOKUP($C9,Пр.взв!$D$6:$J$76,2,0)))</f>
        <v/>
      </c>
      <c r="E9" s="205" t="str">
        <f>IF(C9=0,"",(VLOOKUP($C9,Пр.взв!$D$6:$J$76,5,0)))</f>
        <v/>
      </c>
      <c r="F9" s="205" t="str">
        <f>IF(C9=0,"",(VLOOKUP($C9,Пр.взв!$D$6:$M$76,6,0)))</f>
        <v/>
      </c>
      <c r="G9" s="205" t="str">
        <f>IF(C9=0,"",(VLOOKUP($C9,Пр.взв!$D$6:$M$76,8,0)))</f>
        <v/>
      </c>
      <c r="H9" s="207" t="str">
        <f>IF(C9=0,"", IF(C10=0,"СВОБОДЕН",""))</f>
        <v/>
      </c>
      <c r="I9" s="207"/>
      <c r="J9" s="207"/>
      <c r="K9" s="208"/>
      <c r="L9" s="63"/>
      <c r="M9" s="63">
        <f ca="1">IFERROR(__xludf.DUMMYFUNCTION("""COMPUTED_VALUE"""),1.5)</f>
        <v>1.5</v>
      </c>
      <c r="N9" s="244"/>
      <c r="O9" s="205" t="str">
        <f ca="1">IFERROR(__xludf.DUMMYFUNCTION("""COMPUTED_VALUE"""),"")</f>
        <v/>
      </c>
      <c r="P9" s="205" t="str">
        <f ca="1">IFERROR(__xludf.DUMMYFUNCTION("""COMPUTED_VALUE"""),"")</f>
        <v/>
      </c>
      <c r="Q9" s="205" t="str">
        <f ca="1">IFERROR(__xludf.DUMMYFUNCTION("""COMPUTED_VALUE"""),"")</f>
        <v/>
      </c>
      <c r="R9" s="205" t="str">
        <f ca="1">IFERROR(__xludf.DUMMYFUNCTION("""COMPUTED_VALUE"""),"")</f>
        <v/>
      </c>
      <c r="S9" s="207" t="str">
        <f ca="1">IFERROR(__xludf.DUMMYFUNCTION("""COMPUTED_VALUE"""),"")</f>
        <v/>
      </c>
      <c r="T9" s="207"/>
      <c r="U9" s="207"/>
      <c r="V9" s="208"/>
      <c r="W9" s="247"/>
      <c r="X9" s="244"/>
      <c r="Y9" s="205"/>
      <c r="Z9" s="205"/>
      <c r="AA9" s="205"/>
      <c r="AB9" s="205"/>
      <c r="AC9" s="207"/>
      <c r="AD9" s="207"/>
      <c r="AE9" s="207"/>
      <c r="AF9" s="208"/>
      <c r="AG9" s="247"/>
      <c r="AH9" s="244"/>
      <c r="AI9" s="205" t="str">
        <f>IF($AH9=0,"",(VLOOKUP($AH9,Пр.взв!$D$6:$J$71,2,0)))</f>
        <v/>
      </c>
      <c r="AJ9" s="205" t="str">
        <f>IF($AH9=0,"",(VLOOKUP($AH9,Пр.взв!$D$6:$J$71,5,0)))</f>
        <v/>
      </c>
      <c r="AK9" s="205" t="str">
        <f>IF($AH9=0,"",(VLOOKUP($AH9,Пр.взв!$D$6:$J$71,6,0)))</f>
        <v/>
      </c>
      <c r="AL9" s="205" t="str">
        <f>IF($AH9=0,"",(VLOOKUP($AH9,Пр.взв!$D$6:$M$71,8,0)))</f>
        <v/>
      </c>
      <c r="AM9" s="207" t="str">
        <f>IF(AH9=0,"", IF(AH10=0,"СВОБОДЕН",""))</f>
        <v/>
      </c>
      <c r="AN9" s="207"/>
      <c r="AO9" s="207"/>
      <c r="AP9" s="208"/>
    </row>
    <row r="10" spans="1:42" ht="27.75" customHeight="1">
      <c r="A10" s="251" t="s">
        <v>232</v>
      </c>
      <c r="B10" s="240">
        <f t="shared" ca="1" si="0"/>
        <v>1.5</v>
      </c>
      <c r="C10" s="248"/>
      <c r="D10" s="210" t="str">
        <f>IF(C10=0,"",(VLOOKUP($C10,Пр.взв!$D$6:$J$76,2,0)))</f>
        <v/>
      </c>
      <c r="E10" s="210" t="str">
        <f>IF(C10=0,"",(VLOOKUP($C10,Пр.взв!$D$6:$J$76,5,0)))</f>
        <v/>
      </c>
      <c r="F10" s="210" t="str">
        <f>IF(C10=0,"",(VLOOKUP($C10,Пр.взв!$D$6:$M$76,6,0)))</f>
        <v/>
      </c>
      <c r="G10" s="210" t="str">
        <f>IF(C10=0,"",(VLOOKUP($C10,Пр.взв!$D$6:$M$76,8,0)))</f>
        <v/>
      </c>
      <c r="H10" s="212"/>
      <c r="I10" s="212"/>
      <c r="J10" s="212"/>
      <c r="K10" s="213"/>
      <c r="L10" s="63"/>
      <c r="M10" s="63">
        <f ca="1">IFERROR(__xludf.DUMMYFUNCTION("""COMPUTED_VALUE"""),1.5)</f>
        <v>1.5</v>
      </c>
      <c r="N10" s="248"/>
      <c r="O10" s="210" t="str">
        <f ca="1">IFERROR(__xludf.DUMMYFUNCTION("""COMPUTED_VALUE"""),"")</f>
        <v/>
      </c>
      <c r="P10" s="210" t="str">
        <f ca="1">IFERROR(__xludf.DUMMYFUNCTION("""COMPUTED_VALUE"""),"")</f>
        <v/>
      </c>
      <c r="Q10" s="210" t="str">
        <f ca="1">IFERROR(__xludf.DUMMYFUNCTION("""COMPUTED_VALUE"""),"")</f>
        <v/>
      </c>
      <c r="R10" s="210" t="str">
        <f ca="1">IFERROR(__xludf.DUMMYFUNCTION("""COMPUTED_VALUE"""),"")</f>
        <v/>
      </c>
      <c r="S10" s="212"/>
      <c r="T10" s="212"/>
      <c r="U10" s="212"/>
      <c r="V10" s="213"/>
      <c r="W10" s="247"/>
      <c r="X10" s="248"/>
      <c r="Y10" s="210"/>
      <c r="Z10" s="210"/>
      <c r="AA10" s="210"/>
      <c r="AB10" s="210"/>
      <c r="AC10" s="212"/>
      <c r="AD10" s="212"/>
      <c r="AE10" s="212"/>
      <c r="AF10" s="213"/>
      <c r="AG10" s="247"/>
      <c r="AH10" s="248"/>
      <c r="AI10" s="210" t="str">
        <f>IF($AH10=0,"",(VLOOKUP($AH10,Пр.взв!$D$6:$J$71,2,0)))</f>
        <v/>
      </c>
      <c r="AJ10" s="210" t="str">
        <f>IF($AH10=0,"",(VLOOKUP($AH10,Пр.взв!$D$6:$J$71,5,0)))</f>
        <v/>
      </c>
      <c r="AK10" s="210" t="str">
        <f>IF($AH10=0,"",(VLOOKUP($AH10,Пр.взв!$D$6:$J$71,6,0)))</f>
        <v/>
      </c>
      <c r="AL10" s="210" t="str">
        <f>IF($AH10=0,"",(VLOOKUP($AH10,Пр.взв!$D$6:$M$71,8,0)))</f>
        <v/>
      </c>
      <c r="AM10" s="212"/>
      <c r="AN10" s="212"/>
      <c r="AO10" s="212"/>
      <c r="AP10" s="213"/>
    </row>
    <row r="11" spans="1:42" ht="27.75" customHeight="1">
      <c r="A11" s="252">
        <v>7</v>
      </c>
      <c r="B11" s="240">
        <f t="shared" ca="1" si="0"/>
        <v>1.5</v>
      </c>
      <c r="C11" s="244"/>
      <c r="D11" s="205" t="str">
        <f>IF(C11=0,"",(VLOOKUP($C11,Пр.взв!$D$6:$J$76,2,0)))</f>
        <v/>
      </c>
      <c r="E11" s="205" t="str">
        <f>IF(C11=0,"",(VLOOKUP($C11,Пр.взв!$D$6:$J$76,5,0)))</f>
        <v/>
      </c>
      <c r="F11" s="205" t="str">
        <f>IF(C11=0,"",(VLOOKUP($C11,Пр.взв!$D$6:$M$76,6,0)))</f>
        <v/>
      </c>
      <c r="G11" s="205" t="str">
        <f>IF(C11=0,"",(VLOOKUP($C11,Пр.взв!$D$6:$M$76,8,0)))</f>
        <v/>
      </c>
      <c r="H11" s="207" t="str">
        <f>IF(C11=0,"", IF(C12=0,"СВОБОДЕН",""))</f>
        <v/>
      </c>
      <c r="I11" s="207"/>
      <c r="J11" s="207"/>
      <c r="K11" s="208"/>
      <c r="L11" s="252"/>
      <c r="M11" s="252">
        <f ca="1">IFERROR(__xludf.DUMMYFUNCTION("""COMPUTED_VALUE"""),1.5)</f>
        <v>1.5</v>
      </c>
      <c r="N11" s="244"/>
      <c r="O11" s="205" t="str">
        <f ca="1">IFERROR(__xludf.DUMMYFUNCTION("""COMPUTED_VALUE"""),"")</f>
        <v/>
      </c>
      <c r="P11" s="205" t="str">
        <f ca="1">IFERROR(__xludf.DUMMYFUNCTION("""COMPUTED_VALUE"""),"")</f>
        <v/>
      </c>
      <c r="Q11" s="205" t="str">
        <f ca="1">IFERROR(__xludf.DUMMYFUNCTION("""COMPUTED_VALUE"""),"")</f>
        <v/>
      </c>
      <c r="R11" s="205" t="str">
        <f ca="1">IFERROR(__xludf.DUMMYFUNCTION("""COMPUTED_VALUE"""),"")</f>
        <v/>
      </c>
      <c r="S11" s="207" t="str">
        <f ca="1">IFERROR(__xludf.DUMMYFUNCTION("""COMPUTED_VALUE"""),"")</f>
        <v/>
      </c>
      <c r="T11" s="207"/>
      <c r="U11" s="207"/>
      <c r="V11" s="208"/>
      <c r="W11" s="247"/>
      <c r="X11" s="244"/>
      <c r="Y11" s="205"/>
      <c r="Z11" s="205"/>
      <c r="AA11" s="205"/>
      <c r="AB11" s="205"/>
      <c r="AC11" s="207"/>
      <c r="AD11" s="207"/>
      <c r="AE11" s="207"/>
      <c r="AF11" s="208"/>
      <c r="AG11" s="247"/>
      <c r="AH11" s="244"/>
      <c r="AI11" s="205" t="str">
        <f>IF($AH11=0,"",(VLOOKUP($AH11,Пр.взв!$D$6:$J$71,2,0)))</f>
        <v/>
      </c>
      <c r="AJ11" s="205" t="str">
        <f>IF($AH11=0,"",(VLOOKUP($AH11,Пр.взв!$D$6:$J$71,5,0)))</f>
        <v/>
      </c>
      <c r="AK11" s="205" t="str">
        <f>IF($AH11=0,"",(VLOOKUP($AH11,Пр.взв!$D$6:$J$71,6,0)))</f>
        <v/>
      </c>
      <c r="AL11" s="205" t="str">
        <f>IF($AH11=0,"",(VLOOKUP($AH11,Пр.взв!$D$6:$M$71,8,0)))</f>
        <v/>
      </c>
      <c r="AM11" s="207" t="str">
        <f>IF(AH11=0,"", IF(AH12=0,"СВОБОДЕН",""))</f>
        <v/>
      </c>
      <c r="AN11" s="207"/>
      <c r="AO11" s="207"/>
      <c r="AP11" s="208"/>
    </row>
    <row r="12" spans="1:42" ht="27.75" customHeight="1">
      <c r="A12" s="252">
        <v>8</v>
      </c>
      <c r="B12" s="240">
        <f t="shared" ca="1" si="0"/>
        <v>1.5</v>
      </c>
      <c r="C12" s="248"/>
      <c r="D12" s="210" t="str">
        <f>IF(C12=0,"",(VLOOKUP($C12,Пр.взв!$D$6:$J$76,2,0)))</f>
        <v/>
      </c>
      <c r="E12" s="210" t="str">
        <f>IF(C12=0,"",(VLOOKUP($C12,Пр.взв!$D$6:$J$76,5,0)))</f>
        <v/>
      </c>
      <c r="F12" s="210" t="str">
        <f>IF(C12=0,"",(VLOOKUP($C12,Пр.взв!$D$6:$M$76,6,0)))</f>
        <v/>
      </c>
      <c r="G12" s="210" t="str">
        <f>IF(C12=0,"",(VLOOKUP($C12,Пр.взв!$D$6:$M$76,8,0)))</f>
        <v/>
      </c>
      <c r="H12" s="212"/>
      <c r="I12" s="212"/>
      <c r="J12" s="212"/>
      <c r="K12" s="213"/>
      <c r="L12" s="252"/>
      <c r="M12" s="252">
        <f ca="1">IFERROR(__xludf.DUMMYFUNCTION("""COMPUTED_VALUE"""),1.5)</f>
        <v>1.5</v>
      </c>
      <c r="N12" s="248"/>
      <c r="O12" s="210" t="str">
        <f ca="1">IFERROR(__xludf.DUMMYFUNCTION("""COMPUTED_VALUE"""),"")</f>
        <v/>
      </c>
      <c r="P12" s="210" t="str">
        <f ca="1">IFERROR(__xludf.DUMMYFUNCTION("""COMPUTED_VALUE"""),"")</f>
        <v/>
      </c>
      <c r="Q12" s="210" t="str">
        <f ca="1">IFERROR(__xludf.DUMMYFUNCTION("""COMPUTED_VALUE"""),"")</f>
        <v/>
      </c>
      <c r="R12" s="210" t="str">
        <f ca="1">IFERROR(__xludf.DUMMYFUNCTION("""COMPUTED_VALUE"""),"")</f>
        <v/>
      </c>
      <c r="S12" s="212"/>
      <c r="T12" s="212"/>
      <c r="U12" s="212"/>
      <c r="V12" s="213"/>
      <c r="W12" s="247"/>
      <c r="X12" s="248"/>
      <c r="Y12" s="210"/>
      <c r="Z12" s="210"/>
      <c r="AA12" s="210"/>
      <c r="AB12" s="210"/>
      <c r="AC12" s="212"/>
      <c r="AD12" s="212"/>
      <c r="AE12" s="212"/>
      <c r="AF12" s="213"/>
      <c r="AG12" s="247"/>
      <c r="AH12" s="248"/>
      <c r="AI12" s="210" t="str">
        <f>IF($AH12=0,"",(VLOOKUP($AH12,Пр.взв!$D$6:$J$71,2,0)))</f>
        <v/>
      </c>
      <c r="AJ12" s="210" t="str">
        <f>IF($AH12=0,"",(VLOOKUP($AH12,Пр.взв!$D$6:$J$71,5,0)))</f>
        <v/>
      </c>
      <c r="AK12" s="210" t="str">
        <f>IF($AH12=0,"",(VLOOKUP($AH12,Пр.взв!$D$6:$J$71,6,0)))</f>
        <v/>
      </c>
      <c r="AL12" s="210" t="str">
        <f>IF($AH12=0,"",(VLOOKUP($AH12,Пр.взв!$D$6:$M$71,8,0)))</f>
        <v/>
      </c>
      <c r="AM12" s="212"/>
      <c r="AN12" s="212"/>
      <c r="AO12" s="212"/>
      <c r="AP12" s="213"/>
    </row>
    <row r="13" spans="1:42" ht="27.75" customHeight="1">
      <c r="A13" s="252">
        <v>9</v>
      </c>
      <c r="B13" s="240">
        <f t="shared" ca="1" si="0"/>
        <v>1.5</v>
      </c>
      <c r="C13" s="244"/>
      <c r="D13" s="205" t="str">
        <f>IF(C13=0,"",(VLOOKUP($C13,Пр.взв!$D$6:$J$76,2,0)))</f>
        <v/>
      </c>
      <c r="E13" s="205" t="str">
        <f>IF(C13=0,"",(VLOOKUP($C13,Пр.взв!$D$6:$J$76,5,0)))</f>
        <v/>
      </c>
      <c r="F13" s="205" t="str">
        <f>IF(C13=0,"",(VLOOKUP($C13,Пр.взв!$D$6:$M$76,6,0)))</f>
        <v/>
      </c>
      <c r="G13" s="205" t="str">
        <f>IF(C13=0,"",(VLOOKUP($C13,Пр.взв!$D$6:$M$76,8,0)))</f>
        <v/>
      </c>
      <c r="H13" s="207" t="str">
        <f>IF(C13=0,"", IF(C14=0,"СВОБОДЕН",""))</f>
        <v/>
      </c>
      <c r="I13" s="207"/>
      <c r="J13" s="207"/>
      <c r="K13" s="208"/>
      <c r="L13" s="252"/>
      <c r="M13" s="252">
        <f ca="1">IFERROR(__xludf.DUMMYFUNCTION("""COMPUTED_VALUE"""),1.5)</f>
        <v>1.5</v>
      </c>
      <c r="N13" s="244"/>
      <c r="O13" s="205" t="str">
        <f ca="1">IFERROR(__xludf.DUMMYFUNCTION("""COMPUTED_VALUE"""),"")</f>
        <v/>
      </c>
      <c r="P13" s="205" t="str">
        <f ca="1">IFERROR(__xludf.DUMMYFUNCTION("""COMPUTED_VALUE"""),"")</f>
        <v/>
      </c>
      <c r="Q13" s="205" t="str">
        <f ca="1">IFERROR(__xludf.DUMMYFUNCTION("""COMPUTED_VALUE"""),"")</f>
        <v/>
      </c>
      <c r="R13" s="205" t="str">
        <f ca="1">IFERROR(__xludf.DUMMYFUNCTION("""COMPUTED_VALUE"""),"")</f>
        <v/>
      </c>
      <c r="S13" s="207" t="str">
        <f ca="1">IFERROR(__xludf.DUMMYFUNCTION("""COMPUTED_VALUE"""),"")</f>
        <v/>
      </c>
      <c r="T13" s="207"/>
      <c r="U13" s="207"/>
      <c r="V13" s="208"/>
      <c r="W13" s="247"/>
      <c r="X13" s="244"/>
      <c r="Y13" s="205"/>
      <c r="Z13" s="205"/>
      <c r="AA13" s="205"/>
      <c r="AB13" s="205"/>
      <c r="AC13" s="207"/>
      <c r="AD13" s="207"/>
      <c r="AE13" s="207"/>
      <c r="AF13" s="208"/>
      <c r="AG13" s="247"/>
      <c r="AH13" s="244"/>
      <c r="AI13" s="205" t="str">
        <f>IF($AH13=0,"",(VLOOKUP($AH13,Пр.взв!$D$6:$J$71,2,0)))</f>
        <v/>
      </c>
      <c r="AJ13" s="205" t="str">
        <f>IF($AH13=0,"",(VLOOKUP($AH13,Пр.взв!$D$6:$J$71,5,0)))</f>
        <v/>
      </c>
      <c r="AK13" s="205" t="str">
        <f>IF($AH13=0,"",(VLOOKUP($AH13,Пр.взв!$D$6:$J$71,6,0)))</f>
        <v/>
      </c>
      <c r="AL13" s="205" t="str">
        <f>IF($AH13=0,"",(VLOOKUP($AH13,Пр.взв!$D$6:$M$71,8,0)))</f>
        <v/>
      </c>
      <c r="AM13" s="207" t="str">
        <f>IF(AH13=0,"", IF(AH14=0,"СВОБОДЕН",""))</f>
        <v/>
      </c>
      <c r="AN13" s="207"/>
      <c r="AO13" s="207"/>
      <c r="AP13" s="208"/>
    </row>
    <row r="14" spans="1:42" ht="27.75" customHeight="1">
      <c r="A14" s="252">
        <v>0</v>
      </c>
      <c r="B14" s="240">
        <f t="shared" ca="1" si="0"/>
        <v>1.5</v>
      </c>
      <c r="C14" s="248"/>
      <c r="D14" s="210" t="str">
        <f>IF(C14=0,"",(VLOOKUP($C14,Пр.взв!$D$6:$J$76,2,0)))</f>
        <v/>
      </c>
      <c r="E14" s="210" t="str">
        <f>IF(C14=0,"",(VLOOKUP($C14,Пр.взв!$D$6:$J$76,5,0)))</f>
        <v/>
      </c>
      <c r="F14" s="210" t="str">
        <f>IF(C14=0,"",(VLOOKUP($C14,Пр.взв!$D$6:$M$76,6,0)))</f>
        <v/>
      </c>
      <c r="G14" s="210" t="str">
        <f>IF(C14=0,"",(VLOOKUP($C14,Пр.взв!$D$6:$M$76,8,0)))</f>
        <v/>
      </c>
      <c r="H14" s="212"/>
      <c r="I14" s="212"/>
      <c r="J14" s="212"/>
      <c r="K14" s="213"/>
      <c r="L14" s="252"/>
      <c r="M14" s="252">
        <f ca="1">IFERROR(__xludf.DUMMYFUNCTION("""COMPUTED_VALUE"""),1.5)</f>
        <v>1.5</v>
      </c>
      <c r="N14" s="248"/>
      <c r="O14" s="210" t="str">
        <f ca="1">IFERROR(__xludf.DUMMYFUNCTION("""COMPUTED_VALUE"""),"")</f>
        <v/>
      </c>
      <c r="P14" s="210" t="str">
        <f ca="1">IFERROR(__xludf.DUMMYFUNCTION("""COMPUTED_VALUE"""),"")</f>
        <v/>
      </c>
      <c r="Q14" s="210" t="str">
        <f ca="1">IFERROR(__xludf.DUMMYFUNCTION("""COMPUTED_VALUE"""),"")</f>
        <v/>
      </c>
      <c r="R14" s="210" t="str">
        <f ca="1">IFERROR(__xludf.DUMMYFUNCTION("""COMPUTED_VALUE"""),"")</f>
        <v/>
      </c>
      <c r="S14" s="212"/>
      <c r="T14" s="212"/>
      <c r="U14" s="212"/>
      <c r="V14" s="213"/>
      <c r="W14" s="247"/>
      <c r="X14" s="248"/>
      <c r="Y14" s="210"/>
      <c r="Z14" s="210"/>
      <c r="AA14" s="210"/>
      <c r="AB14" s="210"/>
      <c r="AC14" s="212"/>
      <c r="AD14" s="212"/>
      <c r="AE14" s="212"/>
      <c r="AF14" s="213"/>
      <c r="AG14" s="247"/>
      <c r="AH14" s="248"/>
      <c r="AI14" s="210" t="str">
        <f>IF($AH14=0,"",(VLOOKUP($AH14,Пр.взв!$D$6:$J$71,2,0)))</f>
        <v/>
      </c>
      <c r="AJ14" s="210" t="str">
        <f>IF($AH14=0,"",(VLOOKUP($AH14,Пр.взв!$D$6:$J$71,5,0)))</f>
        <v/>
      </c>
      <c r="AK14" s="210" t="str">
        <f>IF($AH14=0,"",(VLOOKUP($AH14,Пр.взв!$D$6:$J$71,6,0)))</f>
        <v/>
      </c>
      <c r="AL14" s="210" t="str">
        <f>IF($AH14=0,"",(VLOOKUP($AH14,Пр.взв!$D$6:$M$71,8,0)))</f>
        <v/>
      </c>
      <c r="AM14" s="212"/>
      <c r="AN14" s="212"/>
      <c r="AO14" s="212"/>
      <c r="AP14" s="213"/>
    </row>
    <row r="15" spans="1:42" ht="27.75" customHeight="1">
      <c r="A15" s="252">
        <v>11</v>
      </c>
      <c r="B15" s="240">
        <f t="shared" ca="1" si="0"/>
        <v>1.5</v>
      </c>
      <c r="C15" s="244"/>
      <c r="D15" s="205" t="str">
        <f>IF(C15=0,"",(VLOOKUP($C15,Пр.взв!$D$6:$J$76,2,0)))</f>
        <v/>
      </c>
      <c r="E15" s="205" t="str">
        <f>IF(C15=0,"",(VLOOKUP($C15,Пр.взв!$D$6:$J$76,5,0)))</f>
        <v/>
      </c>
      <c r="F15" s="205" t="str">
        <f>IF(C15=0,"",(VLOOKUP($C15,Пр.взв!$D$6:$M$76,6,0)))</f>
        <v/>
      </c>
      <c r="G15" s="205" t="str">
        <f>IF(C15=0,"",(VLOOKUP($C15,Пр.взв!$D$6:$M$76,8,0)))</f>
        <v/>
      </c>
      <c r="H15" s="207" t="str">
        <f>IF(C15=0,"", IF(C16=0,"СВОБОДЕН",""))</f>
        <v/>
      </c>
      <c r="I15" s="207"/>
      <c r="J15" s="207"/>
      <c r="K15" s="208"/>
      <c r="L15" s="252"/>
      <c r="M15" s="252">
        <f ca="1">IFERROR(__xludf.DUMMYFUNCTION("""COMPUTED_VALUE"""),1.5)</f>
        <v>1.5</v>
      </c>
      <c r="N15" s="244"/>
      <c r="O15" s="205" t="str">
        <f ca="1">IFERROR(__xludf.DUMMYFUNCTION("""COMPUTED_VALUE"""),"")</f>
        <v/>
      </c>
      <c r="P15" s="205" t="str">
        <f ca="1">IFERROR(__xludf.DUMMYFUNCTION("""COMPUTED_VALUE"""),"")</f>
        <v/>
      </c>
      <c r="Q15" s="205" t="str">
        <f ca="1">IFERROR(__xludf.DUMMYFUNCTION("""COMPUTED_VALUE"""),"")</f>
        <v/>
      </c>
      <c r="R15" s="205" t="str">
        <f ca="1">IFERROR(__xludf.DUMMYFUNCTION("""COMPUTED_VALUE"""),"")</f>
        <v/>
      </c>
      <c r="S15" s="207" t="str">
        <f ca="1">IFERROR(__xludf.DUMMYFUNCTION("""COMPUTED_VALUE"""),"")</f>
        <v/>
      </c>
      <c r="T15" s="207"/>
      <c r="U15" s="207"/>
      <c r="V15" s="208"/>
      <c r="W15" s="247"/>
      <c r="X15" s="244"/>
      <c r="Y15" s="205"/>
      <c r="Z15" s="205"/>
      <c r="AA15" s="205"/>
      <c r="AB15" s="205"/>
      <c r="AC15" s="207"/>
      <c r="AD15" s="207"/>
      <c r="AE15" s="207"/>
      <c r="AF15" s="208"/>
      <c r="AG15" s="247"/>
      <c r="AH15" s="244"/>
      <c r="AI15" s="205" t="str">
        <f>IF($AH15=0,"",(VLOOKUP($AH15,Пр.взв!$D$6:$J$71,2,0)))</f>
        <v/>
      </c>
      <c r="AJ15" s="205" t="str">
        <f>IF($AH15=0,"",(VLOOKUP($AH15,Пр.взв!$D$6:$J$71,5,0)))</f>
        <v/>
      </c>
      <c r="AK15" s="205" t="str">
        <f>IF($AH15=0,"",(VLOOKUP($AH15,Пр.взв!$D$6:$J$71,6,0)))</f>
        <v/>
      </c>
      <c r="AL15" s="205" t="str">
        <f>IF($AH15=0,"",(VLOOKUP($AH15,Пр.взв!$D$6:$M$71,8,0)))</f>
        <v/>
      </c>
      <c r="AM15" s="207" t="str">
        <f>IF(AH15=0,"", IF(AH16=0,"СВОБОДЕН",""))</f>
        <v/>
      </c>
      <c r="AN15" s="207"/>
      <c r="AO15" s="207"/>
      <c r="AP15" s="208"/>
    </row>
    <row r="16" spans="1:42" ht="27.75" customHeight="1">
      <c r="A16" s="252">
        <v>12</v>
      </c>
      <c r="B16" s="240">
        <f t="shared" ca="1" si="0"/>
        <v>1.5</v>
      </c>
      <c r="C16" s="248"/>
      <c r="D16" s="210" t="str">
        <f>IF(C16=0,"",(VLOOKUP($C16,Пр.взв!$D$6:$J$76,2,0)))</f>
        <v/>
      </c>
      <c r="E16" s="210" t="str">
        <f>IF(C16=0,"",(VLOOKUP($C16,Пр.взв!$D$6:$J$76,5,0)))</f>
        <v/>
      </c>
      <c r="F16" s="210" t="str">
        <f>IF(C16=0,"",(VLOOKUP($C16,Пр.взв!$D$6:$M$76,6,0)))</f>
        <v/>
      </c>
      <c r="G16" s="210" t="str">
        <f>IF(C16=0,"",(VLOOKUP($C16,Пр.взв!$D$6:$M$76,8,0)))</f>
        <v/>
      </c>
      <c r="H16" s="212"/>
      <c r="I16" s="212"/>
      <c r="J16" s="212"/>
      <c r="K16" s="213"/>
      <c r="L16" s="252"/>
      <c r="M16" s="252">
        <f ca="1">IFERROR(__xludf.DUMMYFUNCTION("""COMPUTED_VALUE"""),1.5)</f>
        <v>1.5</v>
      </c>
      <c r="N16" s="248"/>
      <c r="O16" s="210" t="str">
        <f ca="1">IFERROR(__xludf.DUMMYFUNCTION("""COMPUTED_VALUE"""),"")</f>
        <v/>
      </c>
      <c r="P16" s="210" t="str">
        <f ca="1">IFERROR(__xludf.DUMMYFUNCTION("""COMPUTED_VALUE"""),"")</f>
        <v/>
      </c>
      <c r="Q16" s="210" t="str">
        <f ca="1">IFERROR(__xludf.DUMMYFUNCTION("""COMPUTED_VALUE"""),"")</f>
        <v/>
      </c>
      <c r="R16" s="210" t="str">
        <f ca="1">IFERROR(__xludf.DUMMYFUNCTION("""COMPUTED_VALUE"""),"")</f>
        <v/>
      </c>
      <c r="S16" s="212"/>
      <c r="T16" s="212"/>
      <c r="U16" s="212"/>
      <c r="V16" s="213"/>
      <c r="W16" s="247"/>
      <c r="X16" s="248"/>
      <c r="Y16" s="210"/>
      <c r="Z16" s="210"/>
      <c r="AA16" s="210"/>
      <c r="AB16" s="210"/>
      <c r="AC16" s="212"/>
      <c r="AD16" s="212"/>
      <c r="AE16" s="212"/>
      <c r="AF16" s="213"/>
      <c r="AG16" s="247"/>
      <c r="AH16" s="248"/>
      <c r="AI16" s="210" t="str">
        <f>IF($AH16=0,"",(VLOOKUP($AH16,Пр.взв!$D$6:$J$71,2,0)))</f>
        <v/>
      </c>
      <c r="AJ16" s="210" t="str">
        <f>IF($AH16=0,"",(VLOOKUP($AH16,Пр.взв!$D$6:$J$71,5,0)))</f>
        <v/>
      </c>
      <c r="AK16" s="210" t="str">
        <f>IF($AH16=0,"",(VLOOKUP($AH16,Пр.взв!$D$6:$J$71,6,0)))</f>
        <v/>
      </c>
      <c r="AL16" s="210" t="str">
        <f>IF($AH16=0,"",(VLOOKUP($AH16,Пр.взв!$D$6:$M$71,8,0)))</f>
        <v/>
      </c>
      <c r="AM16" s="212"/>
      <c r="AN16" s="212"/>
      <c r="AO16" s="212"/>
      <c r="AP16" s="213"/>
    </row>
    <row r="17" spans="1:42" ht="27.75" customHeight="1">
      <c r="A17" s="252">
        <v>13</v>
      </c>
      <c r="B17" s="240">
        <f t="shared" ca="1" si="0"/>
        <v>1.5</v>
      </c>
      <c r="C17" s="244"/>
      <c r="D17" s="205" t="str">
        <f>IF(C17=0,"",(VLOOKUP($C17,Пр.взв!$D$6:$J$76,2,0)))</f>
        <v/>
      </c>
      <c r="E17" s="205" t="str">
        <f>IF(C17=0,"",(VLOOKUP($C17,Пр.взв!$D$6:$J$76,5,0)))</f>
        <v/>
      </c>
      <c r="F17" s="205" t="str">
        <f>IF(C17=0,"",(VLOOKUP($C17,Пр.взв!$D$6:$M$76,6,0)))</f>
        <v/>
      </c>
      <c r="G17" s="205" t="str">
        <f>IF(C17=0,"",(VLOOKUP($C17,Пр.взв!$D$6:$M$76,8,0)))</f>
        <v/>
      </c>
      <c r="H17" s="207" t="str">
        <f>IF(C17=0,"", IF(C18=0,"СВОБОДЕН",""))</f>
        <v/>
      </c>
      <c r="I17" s="207"/>
      <c r="J17" s="207"/>
      <c r="K17" s="208"/>
      <c r="L17" s="252"/>
      <c r="M17" s="252">
        <f ca="1">IFERROR(__xludf.DUMMYFUNCTION("""COMPUTED_VALUE"""),1.5)</f>
        <v>1.5</v>
      </c>
      <c r="N17" s="244"/>
      <c r="O17" s="205" t="str">
        <f ca="1">IFERROR(__xludf.DUMMYFUNCTION("""COMPUTED_VALUE"""),"")</f>
        <v/>
      </c>
      <c r="P17" s="205" t="str">
        <f ca="1">IFERROR(__xludf.DUMMYFUNCTION("""COMPUTED_VALUE"""),"")</f>
        <v/>
      </c>
      <c r="Q17" s="205" t="str">
        <f ca="1">IFERROR(__xludf.DUMMYFUNCTION("""COMPUTED_VALUE"""),"")</f>
        <v/>
      </c>
      <c r="R17" s="205" t="str">
        <f ca="1">IFERROR(__xludf.DUMMYFUNCTION("""COMPUTED_VALUE"""),"")</f>
        <v/>
      </c>
      <c r="S17" s="207" t="str">
        <f ca="1">IFERROR(__xludf.DUMMYFUNCTION("""COMPUTED_VALUE"""),"")</f>
        <v/>
      </c>
      <c r="T17" s="207"/>
      <c r="U17" s="207"/>
      <c r="V17" s="208"/>
      <c r="W17" s="247"/>
      <c r="X17" s="244"/>
      <c r="Y17" s="205"/>
      <c r="Z17" s="205"/>
      <c r="AA17" s="205"/>
      <c r="AB17" s="205"/>
      <c r="AC17" s="207"/>
      <c r="AD17" s="207"/>
      <c r="AE17" s="207"/>
      <c r="AF17" s="208"/>
      <c r="AG17" s="247"/>
      <c r="AH17" s="244"/>
      <c r="AI17" s="205" t="str">
        <f>IF($AH17=0,"",(VLOOKUP($AH17,Пр.взв!$D$6:$J$71,2,0)))</f>
        <v/>
      </c>
      <c r="AJ17" s="205" t="str">
        <f>IF($AH17=0,"",(VLOOKUP($AH17,Пр.взв!$D$6:$J$71,5,0)))</f>
        <v/>
      </c>
      <c r="AK17" s="205" t="str">
        <f>IF($AH17=0,"",(VLOOKUP($AH17,Пр.взв!$D$6:$J$71,6,0)))</f>
        <v/>
      </c>
      <c r="AL17" s="205" t="str">
        <f>IF($AH17=0,"",(VLOOKUP($AH17,Пр.взв!$D$6:$M$71,8,0)))</f>
        <v/>
      </c>
      <c r="AM17" s="207" t="str">
        <f>IF(AH17=0,"", IF(AH18=0,"СВОБОДЕН",""))</f>
        <v/>
      </c>
      <c r="AN17" s="207"/>
      <c r="AO17" s="207"/>
      <c r="AP17" s="208"/>
    </row>
    <row r="18" spans="1:42" ht="27.75" customHeight="1">
      <c r="A18" s="252">
        <v>14</v>
      </c>
      <c r="B18" s="240">
        <f t="shared" ca="1" si="0"/>
        <v>1.5</v>
      </c>
      <c r="C18" s="248"/>
      <c r="D18" s="210" t="str">
        <f>IF(C18=0,"",(VLOOKUP($C18,Пр.взв!$D$6:$J$76,2,0)))</f>
        <v/>
      </c>
      <c r="E18" s="210" t="str">
        <f>IF(C18=0,"",(VLOOKUP($C18,Пр.взв!$D$6:$J$76,5,0)))</f>
        <v/>
      </c>
      <c r="F18" s="210" t="str">
        <f>IF(C18=0,"",(VLOOKUP($C18,Пр.взв!$D$6:$M$76,6,0)))</f>
        <v/>
      </c>
      <c r="G18" s="210" t="str">
        <f>IF(C18=0,"",(VLOOKUP($C18,Пр.взв!$D$6:$M$76,8,0)))</f>
        <v/>
      </c>
      <c r="H18" s="212"/>
      <c r="I18" s="212"/>
      <c r="J18" s="212"/>
      <c r="K18" s="213"/>
      <c r="L18" s="252"/>
      <c r="M18" s="252">
        <f ca="1">IFERROR(__xludf.DUMMYFUNCTION("""COMPUTED_VALUE"""),1.5)</f>
        <v>1.5</v>
      </c>
      <c r="N18" s="248"/>
      <c r="O18" s="210" t="str">
        <f ca="1">IFERROR(__xludf.DUMMYFUNCTION("""COMPUTED_VALUE"""),"")</f>
        <v/>
      </c>
      <c r="P18" s="210" t="str">
        <f ca="1">IFERROR(__xludf.DUMMYFUNCTION("""COMPUTED_VALUE"""),"")</f>
        <v/>
      </c>
      <c r="Q18" s="210" t="str">
        <f ca="1">IFERROR(__xludf.DUMMYFUNCTION("""COMPUTED_VALUE"""),"")</f>
        <v/>
      </c>
      <c r="R18" s="210" t="str">
        <f ca="1">IFERROR(__xludf.DUMMYFUNCTION("""COMPUTED_VALUE"""),"")</f>
        <v/>
      </c>
      <c r="S18" s="212"/>
      <c r="T18" s="212"/>
      <c r="U18" s="212"/>
      <c r="V18" s="213"/>
      <c r="W18" s="247"/>
      <c r="X18" s="248"/>
      <c r="Y18" s="210"/>
      <c r="Z18" s="210"/>
      <c r="AA18" s="210"/>
      <c r="AB18" s="210"/>
      <c r="AC18" s="212"/>
      <c r="AD18" s="212"/>
      <c r="AE18" s="212"/>
      <c r="AF18" s="213"/>
      <c r="AG18" s="247"/>
      <c r="AH18" s="248"/>
      <c r="AI18" s="210" t="str">
        <f>IF($AH18=0,"",(VLOOKUP($AH18,Пр.взв!$D$6:$J$71,2,0)))</f>
        <v/>
      </c>
      <c r="AJ18" s="210" t="str">
        <f>IF($AH18=0,"",(VLOOKUP($AH18,Пр.взв!$D$6:$J$71,5,0)))</f>
        <v/>
      </c>
      <c r="AK18" s="210" t="str">
        <f>IF($AH18=0,"",(VLOOKUP($AH18,Пр.взв!$D$6:$J$71,6,0)))</f>
        <v/>
      </c>
      <c r="AL18" s="210" t="str">
        <f>IF($AH18=0,"",(VLOOKUP($AH18,Пр.взв!$D$6:$M$71,8,0)))</f>
        <v/>
      </c>
      <c r="AM18" s="212"/>
      <c r="AN18" s="212"/>
      <c r="AO18" s="212"/>
      <c r="AP18" s="213"/>
    </row>
    <row r="19" spans="1:42" ht="27.75" customHeight="1">
      <c r="A19" s="252">
        <v>15</v>
      </c>
      <c r="B19" s="240">
        <f t="shared" ca="1" si="0"/>
        <v>1.5</v>
      </c>
      <c r="C19" s="244"/>
      <c r="D19" s="205" t="str">
        <f>IF(C19=0,"",(VLOOKUP($C19,Пр.взв!$D$6:$J$76,2,0)))</f>
        <v/>
      </c>
      <c r="E19" s="205" t="str">
        <f>IF(C19=0,"",(VLOOKUP($C19,Пр.взв!$D$6:$J$76,5,0)))</f>
        <v/>
      </c>
      <c r="F19" s="205" t="str">
        <f>IF(C19=0,"",(VLOOKUP($C19,Пр.взв!$D$6:$M$76,6,0)))</f>
        <v/>
      </c>
      <c r="G19" s="205" t="str">
        <f>IF(C19=0,"",(VLOOKUP($C19,Пр.взв!$D$6:$M$76,8,0)))</f>
        <v/>
      </c>
      <c r="H19" s="207" t="str">
        <f>IF(C19=0,"", IF(C20=0,"СВОБОДЕН",""))</f>
        <v/>
      </c>
      <c r="I19" s="207"/>
      <c r="J19" s="207"/>
      <c r="K19" s="208"/>
      <c r="L19" s="252"/>
      <c r="M19" s="252">
        <f ca="1">IFERROR(__xludf.DUMMYFUNCTION("""COMPUTED_VALUE"""),1.5)</f>
        <v>1.5</v>
      </c>
      <c r="N19" s="244"/>
      <c r="O19" s="205" t="str">
        <f ca="1">IFERROR(__xludf.DUMMYFUNCTION("""COMPUTED_VALUE"""),"")</f>
        <v/>
      </c>
      <c r="P19" s="205" t="str">
        <f ca="1">IFERROR(__xludf.DUMMYFUNCTION("""COMPUTED_VALUE"""),"")</f>
        <v/>
      </c>
      <c r="Q19" s="205" t="str">
        <f ca="1">IFERROR(__xludf.DUMMYFUNCTION("""COMPUTED_VALUE"""),"")</f>
        <v/>
      </c>
      <c r="R19" s="205" t="str">
        <f ca="1">IFERROR(__xludf.DUMMYFUNCTION("""COMPUTED_VALUE"""),"")</f>
        <v/>
      </c>
      <c r="S19" s="207" t="str">
        <f ca="1">IFERROR(__xludf.DUMMYFUNCTION("""COMPUTED_VALUE"""),"")</f>
        <v/>
      </c>
      <c r="T19" s="207"/>
      <c r="U19" s="207"/>
      <c r="V19" s="208"/>
      <c r="W19" s="247"/>
      <c r="X19" s="244"/>
      <c r="Y19" s="205"/>
      <c r="Z19" s="205"/>
      <c r="AA19" s="205"/>
      <c r="AB19" s="205"/>
      <c r="AC19" s="207"/>
      <c r="AD19" s="207"/>
      <c r="AE19" s="207"/>
      <c r="AF19" s="208"/>
      <c r="AG19" s="247"/>
      <c r="AH19" s="244"/>
      <c r="AI19" s="205" t="str">
        <f>IF($AH19=0,"",(VLOOKUP($AH19,Пр.взв!$D$6:$J$71,2,0)))</f>
        <v/>
      </c>
      <c r="AJ19" s="205" t="str">
        <f>IF($AH19=0,"",(VLOOKUP($AH19,Пр.взв!$D$6:$J$71,5,0)))</f>
        <v/>
      </c>
      <c r="AK19" s="205" t="str">
        <f>IF($AH19=0,"",(VLOOKUP($AH19,Пр.взв!$D$6:$J$71,6,0)))</f>
        <v/>
      </c>
      <c r="AL19" s="205" t="str">
        <f>IF($AH19=0,"",(VLOOKUP($AH19,Пр.взв!$D$6:$M$71,8,0)))</f>
        <v/>
      </c>
      <c r="AM19" s="207" t="str">
        <f>IF(AH19=0,"", IF(AH20=0,"СВОБОДЕН",""))</f>
        <v/>
      </c>
      <c r="AN19" s="207"/>
      <c r="AO19" s="207"/>
      <c r="AP19" s="208"/>
    </row>
    <row r="20" spans="1:42" ht="27.75" customHeight="1">
      <c r="A20" s="252">
        <v>16</v>
      </c>
      <c r="B20" s="240">
        <f t="shared" ca="1" si="0"/>
        <v>1.5</v>
      </c>
      <c r="C20" s="248">
        <f ca="1">IFERROR(__xludf.DUMMYFUNCTION("""COMPUTED_VALUE"""),0)</f>
        <v>0</v>
      </c>
      <c r="D20" s="210" t="str">
        <f ca="1">IF(C20=0,"",(VLOOKUP($C20,Пр.взв!$D$6:$J$76,2,0)))</f>
        <v/>
      </c>
      <c r="E20" s="210" t="str">
        <f ca="1">IF(C20=0,"",(VLOOKUP($C20,Пр.взв!$D$6:$J$76,5,0)))</f>
        <v/>
      </c>
      <c r="F20" s="210" t="str">
        <f ca="1">IF(C20=0,"",(VLOOKUP($C20,Пр.взв!$D$6:$M$76,6,0)))</f>
        <v/>
      </c>
      <c r="G20" s="210" t="str">
        <f ca="1">IF(C20=0,"",(VLOOKUP($C20,Пр.взв!$D$6:$M$76,8,0)))</f>
        <v/>
      </c>
      <c r="H20" s="212"/>
      <c r="I20" s="212"/>
      <c r="J20" s="212"/>
      <c r="K20" s="213"/>
      <c r="L20" s="252"/>
      <c r="M20" s="252">
        <f ca="1">IFERROR(__xludf.DUMMYFUNCTION("""COMPUTED_VALUE"""),1.5)</f>
        <v>1.5</v>
      </c>
      <c r="N20" s="248">
        <f ca="1">IFERROR(__xludf.DUMMYFUNCTION("""COMPUTED_VALUE"""),0)</f>
        <v>0</v>
      </c>
      <c r="O20" s="210" t="str">
        <f ca="1">IFERROR(__xludf.DUMMYFUNCTION("""COMPUTED_VALUE"""),"")</f>
        <v/>
      </c>
      <c r="P20" s="210" t="str">
        <f ca="1">IFERROR(__xludf.DUMMYFUNCTION("""COMPUTED_VALUE"""),"")</f>
        <v/>
      </c>
      <c r="Q20" s="210" t="str">
        <f ca="1">IFERROR(__xludf.DUMMYFUNCTION("""COMPUTED_VALUE"""),"")</f>
        <v/>
      </c>
      <c r="R20" s="210" t="str">
        <f ca="1">IFERROR(__xludf.DUMMYFUNCTION("""COMPUTED_VALUE"""),"")</f>
        <v/>
      </c>
      <c r="S20" s="212"/>
      <c r="T20" s="212"/>
      <c r="U20" s="212"/>
      <c r="V20" s="213"/>
      <c r="W20" s="247"/>
      <c r="X20" s="248">
        <f ca="1">IFERROR(__xludf.DUMMYFUNCTION("""COMPUTED_VALUE"""),0)</f>
        <v>0</v>
      </c>
      <c r="Y20" s="210"/>
      <c r="Z20" s="210"/>
      <c r="AA20" s="210"/>
      <c r="AB20" s="210"/>
      <c r="AC20" s="212"/>
      <c r="AD20" s="212"/>
      <c r="AE20" s="212"/>
      <c r="AF20" s="213"/>
      <c r="AG20" s="247"/>
      <c r="AH20" s="248">
        <f ca="1">IFERROR(__xludf.DUMMYFUNCTION("""COMPUTED_VALUE"""),0)</f>
        <v>0</v>
      </c>
      <c r="AI20" s="210" t="str">
        <f ca="1">IF($AH20=0,"",(VLOOKUP($AH20,Пр.взв!$D$6:$J$71,2,0)))</f>
        <v/>
      </c>
      <c r="AJ20" s="210" t="str">
        <f ca="1">IF($AH20=0,"",(VLOOKUP($AH20,Пр.взв!$D$6:$J$71,5,0)))</f>
        <v/>
      </c>
      <c r="AK20" s="210" t="str">
        <f ca="1">IF($AH20=0,"",(VLOOKUP($AH20,Пр.взв!$D$6:$J$71,6,0)))</f>
        <v/>
      </c>
      <c r="AL20" s="210" t="str">
        <f ca="1">IF($AH20=0,"",(VLOOKUP($AH20,Пр.взв!$D$6:$M$71,8,0)))</f>
        <v/>
      </c>
      <c r="AM20" s="212"/>
      <c r="AN20" s="212"/>
      <c r="AO20" s="212"/>
      <c r="AP20" s="213"/>
    </row>
    <row r="21" spans="1:42" ht="27.75" customHeight="1">
      <c r="A21" s="252">
        <v>17</v>
      </c>
      <c r="B21" s="240">
        <f t="shared" ca="1" si="0"/>
        <v>1.5</v>
      </c>
      <c r="C21" s="244"/>
      <c r="D21" s="205" t="str">
        <f>IF(C21=0,"",(VLOOKUP($C21,Пр.взв!$D$6:$J$76,2,0)))</f>
        <v/>
      </c>
      <c r="E21" s="205" t="str">
        <f>IF(C21=0,"",(VLOOKUP($C21,Пр.взв!$D$6:$J$76,5,0)))</f>
        <v/>
      </c>
      <c r="F21" s="205" t="str">
        <f>IF(C21=0,"",(VLOOKUP($C21,Пр.взв!$D$6:$M$76,6,0)))</f>
        <v/>
      </c>
      <c r="G21" s="205" t="str">
        <f>IF(C21=0,"",(VLOOKUP($C21,Пр.взв!$D$6:$M$76,8,0)))</f>
        <v/>
      </c>
      <c r="H21" s="207" t="str">
        <f>IF(C21=0,"", IF(C22=0,"СВОБОДЕН",""))</f>
        <v/>
      </c>
      <c r="I21" s="207"/>
      <c r="J21" s="207"/>
      <c r="K21" s="208"/>
      <c r="L21" s="252"/>
      <c r="M21" s="252">
        <f ca="1">IFERROR(__xludf.DUMMYFUNCTION("""COMPUTED_VALUE"""),1.5)</f>
        <v>1.5</v>
      </c>
      <c r="N21" s="244"/>
      <c r="O21" s="205" t="str">
        <f ca="1">IFERROR(__xludf.DUMMYFUNCTION("""COMPUTED_VALUE"""),"")</f>
        <v/>
      </c>
      <c r="P21" s="205" t="str">
        <f ca="1">IFERROR(__xludf.DUMMYFUNCTION("""COMPUTED_VALUE"""),"")</f>
        <v/>
      </c>
      <c r="Q21" s="205" t="str">
        <f ca="1">IFERROR(__xludf.DUMMYFUNCTION("""COMPUTED_VALUE"""),"")</f>
        <v/>
      </c>
      <c r="R21" s="205" t="str">
        <f ca="1">IFERROR(__xludf.DUMMYFUNCTION("""COMPUTED_VALUE"""),"")</f>
        <v/>
      </c>
      <c r="S21" s="207" t="str">
        <f ca="1">IFERROR(__xludf.DUMMYFUNCTION("""COMPUTED_VALUE"""),"")</f>
        <v/>
      </c>
      <c r="T21" s="207"/>
      <c r="U21" s="207"/>
      <c r="V21" s="208"/>
      <c r="W21" s="247"/>
      <c r="X21" s="244"/>
      <c r="Y21" s="205"/>
      <c r="Z21" s="205"/>
      <c r="AA21" s="205"/>
      <c r="AB21" s="205"/>
      <c r="AC21" s="207"/>
      <c r="AD21" s="207"/>
      <c r="AE21" s="207"/>
      <c r="AF21" s="208"/>
      <c r="AG21" s="247"/>
      <c r="AH21" s="244"/>
      <c r="AI21" s="205" t="str">
        <f>IF($AH21=0,"",(VLOOKUP($AH21,Пр.взв!$D$6:$J$71,2,0)))</f>
        <v/>
      </c>
      <c r="AJ21" s="205" t="str">
        <f>IF($AH21=0,"",(VLOOKUP($AH21,Пр.взв!$D$6:$J$71,5,0)))</f>
        <v/>
      </c>
      <c r="AK21" s="205" t="str">
        <f>IF($AH21=0,"",(VLOOKUP($AH21,Пр.взв!$D$6:$J$71,6,0)))</f>
        <v/>
      </c>
      <c r="AL21" s="205" t="str">
        <f>IF($AH21=0,"",(VLOOKUP($AH21,Пр.взв!$D$6:$M$71,8,0)))</f>
        <v/>
      </c>
      <c r="AM21" s="207" t="str">
        <f>IF(AH21=0,"", IF(AH22=0,"СВОБОДЕН",""))</f>
        <v/>
      </c>
      <c r="AN21" s="207"/>
      <c r="AO21" s="207"/>
      <c r="AP21" s="208"/>
    </row>
    <row r="22" spans="1:42" ht="27.75" customHeight="1">
      <c r="A22" s="252">
        <v>18</v>
      </c>
      <c r="B22" s="240">
        <f t="shared" ca="1" si="0"/>
        <v>1.5</v>
      </c>
      <c r="C22" s="248"/>
      <c r="D22" s="210" t="str">
        <f>IF(C22=0,"",(VLOOKUP($C22,Пр.взв!$D$6:$J$76,2,0)))</f>
        <v/>
      </c>
      <c r="E22" s="210" t="str">
        <f>IF(C22=0,"",(VLOOKUP($C22,Пр.взв!$D$6:$J$76,5,0)))</f>
        <v/>
      </c>
      <c r="F22" s="210" t="str">
        <f>IF(C22=0,"",(VLOOKUP($C22,Пр.взв!$D$6:$M$76,6,0)))</f>
        <v/>
      </c>
      <c r="G22" s="210" t="str">
        <f>IF(C22=0,"",(VLOOKUP($C22,Пр.взв!$D$6:$M$76,8,0)))</f>
        <v/>
      </c>
      <c r="H22" s="212"/>
      <c r="I22" s="212"/>
      <c r="J22" s="212"/>
      <c r="K22" s="213"/>
      <c r="L22" s="252"/>
      <c r="M22" s="252">
        <f ca="1">IFERROR(__xludf.DUMMYFUNCTION("""COMPUTED_VALUE"""),1.5)</f>
        <v>1.5</v>
      </c>
      <c r="N22" s="248"/>
      <c r="O22" s="210" t="str">
        <f ca="1">IFERROR(__xludf.DUMMYFUNCTION("""COMPUTED_VALUE"""),"")</f>
        <v/>
      </c>
      <c r="P22" s="210" t="str">
        <f ca="1">IFERROR(__xludf.DUMMYFUNCTION("""COMPUTED_VALUE"""),"")</f>
        <v/>
      </c>
      <c r="Q22" s="210" t="str">
        <f ca="1">IFERROR(__xludf.DUMMYFUNCTION("""COMPUTED_VALUE"""),"")</f>
        <v/>
      </c>
      <c r="R22" s="210" t="str">
        <f ca="1">IFERROR(__xludf.DUMMYFUNCTION("""COMPUTED_VALUE"""),"")</f>
        <v/>
      </c>
      <c r="S22" s="212"/>
      <c r="T22" s="212"/>
      <c r="U22" s="212"/>
      <c r="V22" s="213"/>
      <c r="W22" s="247"/>
      <c r="X22" s="248"/>
      <c r="Y22" s="210"/>
      <c r="Z22" s="210"/>
      <c r="AA22" s="210"/>
      <c r="AB22" s="210"/>
      <c r="AC22" s="212"/>
      <c r="AD22" s="212"/>
      <c r="AE22" s="212"/>
      <c r="AF22" s="213"/>
      <c r="AG22" s="247"/>
      <c r="AH22" s="248"/>
      <c r="AI22" s="210" t="str">
        <f>IF($AH22=0,"",(VLOOKUP($AH22,Пр.взв!$D$6:$J$71,2,0)))</f>
        <v/>
      </c>
      <c r="AJ22" s="210" t="str">
        <f>IF($AH22=0,"",(VLOOKUP($AH22,Пр.взв!$D$6:$J$71,5,0)))</f>
        <v/>
      </c>
      <c r="AK22" s="210" t="str">
        <f>IF($AH22=0,"",(VLOOKUP($AH22,Пр.взв!$D$6:$J$71,6,0)))</f>
        <v/>
      </c>
      <c r="AL22" s="210" t="str">
        <f>IF($AH22=0,"",(VLOOKUP($AH22,Пр.взв!$D$6:$M$71,8,0)))</f>
        <v/>
      </c>
      <c r="AM22" s="212"/>
      <c r="AN22" s="212"/>
      <c r="AO22" s="212"/>
      <c r="AP22" s="213"/>
    </row>
    <row r="23" spans="1:42" ht="27.75" customHeight="1">
      <c r="A23" s="252">
        <v>19</v>
      </c>
      <c r="B23" s="240">
        <f t="shared" ca="1" si="0"/>
        <v>1.5</v>
      </c>
      <c r="C23" s="244"/>
      <c r="D23" s="205" t="str">
        <f>IF(C23=0,"",(VLOOKUP($C23,Пр.взв!$D$6:$J$76,2,0)))</f>
        <v/>
      </c>
      <c r="E23" s="205" t="str">
        <f>IF(C23=0,"",(VLOOKUP($C23,Пр.взв!$D$6:$J$76,5,0)))</f>
        <v/>
      </c>
      <c r="F23" s="205" t="str">
        <f>IF(C23=0,"",(VLOOKUP($C23,Пр.взв!$D$6:$M$76,6,0)))</f>
        <v/>
      </c>
      <c r="G23" s="205" t="str">
        <f>IF(C23=0,"",(VLOOKUP($C23,Пр.взв!$D$6:$M$76,8,0)))</f>
        <v/>
      </c>
      <c r="H23" s="207" t="str">
        <f>IF(C23=0,"", IF(C24=0,"СВОБОДЕН",""))</f>
        <v/>
      </c>
      <c r="I23" s="207"/>
      <c r="J23" s="207"/>
      <c r="K23" s="208"/>
      <c r="L23" s="252"/>
      <c r="M23" s="252">
        <f ca="1">IFERROR(__xludf.DUMMYFUNCTION("""COMPUTED_VALUE"""),1.5)</f>
        <v>1.5</v>
      </c>
      <c r="N23" s="244"/>
      <c r="O23" s="205" t="str">
        <f ca="1">IFERROR(__xludf.DUMMYFUNCTION("""COMPUTED_VALUE"""),"")</f>
        <v/>
      </c>
      <c r="P23" s="205" t="str">
        <f ca="1">IFERROR(__xludf.DUMMYFUNCTION("""COMPUTED_VALUE"""),"")</f>
        <v/>
      </c>
      <c r="Q23" s="205" t="str">
        <f ca="1">IFERROR(__xludf.DUMMYFUNCTION("""COMPUTED_VALUE"""),"")</f>
        <v/>
      </c>
      <c r="R23" s="205" t="str">
        <f ca="1">IFERROR(__xludf.DUMMYFUNCTION("""COMPUTED_VALUE"""),"")</f>
        <v/>
      </c>
      <c r="S23" s="207" t="str">
        <f ca="1">IFERROR(__xludf.DUMMYFUNCTION("""COMPUTED_VALUE"""),"")</f>
        <v/>
      </c>
      <c r="T23" s="207"/>
      <c r="U23" s="207"/>
      <c r="V23" s="208"/>
      <c r="W23" s="247"/>
      <c r="X23" s="244"/>
      <c r="Y23" s="205"/>
      <c r="Z23" s="205"/>
      <c r="AA23" s="205"/>
      <c r="AB23" s="205"/>
      <c r="AC23" s="207"/>
      <c r="AD23" s="207"/>
      <c r="AE23" s="207"/>
      <c r="AF23" s="208"/>
      <c r="AG23" s="247"/>
      <c r="AH23" s="244"/>
      <c r="AI23" s="205" t="str">
        <f>IF($AH23=0,"",(VLOOKUP($AH23,Пр.взв!$D$6:$J$71,2,0)))</f>
        <v/>
      </c>
      <c r="AJ23" s="205" t="str">
        <f>IF($AH23=0,"",(VLOOKUP($AH23,Пр.взв!$D$6:$J$71,5,0)))</f>
        <v/>
      </c>
      <c r="AK23" s="205" t="str">
        <f>IF($AH23=0,"",(VLOOKUP($AH23,Пр.взв!$D$6:$J$71,6,0)))</f>
        <v/>
      </c>
      <c r="AL23" s="205" t="str">
        <f>IF($AH23=0,"",(VLOOKUP($AH23,Пр.взв!$D$6:$M$71,8,0)))</f>
        <v/>
      </c>
      <c r="AM23" s="207" t="str">
        <f>IF(AH23=0,"", IF(AH24=0,"СВОБОДЕН",""))</f>
        <v/>
      </c>
      <c r="AN23" s="207"/>
      <c r="AO23" s="207"/>
      <c r="AP23" s="208"/>
    </row>
    <row r="24" spans="1:42" ht="27.75" customHeight="1">
      <c r="A24" s="252">
        <v>20</v>
      </c>
      <c r="B24" s="240">
        <f t="shared" ca="1" si="0"/>
        <v>1.5</v>
      </c>
      <c r="C24" s="248"/>
      <c r="D24" s="210" t="str">
        <f>IF(C24=0,"",(VLOOKUP($C24,Пр.взв!$D$6:$J$76,2,0)))</f>
        <v/>
      </c>
      <c r="E24" s="210" t="str">
        <f>IF(C24=0,"",(VLOOKUP($C24,Пр.взв!$D$6:$J$76,5,0)))</f>
        <v/>
      </c>
      <c r="F24" s="210" t="str">
        <f>IF(C24=0,"",(VLOOKUP($C24,Пр.взв!$D$6:$M$76,6,0)))</f>
        <v/>
      </c>
      <c r="G24" s="210" t="str">
        <f>IF(C24=0,"",(VLOOKUP($C24,Пр.взв!$D$6:$M$76,8,0)))</f>
        <v/>
      </c>
      <c r="H24" s="212"/>
      <c r="I24" s="212"/>
      <c r="J24" s="212"/>
      <c r="K24" s="213"/>
      <c r="L24" s="252"/>
      <c r="M24" s="252">
        <f ca="1">IFERROR(__xludf.DUMMYFUNCTION("""COMPUTED_VALUE"""),1.5)</f>
        <v>1.5</v>
      </c>
      <c r="N24" s="248"/>
      <c r="O24" s="210" t="str">
        <f ca="1">IFERROR(__xludf.DUMMYFUNCTION("""COMPUTED_VALUE"""),"")</f>
        <v/>
      </c>
      <c r="P24" s="210" t="str">
        <f ca="1">IFERROR(__xludf.DUMMYFUNCTION("""COMPUTED_VALUE"""),"")</f>
        <v/>
      </c>
      <c r="Q24" s="210" t="str">
        <f ca="1">IFERROR(__xludf.DUMMYFUNCTION("""COMPUTED_VALUE"""),"")</f>
        <v/>
      </c>
      <c r="R24" s="210" t="str">
        <f ca="1">IFERROR(__xludf.DUMMYFUNCTION("""COMPUTED_VALUE"""),"")</f>
        <v/>
      </c>
      <c r="S24" s="212"/>
      <c r="T24" s="212"/>
      <c r="U24" s="212"/>
      <c r="V24" s="213"/>
      <c r="W24" s="247"/>
      <c r="X24" s="248"/>
      <c r="Y24" s="210"/>
      <c r="Z24" s="210"/>
      <c r="AA24" s="210"/>
      <c r="AB24" s="210"/>
      <c r="AC24" s="212"/>
      <c r="AD24" s="212"/>
      <c r="AE24" s="212"/>
      <c r="AF24" s="213"/>
      <c r="AG24" s="247"/>
      <c r="AH24" s="248"/>
      <c r="AI24" s="210" t="str">
        <f>IF($AH24=0,"",(VLOOKUP($AH24,Пр.взв!$D$6:$J$71,2,0)))</f>
        <v/>
      </c>
      <c r="AJ24" s="210" t="str">
        <f>IF($AH24=0,"",(VLOOKUP($AH24,Пр.взв!$D$6:$J$71,5,0)))</f>
        <v/>
      </c>
      <c r="AK24" s="210" t="str">
        <f>IF($AH24=0,"",(VLOOKUP($AH24,Пр.взв!$D$6:$J$71,6,0)))</f>
        <v/>
      </c>
      <c r="AL24" s="210" t="str">
        <f>IF($AH24=0,"",(VLOOKUP($AH24,Пр.взв!$D$6:$M$71,8,0)))</f>
        <v/>
      </c>
      <c r="AM24" s="212"/>
      <c r="AN24" s="212"/>
      <c r="AO24" s="212"/>
      <c r="AP24" s="213"/>
    </row>
    <row r="25" spans="1:42" ht="27.75" customHeight="1">
      <c r="A25" s="252">
        <v>21</v>
      </c>
      <c r="B25" s="240">
        <f t="shared" ca="1" si="0"/>
        <v>1.5</v>
      </c>
      <c r="C25" s="244"/>
      <c r="D25" s="205" t="str">
        <f>IF(C25=0,"",(VLOOKUP($C25,Пр.взв!$D$6:$J$76,2,0)))</f>
        <v/>
      </c>
      <c r="E25" s="205" t="str">
        <f>IF(C25=0,"",(VLOOKUP($C25,Пр.взв!$D$6:$J$76,5,0)))</f>
        <v/>
      </c>
      <c r="F25" s="205" t="str">
        <f>IF(C25=0,"",(VLOOKUP($C25,Пр.взв!$D$6:$M$76,6,0)))</f>
        <v/>
      </c>
      <c r="G25" s="205" t="str">
        <f>IF(C25=0,"",(VLOOKUP($C25,Пр.взв!$D$6:$M$76,8,0)))</f>
        <v/>
      </c>
      <c r="H25" s="207" t="str">
        <f>IF(C25=0,"", IF(C26=0,"СВОБОДЕН",""))</f>
        <v/>
      </c>
      <c r="I25" s="207"/>
      <c r="J25" s="207"/>
      <c r="K25" s="208"/>
      <c r="L25" s="252"/>
      <c r="M25" s="252">
        <f ca="1">IFERROR(__xludf.DUMMYFUNCTION("""COMPUTED_VALUE"""),1.5)</f>
        <v>1.5</v>
      </c>
      <c r="N25" s="244"/>
      <c r="O25" s="205" t="str">
        <f ca="1">IFERROR(__xludf.DUMMYFUNCTION("""COMPUTED_VALUE"""),"")</f>
        <v/>
      </c>
      <c r="P25" s="205" t="str">
        <f ca="1">IFERROR(__xludf.DUMMYFUNCTION("""COMPUTED_VALUE"""),"")</f>
        <v/>
      </c>
      <c r="Q25" s="205" t="str">
        <f ca="1">IFERROR(__xludf.DUMMYFUNCTION("""COMPUTED_VALUE"""),"")</f>
        <v/>
      </c>
      <c r="R25" s="205" t="str">
        <f ca="1">IFERROR(__xludf.DUMMYFUNCTION("""COMPUTED_VALUE"""),"")</f>
        <v/>
      </c>
      <c r="S25" s="207" t="str">
        <f ca="1">IFERROR(__xludf.DUMMYFUNCTION("""COMPUTED_VALUE"""),"")</f>
        <v/>
      </c>
      <c r="T25" s="207"/>
      <c r="U25" s="207"/>
      <c r="V25" s="208"/>
      <c r="W25" s="247"/>
      <c r="X25" s="244"/>
      <c r="Y25" s="205"/>
      <c r="Z25" s="205"/>
      <c r="AA25" s="205"/>
      <c r="AB25" s="205"/>
      <c r="AC25" s="207"/>
      <c r="AD25" s="207"/>
      <c r="AE25" s="207"/>
      <c r="AF25" s="208"/>
      <c r="AG25" s="247"/>
      <c r="AH25" s="244"/>
      <c r="AI25" s="205" t="str">
        <f>IF($AH25=0,"",(VLOOKUP($AH25,Пр.взв!$D$6:$J$71,2,0)))</f>
        <v/>
      </c>
      <c r="AJ25" s="205" t="str">
        <f>IF($AH25=0,"",(VLOOKUP($AH25,Пр.взв!$D$6:$J$71,5,0)))</f>
        <v/>
      </c>
      <c r="AK25" s="205" t="str">
        <f>IF($AH25=0,"",(VLOOKUP($AH25,Пр.взв!$D$6:$J$71,6,0)))</f>
        <v/>
      </c>
      <c r="AL25" s="205" t="str">
        <f>IF($AH25=0,"",(VLOOKUP($AH25,Пр.взв!$D$6:$M$71,8,0)))</f>
        <v/>
      </c>
      <c r="AM25" s="207" t="str">
        <f>IF(AH25=0,"", IF(AH26=0,"СВОБОДЕН",""))</f>
        <v/>
      </c>
      <c r="AN25" s="207"/>
      <c r="AO25" s="207"/>
      <c r="AP25" s="208"/>
    </row>
    <row r="26" spans="1:42" ht="27.75" customHeight="1">
      <c r="A26" s="252">
        <v>22</v>
      </c>
      <c r="B26" s="240">
        <f t="shared" ca="1" si="0"/>
        <v>1.5</v>
      </c>
      <c r="C26" s="248"/>
      <c r="D26" s="210" t="str">
        <f>IF(C26=0,"",(VLOOKUP($C26,Пр.взв!$D$6:$J$76,2,0)))</f>
        <v/>
      </c>
      <c r="E26" s="210" t="str">
        <f>IF(C26=0,"",(VLOOKUP($C26,Пр.взв!$D$6:$J$76,5,0)))</f>
        <v/>
      </c>
      <c r="F26" s="210" t="str">
        <f>IF(C26=0,"",(VLOOKUP($C26,Пр.взв!$D$6:$M$76,6,0)))</f>
        <v/>
      </c>
      <c r="G26" s="210" t="str">
        <f>IF(C26=0,"",(VLOOKUP($C26,Пр.взв!$D$6:$M$76,8,0)))</f>
        <v/>
      </c>
      <c r="H26" s="212"/>
      <c r="I26" s="212"/>
      <c r="J26" s="212"/>
      <c r="K26" s="213"/>
      <c r="L26" s="252"/>
      <c r="M26" s="252">
        <f ca="1">IFERROR(__xludf.DUMMYFUNCTION("""COMPUTED_VALUE"""),1.5)</f>
        <v>1.5</v>
      </c>
      <c r="N26" s="248"/>
      <c r="O26" s="210" t="str">
        <f ca="1">IFERROR(__xludf.DUMMYFUNCTION("""COMPUTED_VALUE"""),"")</f>
        <v/>
      </c>
      <c r="P26" s="210" t="str">
        <f ca="1">IFERROR(__xludf.DUMMYFUNCTION("""COMPUTED_VALUE"""),"")</f>
        <v/>
      </c>
      <c r="Q26" s="210" t="str">
        <f ca="1">IFERROR(__xludf.DUMMYFUNCTION("""COMPUTED_VALUE"""),"")</f>
        <v/>
      </c>
      <c r="R26" s="210" t="str">
        <f ca="1">IFERROR(__xludf.DUMMYFUNCTION("""COMPUTED_VALUE"""),"")</f>
        <v/>
      </c>
      <c r="S26" s="212"/>
      <c r="T26" s="212"/>
      <c r="U26" s="212"/>
      <c r="V26" s="213"/>
      <c r="W26" s="247"/>
      <c r="X26" s="248"/>
      <c r="Y26" s="210"/>
      <c r="Z26" s="210"/>
      <c r="AA26" s="210"/>
      <c r="AB26" s="210"/>
      <c r="AC26" s="212"/>
      <c r="AD26" s="212"/>
      <c r="AE26" s="212"/>
      <c r="AF26" s="213"/>
      <c r="AG26" s="247"/>
      <c r="AH26" s="248"/>
      <c r="AI26" s="210" t="str">
        <f>IF($AH26=0,"",(VLOOKUP($AH26,Пр.взв!$D$6:$J$71,2,0)))</f>
        <v/>
      </c>
      <c r="AJ26" s="210" t="str">
        <f>IF($AH26=0,"",(VLOOKUP($AH26,Пр.взв!$D$6:$J$71,5,0)))</f>
        <v/>
      </c>
      <c r="AK26" s="210" t="str">
        <f>IF($AH26=0,"",(VLOOKUP($AH26,Пр.взв!$D$6:$J$71,6,0)))</f>
        <v/>
      </c>
      <c r="AL26" s="210" t="str">
        <f>IF($AH26=0,"",(VLOOKUP($AH26,Пр.взв!$D$6:$M$71,8,0)))</f>
        <v/>
      </c>
      <c r="AM26" s="212"/>
      <c r="AN26" s="212"/>
      <c r="AO26" s="212"/>
      <c r="AP26" s="213"/>
    </row>
    <row r="27" spans="1:42" ht="27.75" customHeight="1">
      <c r="A27" s="252">
        <v>23</v>
      </c>
      <c r="B27" s="240">
        <f t="shared" ca="1" si="0"/>
        <v>1.5</v>
      </c>
      <c r="C27" s="244"/>
      <c r="D27" s="205" t="str">
        <f>IF(C27=0,"",(VLOOKUP($C27,Пр.взв!$D$6:$J$76,2,0)))</f>
        <v/>
      </c>
      <c r="E27" s="205" t="str">
        <f>IF(C27=0,"",(VLOOKUP($C27,Пр.взв!$D$6:$J$76,5,0)))</f>
        <v/>
      </c>
      <c r="F27" s="205" t="str">
        <f>IF(C27=0,"",(VLOOKUP($C27,Пр.взв!$D$6:$M$76,6,0)))</f>
        <v/>
      </c>
      <c r="G27" s="205" t="str">
        <f>IF(C27=0,"",(VLOOKUP($C27,Пр.взв!$D$6:$M$76,8,0)))</f>
        <v/>
      </c>
      <c r="H27" s="207" t="str">
        <f>IF(C27=0,"", IF(C28=0,"СВОБОДЕН",""))</f>
        <v/>
      </c>
      <c r="I27" s="207"/>
      <c r="J27" s="207"/>
      <c r="K27" s="208"/>
      <c r="L27" s="252"/>
      <c r="M27" s="252">
        <f ca="1">IFERROR(__xludf.DUMMYFUNCTION("""COMPUTED_VALUE"""),1.5)</f>
        <v>1.5</v>
      </c>
      <c r="N27" s="244"/>
      <c r="O27" s="205" t="str">
        <f ca="1">IFERROR(__xludf.DUMMYFUNCTION("""COMPUTED_VALUE"""),"")</f>
        <v/>
      </c>
      <c r="P27" s="205" t="str">
        <f ca="1">IFERROR(__xludf.DUMMYFUNCTION("""COMPUTED_VALUE"""),"")</f>
        <v/>
      </c>
      <c r="Q27" s="205" t="str">
        <f ca="1">IFERROR(__xludf.DUMMYFUNCTION("""COMPUTED_VALUE"""),"")</f>
        <v/>
      </c>
      <c r="R27" s="205" t="str">
        <f ca="1">IFERROR(__xludf.DUMMYFUNCTION("""COMPUTED_VALUE"""),"")</f>
        <v/>
      </c>
      <c r="S27" s="207" t="str">
        <f ca="1">IFERROR(__xludf.DUMMYFUNCTION("""COMPUTED_VALUE"""),"")</f>
        <v/>
      </c>
      <c r="T27" s="207"/>
      <c r="U27" s="207"/>
      <c r="V27" s="208"/>
      <c r="W27" s="247"/>
      <c r="X27" s="244"/>
      <c r="Y27" s="205"/>
      <c r="Z27" s="205"/>
      <c r="AA27" s="205"/>
      <c r="AB27" s="205"/>
      <c r="AC27" s="207"/>
      <c r="AD27" s="207"/>
      <c r="AE27" s="207"/>
      <c r="AF27" s="208"/>
      <c r="AG27" s="247"/>
      <c r="AH27" s="244"/>
      <c r="AI27" s="205" t="str">
        <f>IF($AH27=0,"",(VLOOKUP($AH27,Пр.взв!$D$6:$J$71,2,0)))</f>
        <v/>
      </c>
      <c r="AJ27" s="205" t="str">
        <f>IF($AH27=0,"",(VLOOKUP($AH27,Пр.взв!$D$6:$J$71,5,0)))</f>
        <v/>
      </c>
      <c r="AK27" s="205" t="str">
        <f>IF($AH27=0,"",(VLOOKUP($AH27,Пр.взв!$D$6:$J$71,6,0)))</f>
        <v/>
      </c>
      <c r="AL27" s="205" t="str">
        <f>IF($AH27=0,"",(VLOOKUP($AH27,Пр.взв!$D$6:$M$71,8,0)))</f>
        <v/>
      </c>
      <c r="AM27" s="207" t="str">
        <f>IF(AH27=0,"", IF(AH28=0,"СВОБОДЕН",""))</f>
        <v/>
      </c>
      <c r="AN27" s="207"/>
      <c r="AO27" s="207"/>
      <c r="AP27" s="208"/>
    </row>
    <row r="28" spans="1:42" ht="27.75" customHeight="1">
      <c r="A28" s="252">
        <v>24</v>
      </c>
      <c r="B28" s="240">
        <f t="shared" ca="1" si="0"/>
        <v>1.5</v>
      </c>
      <c r="C28" s="248"/>
      <c r="D28" s="210" t="str">
        <f>IF(C28=0,"",(VLOOKUP($C28,Пр.взв!$D$6:$J$76,2,0)))</f>
        <v/>
      </c>
      <c r="E28" s="210" t="str">
        <f>IF(C28=0,"",(VLOOKUP($C28,Пр.взв!$D$6:$J$76,5,0)))</f>
        <v/>
      </c>
      <c r="F28" s="210" t="str">
        <f>IF(C28=0,"",(VLOOKUP($C28,Пр.взв!$D$6:$M$76,6,0)))</f>
        <v/>
      </c>
      <c r="G28" s="210" t="str">
        <f>IF(C28=0,"",(VLOOKUP($C28,Пр.взв!$D$6:$M$76,8,0)))</f>
        <v/>
      </c>
      <c r="H28" s="212"/>
      <c r="I28" s="212"/>
      <c r="J28" s="212"/>
      <c r="K28" s="213"/>
      <c r="L28" s="252"/>
      <c r="M28" s="252">
        <f ca="1">IFERROR(__xludf.DUMMYFUNCTION("""COMPUTED_VALUE"""),1.5)</f>
        <v>1.5</v>
      </c>
      <c r="N28" s="248"/>
      <c r="O28" s="210" t="str">
        <f ca="1">IFERROR(__xludf.DUMMYFUNCTION("""COMPUTED_VALUE"""),"")</f>
        <v/>
      </c>
      <c r="P28" s="210" t="str">
        <f ca="1">IFERROR(__xludf.DUMMYFUNCTION("""COMPUTED_VALUE"""),"")</f>
        <v/>
      </c>
      <c r="Q28" s="210" t="str">
        <f ca="1">IFERROR(__xludf.DUMMYFUNCTION("""COMPUTED_VALUE"""),"")</f>
        <v/>
      </c>
      <c r="R28" s="210" t="str">
        <f ca="1">IFERROR(__xludf.DUMMYFUNCTION("""COMPUTED_VALUE"""),"")</f>
        <v/>
      </c>
      <c r="S28" s="212"/>
      <c r="T28" s="212"/>
      <c r="U28" s="212"/>
      <c r="V28" s="213"/>
      <c r="W28" s="247"/>
      <c r="X28" s="248"/>
      <c r="Y28" s="210"/>
      <c r="Z28" s="210"/>
      <c r="AA28" s="210"/>
      <c r="AB28" s="210"/>
      <c r="AC28" s="212"/>
      <c r="AD28" s="212"/>
      <c r="AE28" s="212"/>
      <c r="AF28" s="213"/>
      <c r="AG28" s="247"/>
      <c r="AH28" s="248"/>
      <c r="AI28" s="210" t="str">
        <f>IF($AH28=0,"",(VLOOKUP($AH28,Пр.взв!$D$6:$J$71,2,0)))</f>
        <v/>
      </c>
      <c r="AJ28" s="210" t="str">
        <f>IF($AH28=0,"",(VLOOKUP($AH28,Пр.взв!$D$6:$J$71,5,0)))</f>
        <v/>
      </c>
      <c r="AK28" s="210" t="str">
        <f>IF($AH28=0,"",(VLOOKUP($AH28,Пр.взв!$D$6:$J$71,6,0)))</f>
        <v/>
      </c>
      <c r="AL28" s="210" t="str">
        <f>IF($AH28=0,"",(VLOOKUP($AH28,Пр.взв!$D$6:$M$71,8,0)))</f>
        <v/>
      </c>
      <c r="AM28" s="212"/>
      <c r="AN28" s="212"/>
      <c r="AO28" s="212"/>
      <c r="AP28" s="213"/>
    </row>
    <row r="29" spans="1:42" ht="27.75" customHeight="1">
      <c r="A29" s="252">
        <v>25</v>
      </c>
      <c r="B29" s="240">
        <f t="shared" ca="1" si="0"/>
        <v>1.5</v>
      </c>
      <c r="C29" s="244"/>
      <c r="D29" s="205" t="str">
        <f>IF(C29=0,"",(VLOOKUP($C29,Пр.взв!$D$6:$J$76,2,0)))</f>
        <v/>
      </c>
      <c r="E29" s="205" t="str">
        <f>IF(C29=0,"",(VLOOKUP($C29,Пр.взв!$D$6:$J$76,5,0)))</f>
        <v/>
      </c>
      <c r="F29" s="205" t="str">
        <f>IF(C29=0,"",(VLOOKUP($C29,Пр.взв!$D$6:$M$76,6,0)))</f>
        <v/>
      </c>
      <c r="G29" s="205" t="str">
        <f>IF(C29=0,"",(VLOOKUP($C29,Пр.взв!$D$6:$M$76,8,0)))</f>
        <v/>
      </c>
      <c r="H29" s="207" t="str">
        <f>IF(C29=0,"", IF(C30=0,"СВОБОДЕН",""))</f>
        <v/>
      </c>
      <c r="I29" s="207"/>
      <c r="J29" s="207"/>
      <c r="K29" s="208"/>
      <c r="L29" s="252"/>
      <c r="M29" s="252">
        <f ca="1">IFERROR(__xludf.DUMMYFUNCTION("""COMPUTED_VALUE"""),1.5)</f>
        <v>1.5</v>
      </c>
      <c r="N29" s="244"/>
      <c r="O29" s="205" t="str">
        <f ca="1">IFERROR(__xludf.DUMMYFUNCTION("""COMPUTED_VALUE"""),"")</f>
        <v/>
      </c>
      <c r="P29" s="205" t="str">
        <f ca="1">IFERROR(__xludf.DUMMYFUNCTION("""COMPUTED_VALUE"""),"")</f>
        <v/>
      </c>
      <c r="Q29" s="205" t="str">
        <f ca="1">IFERROR(__xludf.DUMMYFUNCTION("""COMPUTED_VALUE"""),"")</f>
        <v/>
      </c>
      <c r="R29" s="205" t="str">
        <f ca="1">IFERROR(__xludf.DUMMYFUNCTION("""COMPUTED_VALUE"""),"")</f>
        <v/>
      </c>
      <c r="S29" s="207" t="str">
        <f ca="1">IFERROR(__xludf.DUMMYFUNCTION("""COMPUTED_VALUE"""),"")</f>
        <v/>
      </c>
      <c r="T29" s="207"/>
      <c r="U29" s="207"/>
      <c r="V29" s="208"/>
      <c r="W29" s="247"/>
      <c r="X29" s="244"/>
      <c r="Y29" s="205"/>
      <c r="Z29" s="205"/>
      <c r="AA29" s="205"/>
      <c r="AB29" s="205"/>
      <c r="AC29" s="207"/>
      <c r="AD29" s="207"/>
      <c r="AE29" s="207"/>
      <c r="AF29" s="208"/>
      <c r="AG29" s="247"/>
      <c r="AH29" s="244"/>
      <c r="AI29" s="205" t="str">
        <f>IF($AH29=0,"",(VLOOKUP($AH29,Пр.взв!$D$6:$J$71,2,0)))</f>
        <v/>
      </c>
      <c r="AJ29" s="205" t="str">
        <f>IF($AH29=0,"",(VLOOKUP($AH29,Пр.взв!$D$6:$J$71,5,0)))</f>
        <v/>
      </c>
      <c r="AK29" s="205" t="str">
        <f>IF($AH29=0,"",(VLOOKUP($AH29,Пр.взв!$D$6:$J$71,6,0)))</f>
        <v/>
      </c>
      <c r="AL29" s="205" t="str">
        <f>IF($AH29=0,"",(VLOOKUP($AH29,Пр.взв!$D$6:$M$71,8,0)))</f>
        <v/>
      </c>
      <c r="AM29" s="207" t="str">
        <f>IF(AH29=0,"", IF(AH30=0,"СВОБОДЕН",""))</f>
        <v/>
      </c>
      <c r="AN29" s="207"/>
      <c r="AO29" s="207"/>
      <c r="AP29" s="208"/>
    </row>
    <row r="30" spans="1:42" ht="27.75" customHeight="1">
      <c r="A30" s="252">
        <v>26</v>
      </c>
      <c r="B30" s="240">
        <f t="shared" ca="1" si="0"/>
        <v>1.5</v>
      </c>
      <c r="C30" s="248"/>
      <c r="D30" s="210" t="str">
        <f>IF(C30=0,"",(VLOOKUP($C30,Пр.взв!$D$6:$J$76,2,0)))</f>
        <v/>
      </c>
      <c r="E30" s="210" t="str">
        <f>IF(C30=0,"",(VLOOKUP($C30,Пр.взв!$D$6:$J$76,5,0)))</f>
        <v/>
      </c>
      <c r="F30" s="210" t="str">
        <f>IF(C30=0,"",(VLOOKUP($C30,Пр.взв!$D$6:$M$76,6,0)))</f>
        <v/>
      </c>
      <c r="G30" s="210" t="str">
        <f>IF(C30=0,"",(VLOOKUP($C30,Пр.взв!$D$6:$M$76,8,0)))</f>
        <v/>
      </c>
      <c r="H30" s="212"/>
      <c r="I30" s="212"/>
      <c r="J30" s="212"/>
      <c r="K30" s="213"/>
      <c r="L30" s="252"/>
      <c r="M30" s="252">
        <f ca="1">IFERROR(__xludf.DUMMYFUNCTION("""COMPUTED_VALUE"""),1.5)</f>
        <v>1.5</v>
      </c>
      <c r="N30" s="248"/>
      <c r="O30" s="210" t="str">
        <f ca="1">IFERROR(__xludf.DUMMYFUNCTION("""COMPUTED_VALUE"""),"")</f>
        <v/>
      </c>
      <c r="P30" s="210" t="str">
        <f ca="1">IFERROR(__xludf.DUMMYFUNCTION("""COMPUTED_VALUE"""),"")</f>
        <v/>
      </c>
      <c r="Q30" s="210" t="str">
        <f ca="1">IFERROR(__xludf.DUMMYFUNCTION("""COMPUTED_VALUE"""),"")</f>
        <v/>
      </c>
      <c r="R30" s="210" t="str">
        <f ca="1">IFERROR(__xludf.DUMMYFUNCTION("""COMPUTED_VALUE"""),"")</f>
        <v/>
      </c>
      <c r="S30" s="212"/>
      <c r="T30" s="212"/>
      <c r="U30" s="212"/>
      <c r="V30" s="213"/>
      <c r="W30" s="247"/>
      <c r="X30" s="248"/>
      <c r="Y30" s="210"/>
      <c r="Z30" s="210"/>
      <c r="AA30" s="210"/>
      <c r="AB30" s="210"/>
      <c r="AC30" s="212"/>
      <c r="AD30" s="212"/>
      <c r="AE30" s="212"/>
      <c r="AF30" s="213"/>
      <c r="AG30" s="247"/>
      <c r="AH30" s="248"/>
      <c r="AI30" s="210" t="str">
        <f>IF($AH30=0,"",(VLOOKUP($AH30,Пр.взв!$D$6:$J$71,2,0)))</f>
        <v/>
      </c>
      <c r="AJ30" s="210" t="str">
        <f>IF($AH30=0,"",(VLOOKUP($AH30,Пр.взв!$D$6:$J$71,5,0)))</f>
        <v/>
      </c>
      <c r="AK30" s="210" t="str">
        <f>IF($AH30=0,"",(VLOOKUP($AH30,Пр.взв!$D$6:$J$71,6,0)))</f>
        <v/>
      </c>
      <c r="AL30" s="210" t="str">
        <f>IF($AH30=0,"",(VLOOKUP($AH30,Пр.взв!$D$6:$M$71,8,0)))</f>
        <v/>
      </c>
      <c r="AM30" s="212"/>
      <c r="AN30" s="212"/>
      <c r="AO30" s="212"/>
      <c r="AP30" s="213"/>
    </row>
    <row r="31" spans="1:42" ht="27.75" customHeight="1">
      <c r="A31" s="252">
        <v>27</v>
      </c>
      <c r="B31" s="240">
        <f t="shared" ca="1" si="0"/>
        <v>1.5</v>
      </c>
      <c r="C31" s="244"/>
      <c r="D31" s="205" t="str">
        <f>IF(C31=0,"",(VLOOKUP($C31,Пр.взв!$D$6:$J$76,2,0)))</f>
        <v/>
      </c>
      <c r="E31" s="205" t="str">
        <f>IF(C31=0,"",(VLOOKUP($C31,Пр.взв!$D$6:$J$76,5,0)))</f>
        <v/>
      </c>
      <c r="F31" s="205" t="str">
        <f>IF(C31=0,"",(VLOOKUP($C31,Пр.взв!$D$6:$M$76,6,0)))</f>
        <v/>
      </c>
      <c r="G31" s="205" t="str">
        <f>IF(C31=0,"",(VLOOKUP($C31,Пр.взв!$D$6:$M$76,8,0)))</f>
        <v/>
      </c>
      <c r="H31" s="207" t="str">
        <f>IF(C31=0,"", IF(C32=0,"СВОБОДЕН",""))</f>
        <v/>
      </c>
      <c r="I31" s="207"/>
      <c r="J31" s="207"/>
      <c r="K31" s="208"/>
      <c r="L31" s="252"/>
      <c r="M31" s="252">
        <f ca="1">IFERROR(__xludf.DUMMYFUNCTION("""COMPUTED_VALUE"""),1.5)</f>
        <v>1.5</v>
      </c>
      <c r="N31" s="244"/>
      <c r="O31" s="205" t="str">
        <f ca="1">IFERROR(__xludf.DUMMYFUNCTION("""COMPUTED_VALUE"""),"")</f>
        <v/>
      </c>
      <c r="P31" s="205" t="str">
        <f ca="1">IFERROR(__xludf.DUMMYFUNCTION("""COMPUTED_VALUE"""),"")</f>
        <v/>
      </c>
      <c r="Q31" s="205" t="str">
        <f ca="1">IFERROR(__xludf.DUMMYFUNCTION("""COMPUTED_VALUE"""),"")</f>
        <v/>
      </c>
      <c r="R31" s="205" t="str">
        <f ca="1">IFERROR(__xludf.DUMMYFUNCTION("""COMPUTED_VALUE"""),"")</f>
        <v/>
      </c>
      <c r="S31" s="207" t="str">
        <f ca="1">IFERROR(__xludf.DUMMYFUNCTION("""COMPUTED_VALUE"""),"")</f>
        <v/>
      </c>
      <c r="T31" s="207"/>
      <c r="U31" s="207"/>
      <c r="V31" s="208"/>
      <c r="W31" s="247"/>
      <c r="X31" s="244"/>
      <c r="Y31" s="205"/>
      <c r="Z31" s="205"/>
      <c r="AA31" s="205"/>
      <c r="AB31" s="205"/>
      <c r="AC31" s="207"/>
      <c r="AD31" s="207"/>
      <c r="AE31" s="207"/>
      <c r="AF31" s="208"/>
      <c r="AG31" s="247"/>
      <c r="AH31" s="244"/>
      <c r="AI31" s="205" t="str">
        <f>IF($AH31=0,"",(VLOOKUP($AH31,Пр.взв!$D$6:$J$71,2,0)))</f>
        <v/>
      </c>
      <c r="AJ31" s="205" t="str">
        <f>IF($AH31=0,"",(VLOOKUP($AH31,Пр.взв!$D$6:$J$71,5,0)))</f>
        <v/>
      </c>
      <c r="AK31" s="205" t="str">
        <f>IF($AH31=0,"",(VLOOKUP($AH31,Пр.взв!$D$6:$J$71,6,0)))</f>
        <v/>
      </c>
      <c r="AL31" s="205" t="str">
        <f>IF($AH31=0,"",(VLOOKUP($AH31,Пр.взв!$D$6:$M$71,8,0)))</f>
        <v/>
      </c>
      <c r="AM31" s="207" t="str">
        <f>IF(AH31=0,"", IF(AH32=0,"СВОБОДЕН",""))</f>
        <v/>
      </c>
      <c r="AN31" s="207"/>
      <c r="AO31" s="207"/>
      <c r="AP31" s="208"/>
    </row>
    <row r="32" spans="1:42" ht="27.75" customHeight="1">
      <c r="A32" s="252">
        <v>28</v>
      </c>
      <c r="B32" s="240">
        <f t="shared" ca="1" si="0"/>
        <v>1.5</v>
      </c>
      <c r="C32" s="248"/>
      <c r="D32" s="210" t="str">
        <f>IF(C32=0,"",(VLOOKUP($C32,Пр.взв!$D$6:$J$76,2,0)))</f>
        <v/>
      </c>
      <c r="E32" s="210" t="str">
        <f>IF(C32=0,"",(VLOOKUP($C32,Пр.взв!$D$6:$J$76,5,0)))</f>
        <v/>
      </c>
      <c r="F32" s="210" t="str">
        <f>IF(C32=0,"",(VLOOKUP($C32,Пр.взв!$D$6:$M$76,6,0)))</f>
        <v/>
      </c>
      <c r="G32" s="210" t="str">
        <f>IF(C32=0,"",(VLOOKUP($C32,Пр.взв!$D$6:$M$76,8,0)))</f>
        <v/>
      </c>
      <c r="H32" s="212"/>
      <c r="I32" s="212"/>
      <c r="J32" s="212"/>
      <c r="K32" s="213"/>
      <c r="L32" s="252"/>
      <c r="M32" s="252">
        <f ca="1">IFERROR(__xludf.DUMMYFUNCTION("""COMPUTED_VALUE"""),1.5)</f>
        <v>1.5</v>
      </c>
      <c r="N32" s="248"/>
      <c r="O32" s="210" t="str">
        <f ca="1">IFERROR(__xludf.DUMMYFUNCTION("""COMPUTED_VALUE"""),"")</f>
        <v/>
      </c>
      <c r="P32" s="210" t="str">
        <f ca="1">IFERROR(__xludf.DUMMYFUNCTION("""COMPUTED_VALUE"""),"")</f>
        <v/>
      </c>
      <c r="Q32" s="210" t="str">
        <f ca="1">IFERROR(__xludf.DUMMYFUNCTION("""COMPUTED_VALUE"""),"")</f>
        <v/>
      </c>
      <c r="R32" s="210" t="str">
        <f ca="1">IFERROR(__xludf.DUMMYFUNCTION("""COMPUTED_VALUE"""),"")</f>
        <v/>
      </c>
      <c r="S32" s="212"/>
      <c r="T32" s="212"/>
      <c r="U32" s="212"/>
      <c r="V32" s="213"/>
      <c r="W32" s="247"/>
      <c r="X32" s="248"/>
      <c r="Y32" s="210"/>
      <c r="Z32" s="210"/>
      <c r="AA32" s="210"/>
      <c r="AB32" s="210"/>
      <c r="AC32" s="212"/>
      <c r="AD32" s="212"/>
      <c r="AE32" s="212"/>
      <c r="AF32" s="213"/>
      <c r="AG32" s="247"/>
      <c r="AH32" s="248"/>
      <c r="AI32" s="210" t="str">
        <f>IF($AH32=0,"",(VLOOKUP($AH32,Пр.взв!$D$6:$J$71,2,0)))</f>
        <v/>
      </c>
      <c r="AJ32" s="210" t="str">
        <f>IF($AH32=0,"",(VLOOKUP($AH32,Пр.взв!$D$6:$J$71,5,0)))</f>
        <v/>
      </c>
      <c r="AK32" s="210" t="str">
        <f>IF($AH32=0,"",(VLOOKUP($AH32,Пр.взв!$D$6:$J$71,6,0)))</f>
        <v/>
      </c>
      <c r="AL32" s="210" t="str">
        <f>IF($AH32=0,"",(VLOOKUP($AH32,Пр.взв!$D$6:$M$71,8,0)))</f>
        <v/>
      </c>
      <c r="AM32" s="212"/>
      <c r="AN32" s="212"/>
      <c r="AO32" s="212"/>
      <c r="AP32" s="213"/>
    </row>
    <row r="33" spans="1:42" ht="27.75" customHeight="1">
      <c r="A33" s="252">
        <v>29</v>
      </c>
      <c r="B33" s="240">
        <f t="shared" ca="1" si="0"/>
        <v>1.5</v>
      </c>
      <c r="C33" s="244"/>
      <c r="D33" s="205" t="str">
        <f>IF(C33=0,"",(VLOOKUP($C33,Пр.взв!$D$6:$J$76,2,0)))</f>
        <v/>
      </c>
      <c r="E33" s="205" t="str">
        <f>IF(C33=0,"",(VLOOKUP($C33,Пр.взв!$D$6:$J$76,5,0)))</f>
        <v/>
      </c>
      <c r="F33" s="205" t="str">
        <f>IF(C33=0,"",(VLOOKUP($C33,Пр.взв!$D$6:$M$76,6,0)))</f>
        <v/>
      </c>
      <c r="G33" s="205" t="str">
        <f>IF(C33=0,"",(VLOOKUP($C33,Пр.взв!$D$6:$M$76,8,0)))</f>
        <v/>
      </c>
      <c r="H33" s="207" t="str">
        <f>IF(C33=0,"", IF(C34=0,"СВОБОДЕН",""))</f>
        <v/>
      </c>
      <c r="I33" s="207"/>
      <c r="J33" s="207"/>
      <c r="K33" s="208"/>
      <c r="L33" s="252"/>
      <c r="M33" s="252">
        <f ca="1">IFERROR(__xludf.DUMMYFUNCTION("""COMPUTED_VALUE"""),1.5)</f>
        <v>1.5</v>
      </c>
      <c r="N33" s="244"/>
      <c r="O33" s="205" t="str">
        <f ca="1">IFERROR(__xludf.DUMMYFUNCTION("""COMPUTED_VALUE"""),"")</f>
        <v/>
      </c>
      <c r="P33" s="205" t="str">
        <f ca="1">IFERROR(__xludf.DUMMYFUNCTION("""COMPUTED_VALUE"""),"")</f>
        <v/>
      </c>
      <c r="Q33" s="205" t="str">
        <f ca="1">IFERROR(__xludf.DUMMYFUNCTION("""COMPUTED_VALUE"""),"")</f>
        <v/>
      </c>
      <c r="R33" s="205" t="str">
        <f ca="1">IFERROR(__xludf.DUMMYFUNCTION("""COMPUTED_VALUE"""),"")</f>
        <v/>
      </c>
      <c r="S33" s="207" t="str">
        <f ca="1">IFERROR(__xludf.DUMMYFUNCTION("""COMPUTED_VALUE"""),"")</f>
        <v/>
      </c>
      <c r="T33" s="207"/>
      <c r="U33" s="207"/>
      <c r="V33" s="208"/>
      <c r="W33" s="247"/>
      <c r="X33" s="244"/>
      <c r="Y33" s="205"/>
      <c r="Z33" s="205"/>
      <c r="AA33" s="205"/>
      <c r="AB33" s="205"/>
      <c r="AC33" s="207"/>
      <c r="AD33" s="207"/>
      <c r="AE33" s="207"/>
      <c r="AF33" s="208"/>
      <c r="AG33" s="247"/>
      <c r="AH33" s="244"/>
      <c r="AI33" s="205" t="str">
        <f>IF($AH33=0,"",(VLOOKUP($AH33,Пр.взв!$D$6:$J$71,2,0)))</f>
        <v/>
      </c>
      <c r="AJ33" s="205" t="str">
        <f>IF($AH33=0,"",(VLOOKUP($AH33,Пр.взв!$D$6:$J$71,5,0)))</f>
        <v/>
      </c>
      <c r="AK33" s="205" t="str">
        <f>IF($AH33=0,"",(VLOOKUP($AH33,Пр.взв!$D$6:$J$71,6,0)))</f>
        <v/>
      </c>
      <c r="AL33" s="205" t="str">
        <f>IF($AH33=0,"",(VLOOKUP($AH33,Пр.взв!$D$6:$M$71,8,0)))</f>
        <v/>
      </c>
      <c r="AM33" s="207" t="str">
        <f>IF(AH33=0,"", IF(AH34=0,"СВОБОДЕН",""))</f>
        <v/>
      </c>
      <c r="AN33" s="207"/>
      <c r="AO33" s="207"/>
      <c r="AP33" s="208"/>
    </row>
    <row r="34" spans="1:42" ht="27.75" customHeight="1">
      <c r="A34" s="252">
        <v>30</v>
      </c>
      <c r="B34" s="240">
        <f t="shared" ca="1" si="0"/>
        <v>1.5</v>
      </c>
      <c r="C34" s="248"/>
      <c r="D34" s="210" t="str">
        <f>IF(C34=0,"",(VLOOKUP($C34,Пр.взв!$D$6:$J$76,2,0)))</f>
        <v/>
      </c>
      <c r="E34" s="210" t="str">
        <f>IF(C34=0,"",(VLOOKUP($C34,Пр.взв!$D$6:$J$76,5,0)))</f>
        <v/>
      </c>
      <c r="F34" s="210" t="str">
        <f>IF(C34=0,"",(VLOOKUP($C34,Пр.взв!$D$6:$M$76,6,0)))</f>
        <v/>
      </c>
      <c r="G34" s="210" t="str">
        <f>IF(C34=0,"",(VLOOKUP($C34,Пр.взв!$D$6:$M$76,8,0)))</f>
        <v/>
      </c>
      <c r="H34" s="212"/>
      <c r="I34" s="212"/>
      <c r="J34" s="212"/>
      <c r="K34" s="213"/>
      <c r="L34" s="252"/>
      <c r="M34" s="252">
        <f ca="1">IFERROR(__xludf.DUMMYFUNCTION("""COMPUTED_VALUE"""),1.5)</f>
        <v>1.5</v>
      </c>
      <c r="N34" s="248"/>
      <c r="O34" s="210" t="str">
        <f ca="1">IFERROR(__xludf.DUMMYFUNCTION("""COMPUTED_VALUE"""),"")</f>
        <v/>
      </c>
      <c r="P34" s="210" t="str">
        <f ca="1">IFERROR(__xludf.DUMMYFUNCTION("""COMPUTED_VALUE"""),"")</f>
        <v/>
      </c>
      <c r="Q34" s="210" t="str">
        <f ca="1">IFERROR(__xludf.DUMMYFUNCTION("""COMPUTED_VALUE"""),"")</f>
        <v/>
      </c>
      <c r="R34" s="210" t="str">
        <f ca="1">IFERROR(__xludf.DUMMYFUNCTION("""COMPUTED_VALUE"""),"")</f>
        <v/>
      </c>
      <c r="S34" s="212"/>
      <c r="T34" s="212"/>
      <c r="U34" s="212"/>
      <c r="V34" s="213"/>
      <c r="W34" s="247"/>
      <c r="X34" s="248"/>
      <c r="Y34" s="210"/>
      <c r="Z34" s="210"/>
      <c r="AA34" s="210"/>
      <c r="AB34" s="210"/>
      <c r="AC34" s="212"/>
      <c r="AD34" s="212"/>
      <c r="AE34" s="212"/>
      <c r="AF34" s="213"/>
      <c r="AG34" s="247"/>
      <c r="AH34" s="248"/>
      <c r="AI34" s="210" t="str">
        <f>IF($AH34=0,"",(VLOOKUP($AH34,Пр.взв!$D$6:$J$71,2,0)))</f>
        <v/>
      </c>
      <c r="AJ34" s="210" t="str">
        <f>IF($AH34=0,"",(VLOOKUP($AH34,Пр.взв!$D$6:$J$71,5,0)))</f>
        <v/>
      </c>
      <c r="AK34" s="210" t="str">
        <f>IF($AH34=0,"",(VLOOKUP($AH34,Пр.взв!$D$6:$J$71,6,0)))</f>
        <v/>
      </c>
      <c r="AL34" s="210" t="str">
        <f>IF($AH34=0,"",(VLOOKUP($AH34,Пр.взв!$D$6:$M$71,8,0)))</f>
        <v/>
      </c>
      <c r="AM34" s="212"/>
      <c r="AN34" s="212"/>
      <c r="AO34" s="212"/>
      <c r="AP34" s="213"/>
    </row>
    <row r="35" spans="1:42" ht="27.75" customHeight="1">
      <c r="A35" s="252">
        <v>31</v>
      </c>
      <c r="B35" s="240">
        <f t="shared" ca="1" si="0"/>
        <v>1.5</v>
      </c>
      <c r="C35" s="244"/>
      <c r="D35" s="205" t="str">
        <f>IF(C35=0,"",(VLOOKUP($C35,Пр.взв!$D$6:$J$76,2,0)))</f>
        <v/>
      </c>
      <c r="E35" s="205" t="str">
        <f>IF(C35=0,"",(VLOOKUP($C35,Пр.взв!$D$6:$J$76,5,0)))</f>
        <v/>
      </c>
      <c r="F35" s="205" t="str">
        <f>IF(C35=0,"",(VLOOKUP($C35,Пр.взв!$D$6:$M$76,6,0)))</f>
        <v/>
      </c>
      <c r="G35" s="205" t="str">
        <f>IF(C35=0,"",(VLOOKUP($C35,Пр.взв!$D$6:$M$76,8,0)))</f>
        <v/>
      </c>
      <c r="H35" s="207" t="str">
        <f>IF(C35=0,"", IF(C36=0,"СВОБОДЕН",""))</f>
        <v/>
      </c>
      <c r="I35" s="207"/>
      <c r="J35" s="207"/>
      <c r="K35" s="208"/>
      <c r="L35" s="252"/>
      <c r="M35" s="252">
        <f ca="1">IFERROR(__xludf.DUMMYFUNCTION("""COMPUTED_VALUE"""),1.5)</f>
        <v>1.5</v>
      </c>
      <c r="N35" s="244"/>
      <c r="O35" s="205" t="str">
        <f ca="1">IFERROR(__xludf.DUMMYFUNCTION("""COMPUTED_VALUE"""),"")</f>
        <v/>
      </c>
      <c r="P35" s="205" t="str">
        <f ca="1">IFERROR(__xludf.DUMMYFUNCTION("""COMPUTED_VALUE"""),"")</f>
        <v/>
      </c>
      <c r="Q35" s="205" t="str">
        <f ca="1">IFERROR(__xludf.DUMMYFUNCTION("""COMPUTED_VALUE"""),"")</f>
        <v/>
      </c>
      <c r="R35" s="205" t="str">
        <f ca="1">IFERROR(__xludf.DUMMYFUNCTION("""COMPUTED_VALUE"""),"")</f>
        <v/>
      </c>
      <c r="S35" s="207" t="str">
        <f ca="1">IFERROR(__xludf.DUMMYFUNCTION("""COMPUTED_VALUE"""),"")</f>
        <v/>
      </c>
      <c r="T35" s="207"/>
      <c r="U35" s="207"/>
      <c r="V35" s="208"/>
      <c r="W35" s="247"/>
      <c r="X35" s="244"/>
      <c r="Y35" s="205"/>
      <c r="Z35" s="205"/>
      <c r="AA35" s="205"/>
      <c r="AB35" s="205"/>
      <c r="AC35" s="207"/>
      <c r="AD35" s="207"/>
      <c r="AE35" s="207"/>
      <c r="AF35" s="208"/>
      <c r="AG35" s="247"/>
      <c r="AH35" s="244"/>
      <c r="AI35" s="205" t="str">
        <f>IF($AH35=0,"",(VLOOKUP($AH35,Пр.взв!$D$6:$J$71,2,0)))</f>
        <v/>
      </c>
      <c r="AJ35" s="205" t="str">
        <f>IF($AH35=0,"",(VLOOKUP($AH35,Пр.взв!$D$6:$J$71,5,0)))</f>
        <v/>
      </c>
      <c r="AK35" s="205" t="str">
        <f>IF($AH35=0,"",(VLOOKUP($AH35,Пр.взв!$D$6:$J$71,6,0)))</f>
        <v/>
      </c>
      <c r="AL35" s="205" t="str">
        <f>IF($AH35=0,"",(VLOOKUP($AH35,Пр.взв!$D$6:$M$71,8,0)))</f>
        <v/>
      </c>
      <c r="AM35" s="207" t="str">
        <f>IF(AH35=0,"", IF(AH36=0,"СВОБОДЕН",""))</f>
        <v/>
      </c>
      <c r="AN35" s="207"/>
      <c r="AO35" s="207"/>
      <c r="AP35" s="208"/>
    </row>
    <row r="36" spans="1:42" ht="27.75" customHeight="1">
      <c r="A36" s="252">
        <v>32</v>
      </c>
      <c r="B36" s="240">
        <f t="shared" ca="1" si="0"/>
        <v>1.5</v>
      </c>
      <c r="C36" s="248"/>
      <c r="D36" s="210" t="str">
        <f>IF(C36=0,"",(VLOOKUP($C36,Пр.взв!$D$6:$J$76,2,0)))</f>
        <v/>
      </c>
      <c r="E36" s="210" t="str">
        <f>IF(C36=0,"",(VLOOKUP($C36,Пр.взв!$D$6:$J$76,5,0)))</f>
        <v/>
      </c>
      <c r="F36" s="210" t="str">
        <f>IF(C36=0,"",(VLOOKUP($C36,Пр.взв!$D$6:$M$76,6,0)))</f>
        <v/>
      </c>
      <c r="G36" s="210" t="str">
        <f>IF(C36=0,"",(VLOOKUP($C36,Пр.взв!$D$6:$M$76,8,0)))</f>
        <v/>
      </c>
      <c r="H36" s="212"/>
      <c r="I36" s="212"/>
      <c r="J36" s="212"/>
      <c r="K36" s="213"/>
      <c r="L36" s="252"/>
      <c r="M36" s="252">
        <f ca="1">IFERROR(__xludf.DUMMYFUNCTION("""COMPUTED_VALUE"""),1.5)</f>
        <v>1.5</v>
      </c>
      <c r="N36" s="248"/>
      <c r="O36" s="210" t="str">
        <f ca="1">IFERROR(__xludf.DUMMYFUNCTION("""COMPUTED_VALUE"""),"")</f>
        <v/>
      </c>
      <c r="P36" s="210" t="str">
        <f ca="1">IFERROR(__xludf.DUMMYFUNCTION("""COMPUTED_VALUE"""),"")</f>
        <v/>
      </c>
      <c r="Q36" s="210" t="str">
        <f ca="1">IFERROR(__xludf.DUMMYFUNCTION("""COMPUTED_VALUE"""),"")</f>
        <v/>
      </c>
      <c r="R36" s="210" t="str">
        <f ca="1">IFERROR(__xludf.DUMMYFUNCTION("""COMPUTED_VALUE"""),"")</f>
        <v/>
      </c>
      <c r="S36" s="212"/>
      <c r="T36" s="212"/>
      <c r="U36" s="212"/>
      <c r="V36" s="213"/>
      <c r="W36" s="247"/>
      <c r="X36" s="248"/>
      <c r="Y36" s="210"/>
      <c r="Z36" s="210"/>
      <c r="AA36" s="210"/>
      <c r="AB36" s="210"/>
      <c r="AC36" s="212"/>
      <c r="AD36" s="212"/>
      <c r="AE36" s="212"/>
      <c r="AF36" s="213"/>
      <c r="AG36" s="247"/>
      <c r="AH36" s="248"/>
      <c r="AI36" s="210" t="str">
        <f>IF($AH36=0,"",(VLOOKUP($AH36,Пр.взв!$D$6:$J$71,2,0)))</f>
        <v/>
      </c>
      <c r="AJ36" s="210" t="str">
        <f>IF($AH36=0,"",(VLOOKUP($AH36,Пр.взв!$D$6:$J$71,5,0)))</f>
        <v/>
      </c>
      <c r="AK36" s="210" t="str">
        <f>IF($AH36=0,"",(VLOOKUP($AH36,Пр.взв!$D$6:$J$71,6,0)))</f>
        <v/>
      </c>
      <c r="AL36" s="210" t="str">
        <f>IF($AH36=0,"",(VLOOKUP($AH36,Пр.взв!$D$6:$M$71,8,0)))</f>
        <v/>
      </c>
      <c r="AM36" s="212"/>
      <c r="AN36" s="212"/>
      <c r="AO36" s="212"/>
      <c r="AP36" s="213"/>
    </row>
    <row r="37" spans="1:42" ht="27.75" customHeight="1">
      <c r="A37" s="252">
        <v>33</v>
      </c>
      <c r="B37" s="240">
        <f t="shared" ca="1" si="0"/>
        <v>1.5</v>
      </c>
      <c r="C37" s="244"/>
      <c r="D37" s="205" t="str">
        <f>IF(C37=0,"",(VLOOKUP($C37,Пр.взв!$D$6:$J$76,2,0)))</f>
        <v/>
      </c>
      <c r="E37" s="205" t="str">
        <f>IF(C37=0,"",(VLOOKUP($C37,Пр.взв!$D$6:$J$76,5,0)))</f>
        <v/>
      </c>
      <c r="F37" s="205" t="str">
        <f>IF(C37=0,"",(VLOOKUP($C37,Пр.взв!$D$6:$M$76,6,0)))</f>
        <v/>
      </c>
      <c r="G37" s="205" t="str">
        <f>IF(C37=0,"",(VLOOKUP($C37,Пр.взв!$D$6:$M$76,8,0)))</f>
        <v/>
      </c>
      <c r="H37" s="207" t="str">
        <f>IF(C37=0,"", IF(C38=0,"СВОБОДЕН",""))</f>
        <v/>
      </c>
      <c r="I37" s="207"/>
      <c r="J37" s="207"/>
      <c r="K37" s="208"/>
      <c r="L37" s="252"/>
      <c r="M37" s="252">
        <f ca="1">IFERROR(__xludf.DUMMYFUNCTION("""COMPUTED_VALUE"""),1.5)</f>
        <v>1.5</v>
      </c>
      <c r="N37" s="244"/>
      <c r="O37" s="205" t="str">
        <f ca="1">IFERROR(__xludf.DUMMYFUNCTION("""COMPUTED_VALUE"""),"")</f>
        <v/>
      </c>
      <c r="P37" s="205" t="str">
        <f ca="1">IFERROR(__xludf.DUMMYFUNCTION("""COMPUTED_VALUE"""),"")</f>
        <v/>
      </c>
      <c r="Q37" s="205" t="str">
        <f ca="1">IFERROR(__xludf.DUMMYFUNCTION("""COMPUTED_VALUE"""),"")</f>
        <v/>
      </c>
      <c r="R37" s="205" t="str">
        <f ca="1">IFERROR(__xludf.DUMMYFUNCTION("""COMPUTED_VALUE"""),"")</f>
        <v/>
      </c>
      <c r="S37" s="207" t="str">
        <f ca="1">IFERROR(__xludf.DUMMYFUNCTION("""COMPUTED_VALUE"""),"")</f>
        <v/>
      </c>
      <c r="T37" s="207"/>
      <c r="U37" s="207"/>
      <c r="V37" s="208"/>
      <c r="W37" s="247"/>
      <c r="X37" s="244"/>
      <c r="Y37" s="205"/>
      <c r="Z37" s="205"/>
      <c r="AA37" s="205"/>
      <c r="AB37" s="205"/>
      <c r="AC37" s="207"/>
      <c r="AD37" s="207"/>
      <c r="AE37" s="207"/>
      <c r="AF37" s="208"/>
      <c r="AG37" s="247"/>
      <c r="AH37" s="244"/>
      <c r="AI37" s="205" t="str">
        <f>IF($AH37=0,"",(VLOOKUP($AH37,Пр.взв!$D$6:$J$71,2,0)))</f>
        <v/>
      </c>
      <c r="AJ37" s="205" t="str">
        <f>IF($AH37=0,"",(VLOOKUP($AH37,Пр.взв!$D$6:$J$71,5,0)))</f>
        <v/>
      </c>
      <c r="AK37" s="205" t="str">
        <f>IF($AH37=0,"",(VLOOKUP($AH37,Пр.взв!$D$6:$J$71,6,0)))</f>
        <v/>
      </c>
      <c r="AL37" s="205" t="str">
        <f>IF($AH37=0,"",(VLOOKUP($AH37,Пр.взв!$D$6:$M$71,8,0)))</f>
        <v/>
      </c>
      <c r="AM37" s="207" t="str">
        <f>IF(AH37=0,"", IF(AH38=0,"СВОБОДЕН",""))</f>
        <v/>
      </c>
      <c r="AN37" s="207"/>
      <c r="AO37" s="207"/>
      <c r="AP37" s="208"/>
    </row>
    <row r="38" spans="1:42" ht="27.75" customHeight="1">
      <c r="A38" s="252">
        <v>34</v>
      </c>
      <c r="B38" s="240">
        <f t="shared" ca="1" si="0"/>
        <v>1.5</v>
      </c>
      <c r="C38" s="248"/>
      <c r="D38" s="210" t="str">
        <f>IF(C38=0,"",(VLOOKUP($C38,Пр.взв!$D$6:$J$76,2,0)))</f>
        <v/>
      </c>
      <c r="E38" s="210" t="str">
        <f>IF(C38=0,"",(VLOOKUP($C38,Пр.взв!$D$6:$J$76,5,0)))</f>
        <v/>
      </c>
      <c r="F38" s="210" t="str">
        <f>IF(C38=0,"",(VLOOKUP($C38,Пр.взв!$D$6:$M$76,6,0)))</f>
        <v/>
      </c>
      <c r="G38" s="210" t="str">
        <f>IF(C38=0,"",(VLOOKUP($C38,Пр.взв!$D$6:$M$76,8,0)))</f>
        <v/>
      </c>
      <c r="H38" s="212"/>
      <c r="I38" s="212"/>
      <c r="J38" s="212"/>
      <c r="K38" s="213"/>
      <c r="L38" s="252"/>
      <c r="M38" s="252">
        <f ca="1">IFERROR(__xludf.DUMMYFUNCTION("""COMPUTED_VALUE"""),1.5)</f>
        <v>1.5</v>
      </c>
      <c r="N38" s="248"/>
      <c r="O38" s="210" t="str">
        <f ca="1">IFERROR(__xludf.DUMMYFUNCTION("""COMPUTED_VALUE"""),"")</f>
        <v/>
      </c>
      <c r="P38" s="210" t="str">
        <f ca="1">IFERROR(__xludf.DUMMYFUNCTION("""COMPUTED_VALUE"""),"")</f>
        <v/>
      </c>
      <c r="Q38" s="210" t="str">
        <f ca="1">IFERROR(__xludf.DUMMYFUNCTION("""COMPUTED_VALUE"""),"")</f>
        <v/>
      </c>
      <c r="R38" s="210" t="str">
        <f ca="1">IFERROR(__xludf.DUMMYFUNCTION("""COMPUTED_VALUE"""),"")</f>
        <v/>
      </c>
      <c r="S38" s="212"/>
      <c r="T38" s="212"/>
      <c r="U38" s="212"/>
      <c r="V38" s="213"/>
      <c r="W38" s="247"/>
      <c r="X38" s="248"/>
      <c r="Y38" s="210"/>
      <c r="Z38" s="210"/>
      <c r="AA38" s="210"/>
      <c r="AB38" s="210"/>
      <c r="AC38" s="212"/>
      <c r="AD38" s="212"/>
      <c r="AE38" s="212"/>
      <c r="AF38" s="213"/>
      <c r="AG38" s="247"/>
      <c r="AH38" s="248"/>
      <c r="AI38" s="210" t="str">
        <f>IF($AH38=0,"",(VLOOKUP($AH38,Пр.взв!$D$6:$J$71,2,0)))</f>
        <v/>
      </c>
      <c r="AJ38" s="210" t="str">
        <f>IF($AH38=0,"",(VLOOKUP($AH38,Пр.взв!$D$6:$J$71,5,0)))</f>
        <v/>
      </c>
      <c r="AK38" s="210" t="str">
        <f>IF($AH38=0,"",(VLOOKUP($AH38,Пр.взв!$D$6:$J$71,6,0)))</f>
        <v/>
      </c>
      <c r="AL38" s="210" t="str">
        <f>IF($AH38=0,"",(VLOOKUP($AH38,Пр.взв!$D$6:$M$71,8,0)))</f>
        <v/>
      </c>
      <c r="AM38" s="212"/>
      <c r="AN38" s="212"/>
      <c r="AO38" s="212"/>
      <c r="AP38" s="213"/>
    </row>
    <row r="39" spans="1:42" ht="27.75" customHeight="1">
      <c r="A39" s="252">
        <v>35</v>
      </c>
      <c r="B39" s="240">
        <f t="shared" ca="1" si="0"/>
        <v>1.5</v>
      </c>
      <c r="C39" s="244"/>
      <c r="D39" s="205" t="str">
        <f>IF(C39=0,"",(VLOOKUP($C39,Пр.взв!$D$6:$J$76,2,0)))</f>
        <v/>
      </c>
      <c r="E39" s="205" t="str">
        <f>IF(C39=0,"",(VLOOKUP($C39,Пр.взв!$D$6:$J$76,5,0)))</f>
        <v/>
      </c>
      <c r="F39" s="205" t="str">
        <f>IF(C39=0,"",(VLOOKUP($C39,Пр.взв!$D$6:$M$76,6,0)))</f>
        <v/>
      </c>
      <c r="G39" s="205" t="str">
        <f>IF(C39=0,"",(VLOOKUP($C39,Пр.взв!$D$6:$M$76,8,0)))</f>
        <v/>
      </c>
      <c r="H39" s="207" t="str">
        <f>IF(C39=0,"", IF(C40=0,"СВОБОДЕН",""))</f>
        <v/>
      </c>
      <c r="I39" s="207"/>
      <c r="J39" s="207"/>
      <c r="K39" s="208"/>
      <c r="L39" s="252"/>
      <c r="M39" s="252">
        <f ca="1">IFERROR(__xludf.DUMMYFUNCTION("""COMPUTED_VALUE"""),1.5)</f>
        <v>1.5</v>
      </c>
      <c r="N39" s="244"/>
      <c r="O39" s="205" t="str">
        <f ca="1">IFERROR(__xludf.DUMMYFUNCTION("""COMPUTED_VALUE"""),"")</f>
        <v/>
      </c>
      <c r="P39" s="205" t="str">
        <f ca="1">IFERROR(__xludf.DUMMYFUNCTION("""COMPUTED_VALUE"""),"")</f>
        <v/>
      </c>
      <c r="Q39" s="205" t="str">
        <f ca="1">IFERROR(__xludf.DUMMYFUNCTION("""COMPUTED_VALUE"""),"")</f>
        <v/>
      </c>
      <c r="R39" s="205" t="str">
        <f ca="1">IFERROR(__xludf.DUMMYFUNCTION("""COMPUTED_VALUE"""),"")</f>
        <v/>
      </c>
      <c r="S39" s="207" t="str">
        <f ca="1">IFERROR(__xludf.DUMMYFUNCTION("""COMPUTED_VALUE"""),"")</f>
        <v/>
      </c>
      <c r="T39" s="207"/>
      <c r="U39" s="207"/>
      <c r="V39" s="208"/>
      <c r="W39" s="247"/>
      <c r="X39" s="244"/>
      <c r="Y39" s="205"/>
      <c r="Z39" s="205"/>
      <c r="AA39" s="205"/>
      <c r="AB39" s="205"/>
      <c r="AC39" s="207"/>
      <c r="AD39" s="207"/>
      <c r="AE39" s="207"/>
      <c r="AF39" s="208"/>
      <c r="AG39" s="247"/>
      <c r="AH39" s="244"/>
      <c r="AI39" s="205" t="str">
        <f>IF($AH39=0,"",(VLOOKUP($AH39,Пр.взв!$D$6:$J$71,2,0)))</f>
        <v/>
      </c>
      <c r="AJ39" s="205" t="str">
        <f>IF($AH39=0,"",(VLOOKUP($AH39,Пр.взв!$D$6:$J$71,5,0)))</f>
        <v/>
      </c>
      <c r="AK39" s="205" t="str">
        <f>IF($AH39=0,"",(VLOOKUP($AH39,Пр.взв!$D$6:$J$71,6,0)))</f>
        <v/>
      </c>
      <c r="AL39" s="205" t="str">
        <f>IF($AH39=0,"",(VLOOKUP($AH39,Пр.взв!$D$6:$M$71,8,0)))</f>
        <v/>
      </c>
      <c r="AM39" s="207" t="str">
        <f>IF(AH39=0,"", IF(AH40=0,"СВОБОДЕН",""))</f>
        <v/>
      </c>
      <c r="AN39" s="207"/>
      <c r="AO39" s="207"/>
      <c r="AP39" s="208"/>
    </row>
    <row r="40" spans="1:42" ht="27.75" customHeight="1">
      <c r="A40" s="252">
        <v>36</v>
      </c>
      <c r="B40" s="240">
        <f t="shared" ca="1" si="0"/>
        <v>1.5</v>
      </c>
      <c r="C40" s="248"/>
      <c r="D40" s="210" t="str">
        <f>IF(C40=0,"",(VLOOKUP($C40,Пр.взв!$D$6:$J$76,2,0)))</f>
        <v/>
      </c>
      <c r="E40" s="210" t="str">
        <f>IF(C40=0,"",(VLOOKUP($C40,Пр.взв!$D$6:$J$76,5,0)))</f>
        <v/>
      </c>
      <c r="F40" s="210" t="str">
        <f>IF(C40=0,"",(VLOOKUP($C40,Пр.взв!$D$6:$M$76,6,0)))</f>
        <v/>
      </c>
      <c r="G40" s="210" t="str">
        <f>IF(C40=0,"",(VLOOKUP($C40,Пр.взв!$D$6:$M$76,8,0)))</f>
        <v/>
      </c>
      <c r="H40" s="212"/>
      <c r="I40" s="212"/>
      <c r="J40" s="212"/>
      <c r="K40" s="213"/>
      <c r="L40" s="252"/>
      <c r="M40" s="252">
        <f ca="1">IFERROR(__xludf.DUMMYFUNCTION("""COMPUTED_VALUE"""),1.5)</f>
        <v>1.5</v>
      </c>
      <c r="N40" s="248"/>
      <c r="O40" s="210" t="str">
        <f ca="1">IFERROR(__xludf.DUMMYFUNCTION("""COMPUTED_VALUE"""),"")</f>
        <v/>
      </c>
      <c r="P40" s="210" t="str">
        <f ca="1">IFERROR(__xludf.DUMMYFUNCTION("""COMPUTED_VALUE"""),"")</f>
        <v/>
      </c>
      <c r="Q40" s="210" t="str">
        <f ca="1">IFERROR(__xludf.DUMMYFUNCTION("""COMPUTED_VALUE"""),"")</f>
        <v/>
      </c>
      <c r="R40" s="210" t="str">
        <f ca="1">IFERROR(__xludf.DUMMYFUNCTION("""COMPUTED_VALUE"""),"")</f>
        <v/>
      </c>
      <c r="S40" s="212"/>
      <c r="T40" s="212"/>
      <c r="U40" s="212"/>
      <c r="V40" s="213"/>
      <c r="W40" s="247"/>
      <c r="X40" s="248"/>
      <c r="Y40" s="210"/>
      <c r="Z40" s="210"/>
      <c r="AA40" s="210"/>
      <c r="AB40" s="210"/>
      <c r="AC40" s="212"/>
      <c r="AD40" s="212"/>
      <c r="AE40" s="212"/>
      <c r="AF40" s="213"/>
      <c r="AG40" s="247"/>
      <c r="AH40" s="248"/>
      <c r="AI40" s="210" t="str">
        <f>IF($AH40=0,"",(VLOOKUP($AH40,Пр.взв!$D$6:$J$71,2,0)))</f>
        <v/>
      </c>
      <c r="AJ40" s="210" t="str">
        <f>IF($AH40=0,"",(VLOOKUP($AH40,Пр.взв!$D$6:$J$71,5,0)))</f>
        <v/>
      </c>
      <c r="AK40" s="210" t="str">
        <f>IF($AH40=0,"",(VLOOKUP($AH40,Пр.взв!$D$6:$J$71,6,0)))</f>
        <v/>
      </c>
      <c r="AL40" s="210" t="str">
        <f>IF($AH40=0,"",(VLOOKUP($AH40,Пр.взв!$D$6:$M$71,8,0)))</f>
        <v/>
      </c>
      <c r="AM40" s="212"/>
      <c r="AN40" s="212"/>
      <c r="AO40" s="212"/>
      <c r="AP40" s="213"/>
    </row>
    <row r="41" spans="1:42" ht="27.75" customHeight="1">
      <c r="A41" s="252">
        <v>37</v>
      </c>
      <c r="B41" s="240">
        <f t="shared" ca="1" si="0"/>
        <v>1.5</v>
      </c>
      <c r="C41" s="244"/>
      <c r="D41" s="205" t="str">
        <f>IF(C41=0,"",(VLOOKUP($C41,Пр.взв!$D$6:$J$76,2,0)))</f>
        <v/>
      </c>
      <c r="E41" s="205" t="str">
        <f>IF(C41=0,"",(VLOOKUP($C41,Пр.взв!$D$6:$J$76,5,0)))</f>
        <v/>
      </c>
      <c r="F41" s="205" t="str">
        <f>IF(C41=0,"",(VLOOKUP($C41,Пр.взв!$D$6:$M$76,6,0)))</f>
        <v/>
      </c>
      <c r="G41" s="205" t="str">
        <f>IF(C41=0,"",(VLOOKUP($C41,Пр.взв!$D$6:$M$76,8,0)))</f>
        <v/>
      </c>
      <c r="H41" s="207" t="str">
        <f>IF(C41=0,"", IF(C42=0,"СВОБОДЕН",""))</f>
        <v/>
      </c>
      <c r="I41" s="207"/>
      <c r="J41" s="207"/>
      <c r="K41" s="208"/>
      <c r="L41" s="252"/>
      <c r="M41" s="252">
        <f ca="1">IFERROR(__xludf.DUMMYFUNCTION("""COMPUTED_VALUE"""),1.5)</f>
        <v>1.5</v>
      </c>
      <c r="N41" s="244"/>
      <c r="O41" s="205" t="str">
        <f ca="1">IFERROR(__xludf.DUMMYFUNCTION("""COMPUTED_VALUE"""),"")</f>
        <v/>
      </c>
      <c r="P41" s="205" t="str">
        <f ca="1">IFERROR(__xludf.DUMMYFUNCTION("""COMPUTED_VALUE"""),"")</f>
        <v/>
      </c>
      <c r="Q41" s="205" t="str">
        <f ca="1">IFERROR(__xludf.DUMMYFUNCTION("""COMPUTED_VALUE"""),"")</f>
        <v/>
      </c>
      <c r="R41" s="205" t="str">
        <f ca="1">IFERROR(__xludf.DUMMYFUNCTION("""COMPUTED_VALUE"""),"")</f>
        <v/>
      </c>
      <c r="S41" s="207" t="str">
        <f ca="1">IFERROR(__xludf.DUMMYFUNCTION("""COMPUTED_VALUE"""),"")</f>
        <v/>
      </c>
      <c r="T41" s="207"/>
      <c r="U41" s="207"/>
      <c r="V41" s="208"/>
      <c r="W41" s="247"/>
      <c r="X41" s="244"/>
      <c r="Y41" s="205"/>
      <c r="Z41" s="205"/>
      <c r="AA41" s="205"/>
      <c r="AB41" s="205"/>
      <c r="AC41" s="207"/>
      <c r="AD41" s="207"/>
      <c r="AE41" s="207"/>
      <c r="AF41" s="208"/>
      <c r="AG41" s="247"/>
      <c r="AH41" s="244"/>
      <c r="AI41" s="205" t="str">
        <f>IF($AH41=0,"",(VLOOKUP($AH41,Пр.взв!$D$6:$J$71,2,0)))</f>
        <v/>
      </c>
      <c r="AJ41" s="205" t="str">
        <f>IF($AH41=0,"",(VLOOKUP($AH41,Пр.взв!$D$6:$J$71,5,0)))</f>
        <v/>
      </c>
      <c r="AK41" s="205" t="str">
        <f>IF($AH41=0,"",(VLOOKUP($AH41,Пр.взв!$D$6:$J$71,6,0)))</f>
        <v/>
      </c>
      <c r="AL41" s="205" t="str">
        <f>IF($AH41=0,"",(VLOOKUP($AH41,Пр.взв!$D$6:$M$71,8,0)))</f>
        <v/>
      </c>
      <c r="AM41" s="207" t="str">
        <f>IF(AH41=0,"", IF(AH42=0,"СВОБОДЕН",""))</f>
        <v/>
      </c>
      <c r="AN41" s="207"/>
      <c r="AO41" s="207"/>
      <c r="AP41" s="208"/>
    </row>
    <row r="42" spans="1:42" ht="27.75" customHeight="1">
      <c r="A42" s="252">
        <v>38</v>
      </c>
      <c r="B42" s="240">
        <f t="shared" ca="1" si="0"/>
        <v>1.5</v>
      </c>
      <c r="C42" s="248"/>
      <c r="D42" s="210" t="str">
        <f>IF(C42=0,"",(VLOOKUP($C42,Пр.взв!$D$6:$J$76,2,0)))</f>
        <v/>
      </c>
      <c r="E42" s="210" t="str">
        <f>IF(C42=0,"",(VLOOKUP($C42,Пр.взв!$D$6:$J$76,5,0)))</f>
        <v/>
      </c>
      <c r="F42" s="210" t="str">
        <f>IF(C42=0,"",(VLOOKUP($C42,Пр.взв!$D$6:$M$76,6,0)))</f>
        <v/>
      </c>
      <c r="G42" s="210" t="str">
        <f>IF(C42=0,"",(VLOOKUP($C42,Пр.взв!$D$6:$M$76,8,0)))</f>
        <v/>
      </c>
      <c r="H42" s="212"/>
      <c r="I42" s="212"/>
      <c r="J42" s="212"/>
      <c r="K42" s="213"/>
      <c r="L42" s="252"/>
      <c r="M42" s="252">
        <f ca="1">IFERROR(__xludf.DUMMYFUNCTION("""COMPUTED_VALUE"""),1.5)</f>
        <v>1.5</v>
      </c>
      <c r="N42" s="248"/>
      <c r="O42" s="210" t="str">
        <f ca="1">IFERROR(__xludf.DUMMYFUNCTION("""COMPUTED_VALUE"""),"")</f>
        <v/>
      </c>
      <c r="P42" s="210" t="str">
        <f ca="1">IFERROR(__xludf.DUMMYFUNCTION("""COMPUTED_VALUE"""),"")</f>
        <v/>
      </c>
      <c r="Q42" s="210" t="str">
        <f ca="1">IFERROR(__xludf.DUMMYFUNCTION("""COMPUTED_VALUE"""),"")</f>
        <v/>
      </c>
      <c r="R42" s="210" t="str">
        <f ca="1">IFERROR(__xludf.DUMMYFUNCTION("""COMPUTED_VALUE"""),"")</f>
        <v/>
      </c>
      <c r="S42" s="212"/>
      <c r="T42" s="212"/>
      <c r="U42" s="212"/>
      <c r="V42" s="213"/>
      <c r="W42" s="247"/>
      <c r="X42" s="248"/>
      <c r="Y42" s="210"/>
      <c r="Z42" s="210"/>
      <c r="AA42" s="210"/>
      <c r="AB42" s="210"/>
      <c r="AC42" s="212"/>
      <c r="AD42" s="212"/>
      <c r="AE42" s="212"/>
      <c r="AF42" s="213"/>
      <c r="AG42" s="247"/>
      <c r="AH42" s="248"/>
      <c r="AI42" s="210" t="str">
        <f>IF($AH42=0,"",(VLOOKUP($AH42,Пр.взв!$D$6:$J$71,2,0)))</f>
        <v/>
      </c>
      <c r="AJ42" s="210" t="str">
        <f>IF($AH42=0,"",(VLOOKUP($AH42,Пр.взв!$D$6:$J$71,5,0)))</f>
        <v/>
      </c>
      <c r="AK42" s="210" t="str">
        <f>IF($AH42=0,"",(VLOOKUP($AH42,Пр.взв!$D$6:$J$71,6,0)))</f>
        <v/>
      </c>
      <c r="AL42" s="210" t="str">
        <f>IF($AH42=0,"",(VLOOKUP($AH42,Пр.взв!$D$6:$M$71,8,0)))</f>
        <v/>
      </c>
      <c r="AM42" s="212"/>
      <c r="AN42" s="212"/>
      <c r="AO42" s="212"/>
      <c r="AP42" s="213"/>
    </row>
    <row r="43" spans="1:42" ht="27.75" customHeight="1">
      <c r="A43" s="252">
        <v>39</v>
      </c>
      <c r="B43" s="240">
        <f t="shared" ca="1" si="0"/>
        <v>1.5</v>
      </c>
      <c r="C43" s="244"/>
      <c r="D43" s="205" t="str">
        <f>IF(C43=0,"",(VLOOKUP($C43,Пр.взв!$D$6:$J$76,2,0)))</f>
        <v/>
      </c>
      <c r="E43" s="205" t="str">
        <f>IF(C43=0,"",(VLOOKUP($C43,Пр.взв!$D$6:$J$76,5,0)))</f>
        <v/>
      </c>
      <c r="F43" s="205" t="str">
        <f>IF(C43=0,"",(VLOOKUP($C43,Пр.взв!$D$6:$M$76,6,0)))</f>
        <v/>
      </c>
      <c r="G43" s="205" t="str">
        <f>IF(C43=0,"",(VLOOKUP($C43,Пр.взв!$D$6:$M$76,8,0)))</f>
        <v/>
      </c>
      <c r="H43" s="207" t="str">
        <f>IF(C43=0,"", IF(C44=0,"СВОБОДЕН",""))</f>
        <v/>
      </c>
      <c r="I43" s="207"/>
      <c r="J43" s="207"/>
      <c r="K43" s="208"/>
      <c r="L43" s="252"/>
      <c r="M43" s="252">
        <f ca="1">IFERROR(__xludf.DUMMYFUNCTION("""COMPUTED_VALUE"""),1.5)</f>
        <v>1.5</v>
      </c>
      <c r="N43" s="244"/>
      <c r="O43" s="205" t="str">
        <f ca="1">IFERROR(__xludf.DUMMYFUNCTION("""COMPUTED_VALUE"""),"")</f>
        <v/>
      </c>
      <c r="P43" s="205" t="str">
        <f ca="1">IFERROR(__xludf.DUMMYFUNCTION("""COMPUTED_VALUE"""),"")</f>
        <v/>
      </c>
      <c r="Q43" s="205" t="str">
        <f ca="1">IFERROR(__xludf.DUMMYFUNCTION("""COMPUTED_VALUE"""),"")</f>
        <v/>
      </c>
      <c r="R43" s="205" t="str">
        <f ca="1">IFERROR(__xludf.DUMMYFUNCTION("""COMPUTED_VALUE"""),"")</f>
        <v/>
      </c>
      <c r="S43" s="207" t="str">
        <f ca="1">IFERROR(__xludf.DUMMYFUNCTION("""COMPUTED_VALUE"""),"")</f>
        <v/>
      </c>
      <c r="T43" s="207"/>
      <c r="U43" s="207"/>
      <c r="V43" s="208"/>
      <c r="W43" s="247"/>
      <c r="X43" s="244"/>
      <c r="Y43" s="205"/>
      <c r="Z43" s="205"/>
      <c r="AA43" s="205"/>
      <c r="AB43" s="205"/>
      <c r="AC43" s="207"/>
      <c r="AD43" s="207"/>
      <c r="AE43" s="207"/>
      <c r="AF43" s="208"/>
      <c r="AG43" s="247"/>
      <c r="AH43" s="244"/>
      <c r="AI43" s="205" t="str">
        <f>IF($AH43=0,"",(VLOOKUP($AH43,Пр.взв!$D$6:$J$71,2,0)))</f>
        <v/>
      </c>
      <c r="AJ43" s="205" t="str">
        <f>IF($AH43=0,"",(VLOOKUP($AH43,Пр.взв!$D$6:$J$71,5,0)))</f>
        <v/>
      </c>
      <c r="AK43" s="205" t="str">
        <f>IF($AH43=0,"",(VLOOKUP($AH43,Пр.взв!$D$6:$J$71,6,0)))</f>
        <v/>
      </c>
      <c r="AL43" s="205" t="str">
        <f>IF($AH43=0,"",(VLOOKUP($AH43,Пр.взв!$D$6:$M$71,8,0)))</f>
        <v/>
      </c>
      <c r="AM43" s="207" t="str">
        <f>IF(AH43=0,"", IF(AH44=0,"СВОБОДЕН",""))</f>
        <v/>
      </c>
      <c r="AN43" s="207"/>
      <c r="AO43" s="207"/>
      <c r="AP43" s="208"/>
    </row>
    <row r="44" spans="1:42" ht="27.75" customHeight="1">
      <c r="A44" s="252">
        <v>40</v>
      </c>
      <c r="B44" s="240">
        <f t="shared" ca="1" si="0"/>
        <v>1.5</v>
      </c>
      <c r="C44" s="248"/>
      <c r="D44" s="210" t="str">
        <f>IF(C44=0,"",(VLOOKUP($C44,Пр.взв!$D$6:$J$76,2,0)))</f>
        <v/>
      </c>
      <c r="E44" s="210" t="str">
        <f>IF(C44=0,"",(VLOOKUP($C44,Пр.взв!$D$6:$J$76,5,0)))</f>
        <v/>
      </c>
      <c r="F44" s="210" t="str">
        <f>IF(C44=0,"",(VLOOKUP($C44,Пр.взв!$D$6:$M$76,6,0)))</f>
        <v/>
      </c>
      <c r="G44" s="210" t="str">
        <f>IF(C44=0,"",(VLOOKUP($C44,Пр.взв!$D$6:$M$76,8,0)))</f>
        <v/>
      </c>
      <c r="H44" s="212"/>
      <c r="I44" s="212"/>
      <c r="J44" s="212"/>
      <c r="K44" s="213"/>
      <c r="L44" s="252"/>
      <c r="M44" s="252">
        <f ca="1">IFERROR(__xludf.DUMMYFUNCTION("""COMPUTED_VALUE"""),1.5)</f>
        <v>1.5</v>
      </c>
      <c r="N44" s="248"/>
      <c r="O44" s="210" t="str">
        <f ca="1">IFERROR(__xludf.DUMMYFUNCTION("""COMPUTED_VALUE"""),"")</f>
        <v/>
      </c>
      <c r="P44" s="210" t="str">
        <f ca="1">IFERROR(__xludf.DUMMYFUNCTION("""COMPUTED_VALUE"""),"")</f>
        <v/>
      </c>
      <c r="Q44" s="210" t="str">
        <f ca="1">IFERROR(__xludf.DUMMYFUNCTION("""COMPUTED_VALUE"""),"")</f>
        <v/>
      </c>
      <c r="R44" s="210" t="str">
        <f ca="1">IFERROR(__xludf.DUMMYFUNCTION("""COMPUTED_VALUE"""),"")</f>
        <v/>
      </c>
      <c r="S44" s="212"/>
      <c r="T44" s="212"/>
      <c r="U44" s="212"/>
      <c r="V44" s="213"/>
      <c r="W44" s="247"/>
      <c r="X44" s="248"/>
      <c r="Y44" s="210"/>
      <c r="Z44" s="210"/>
      <c r="AA44" s="210"/>
      <c r="AB44" s="210"/>
      <c r="AC44" s="212"/>
      <c r="AD44" s="212"/>
      <c r="AE44" s="212"/>
      <c r="AF44" s="213"/>
      <c r="AG44" s="247"/>
      <c r="AH44" s="248"/>
      <c r="AI44" s="210" t="str">
        <f>IF($AH44=0,"",(VLOOKUP($AH44,Пр.взв!$D$6:$J$71,2,0)))</f>
        <v/>
      </c>
      <c r="AJ44" s="210" t="str">
        <f>IF($AH44=0,"",(VLOOKUP($AH44,Пр.взв!$D$6:$J$71,5,0)))</f>
        <v/>
      </c>
      <c r="AK44" s="210" t="str">
        <f>IF($AH44=0,"",(VLOOKUP($AH44,Пр.взв!$D$6:$J$71,6,0)))</f>
        <v/>
      </c>
      <c r="AL44" s="210" t="str">
        <f>IF($AH44=0,"",(VLOOKUP($AH44,Пр.взв!$D$6:$M$71,8,0)))</f>
        <v/>
      </c>
      <c r="AM44" s="212"/>
      <c r="AN44" s="212"/>
      <c r="AO44" s="212"/>
      <c r="AP44" s="213"/>
    </row>
    <row r="45" spans="1:42" ht="27.75" customHeight="1">
      <c r="A45" s="252">
        <v>41</v>
      </c>
      <c r="B45" s="240">
        <f t="shared" ca="1" si="0"/>
        <v>1.5</v>
      </c>
      <c r="C45" s="244"/>
      <c r="D45" s="205" t="str">
        <f>IF(C45=0,"",(VLOOKUP($C45,Пр.взв!$D$6:$J$76,2,0)))</f>
        <v/>
      </c>
      <c r="E45" s="205" t="str">
        <f>IF(C45=0,"",(VLOOKUP($C45,Пр.взв!$D$6:$J$76,5,0)))</f>
        <v/>
      </c>
      <c r="F45" s="205" t="str">
        <f>IF(C45=0,"",(VLOOKUP($C45,Пр.взв!$D$6:$M$76,6,0)))</f>
        <v/>
      </c>
      <c r="G45" s="205" t="str">
        <f>IF(C45=0,"",(VLOOKUP($C45,Пр.взв!$D$6:$M$76,8,0)))</f>
        <v/>
      </c>
      <c r="H45" s="207" t="str">
        <f>IF(C45=0,"", IF(C46=0,"СВОБОДЕН",""))</f>
        <v/>
      </c>
      <c r="I45" s="207"/>
      <c r="J45" s="207"/>
      <c r="K45" s="208"/>
      <c r="L45" s="252"/>
      <c r="M45" s="252">
        <f ca="1">IFERROR(__xludf.DUMMYFUNCTION("""COMPUTED_VALUE"""),1.5)</f>
        <v>1.5</v>
      </c>
      <c r="N45" s="244"/>
      <c r="O45" s="205" t="str">
        <f ca="1">IFERROR(__xludf.DUMMYFUNCTION("""COMPUTED_VALUE"""),"")</f>
        <v/>
      </c>
      <c r="P45" s="205" t="str">
        <f ca="1">IFERROR(__xludf.DUMMYFUNCTION("""COMPUTED_VALUE"""),"")</f>
        <v/>
      </c>
      <c r="Q45" s="205" t="str">
        <f ca="1">IFERROR(__xludf.DUMMYFUNCTION("""COMPUTED_VALUE"""),"")</f>
        <v/>
      </c>
      <c r="R45" s="205" t="str">
        <f ca="1">IFERROR(__xludf.DUMMYFUNCTION("""COMPUTED_VALUE"""),"")</f>
        <v/>
      </c>
      <c r="S45" s="207" t="str">
        <f ca="1">IFERROR(__xludf.DUMMYFUNCTION("""COMPUTED_VALUE"""),"")</f>
        <v/>
      </c>
      <c r="T45" s="207"/>
      <c r="U45" s="207"/>
      <c r="V45" s="208"/>
      <c r="W45" s="247"/>
      <c r="X45" s="244"/>
      <c r="Y45" s="205"/>
      <c r="Z45" s="205"/>
      <c r="AA45" s="205"/>
      <c r="AB45" s="205"/>
      <c r="AC45" s="207"/>
      <c r="AD45" s="207"/>
      <c r="AE45" s="207"/>
      <c r="AF45" s="208"/>
      <c r="AG45" s="247"/>
      <c r="AH45" s="244"/>
      <c r="AI45" s="205" t="str">
        <f>IF($AH45=0,"",(VLOOKUP($AH45,Пр.взв!$D$6:$J$71,2,0)))</f>
        <v/>
      </c>
      <c r="AJ45" s="205" t="str">
        <f>IF($AH45=0,"",(VLOOKUP($AH45,Пр.взв!$D$6:$J$71,5,0)))</f>
        <v/>
      </c>
      <c r="AK45" s="205" t="str">
        <f>IF($AH45=0,"",(VLOOKUP($AH45,Пр.взв!$D$6:$J$71,6,0)))</f>
        <v/>
      </c>
      <c r="AL45" s="205" t="str">
        <f>IF($AH45=0,"",(VLOOKUP($AH45,Пр.взв!$D$6:$M$71,8,0)))</f>
        <v/>
      </c>
      <c r="AM45" s="207" t="str">
        <f>IF(AH45=0,"", IF(AH46=0,"СВОБОДЕН",""))</f>
        <v/>
      </c>
      <c r="AN45" s="207"/>
      <c r="AO45" s="207"/>
      <c r="AP45" s="208"/>
    </row>
    <row r="46" spans="1:42" ht="27.75" customHeight="1">
      <c r="A46" s="252">
        <v>42</v>
      </c>
      <c r="B46" s="240">
        <f t="shared" ca="1" si="0"/>
        <v>1.5</v>
      </c>
      <c r="C46" s="248"/>
      <c r="D46" s="210" t="str">
        <f>IF(C46=0,"",(VLOOKUP($C46,Пр.взв!$D$6:$J$76,2,0)))</f>
        <v/>
      </c>
      <c r="E46" s="210" t="str">
        <f>IF(C46=0,"",(VLOOKUP($C46,Пр.взв!$D$6:$J$76,5,0)))</f>
        <v/>
      </c>
      <c r="F46" s="210" t="str">
        <f>IF(C46=0,"",(VLOOKUP($C46,Пр.взв!$D$6:$M$76,6,0)))</f>
        <v/>
      </c>
      <c r="G46" s="210" t="str">
        <f>IF(C46=0,"",(VLOOKUP($C46,Пр.взв!$D$6:$M$76,8,0)))</f>
        <v/>
      </c>
      <c r="H46" s="212"/>
      <c r="I46" s="212"/>
      <c r="J46" s="212"/>
      <c r="K46" s="213"/>
      <c r="L46" s="252"/>
      <c r="M46" s="252">
        <f ca="1">IFERROR(__xludf.DUMMYFUNCTION("""COMPUTED_VALUE"""),1.5)</f>
        <v>1.5</v>
      </c>
      <c r="N46" s="248"/>
      <c r="O46" s="210" t="str">
        <f ca="1">IFERROR(__xludf.DUMMYFUNCTION("""COMPUTED_VALUE"""),"")</f>
        <v/>
      </c>
      <c r="P46" s="210" t="str">
        <f ca="1">IFERROR(__xludf.DUMMYFUNCTION("""COMPUTED_VALUE"""),"")</f>
        <v/>
      </c>
      <c r="Q46" s="210" t="str">
        <f ca="1">IFERROR(__xludf.DUMMYFUNCTION("""COMPUTED_VALUE"""),"")</f>
        <v/>
      </c>
      <c r="R46" s="210" t="str">
        <f ca="1">IFERROR(__xludf.DUMMYFUNCTION("""COMPUTED_VALUE"""),"")</f>
        <v/>
      </c>
      <c r="S46" s="212"/>
      <c r="T46" s="212"/>
      <c r="U46" s="212"/>
      <c r="V46" s="213"/>
      <c r="W46" s="247"/>
      <c r="X46" s="248"/>
      <c r="Y46" s="210"/>
      <c r="Z46" s="210"/>
      <c r="AA46" s="210"/>
      <c r="AB46" s="210"/>
      <c r="AC46" s="212"/>
      <c r="AD46" s="212"/>
      <c r="AE46" s="212"/>
      <c r="AF46" s="213"/>
      <c r="AG46" s="247"/>
      <c r="AH46" s="248"/>
      <c r="AI46" s="210" t="str">
        <f>IF($AH46=0,"",(VLOOKUP($AH46,Пр.взв!$D$6:$J$71,2,0)))</f>
        <v/>
      </c>
      <c r="AJ46" s="210" t="str">
        <f>IF($AH46=0,"",(VLOOKUP($AH46,Пр.взв!$D$6:$J$71,5,0)))</f>
        <v/>
      </c>
      <c r="AK46" s="210" t="str">
        <f>IF($AH46=0,"",(VLOOKUP($AH46,Пр.взв!$D$6:$J$71,6,0)))</f>
        <v/>
      </c>
      <c r="AL46" s="210" t="str">
        <f>IF($AH46=0,"",(VLOOKUP($AH46,Пр.взв!$D$6:$M$71,8,0)))</f>
        <v/>
      </c>
      <c r="AM46" s="212"/>
      <c r="AN46" s="212"/>
      <c r="AO46" s="212"/>
      <c r="AP46" s="213"/>
    </row>
    <row r="47" spans="1:42" ht="27.75" customHeight="1">
      <c r="A47" s="252">
        <v>43</v>
      </c>
      <c r="B47" s="240">
        <f t="shared" ca="1" si="0"/>
        <v>1.5</v>
      </c>
      <c r="C47" s="244"/>
      <c r="D47" s="205" t="str">
        <f>IF(C47=0,"",(VLOOKUP($C47,Пр.взв!$D$6:$J$76,2,0)))</f>
        <v/>
      </c>
      <c r="E47" s="205" t="str">
        <f>IF(C47=0,"",(VLOOKUP($C47,Пр.взв!$D$6:$J$76,5,0)))</f>
        <v/>
      </c>
      <c r="F47" s="205" t="str">
        <f>IF(C47=0,"",(VLOOKUP($C47,Пр.взв!$D$6:$M$76,6,0)))</f>
        <v/>
      </c>
      <c r="G47" s="205" t="str">
        <f>IF(C47=0,"",(VLOOKUP($C47,Пр.взв!$D$6:$M$76,8,0)))</f>
        <v/>
      </c>
      <c r="H47" s="207" t="str">
        <f>IF(C47=0,"", IF(C48=0,"СВОБОДЕН",""))</f>
        <v/>
      </c>
      <c r="I47" s="207"/>
      <c r="J47" s="207"/>
      <c r="K47" s="208"/>
      <c r="L47" s="252"/>
      <c r="M47" s="252">
        <f ca="1">IFERROR(__xludf.DUMMYFUNCTION("""COMPUTED_VALUE"""),1.5)</f>
        <v>1.5</v>
      </c>
      <c r="N47" s="244"/>
      <c r="O47" s="205" t="str">
        <f ca="1">IFERROR(__xludf.DUMMYFUNCTION("""COMPUTED_VALUE"""),"")</f>
        <v/>
      </c>
      <c r="P47" s="205" t="str">
        <f ca="1">IFERROR(__xludf.DUMMYFUNCTION("""COMPUTED_VALUE"""),"")</f>
        <v/>
      </c>
      <c r="Q47" s="205" t="str">
        <f ca="1">IFERROR(__xludf.DUMMYFUNCTION("""COMPUTED_VALUE"""),"")</f>
        <v/>
      </c>
      <c r="R47" s="205" t="str">
        <f ca="1">IFERROR(__xludf.DUMMYFUNCTION("""COMPUTED_VALUE"""),"")</f>
        <v/>
      </c>
      <c r="S47" s="207" t="str">
        <f ca="1">IFERROR(__xludf.DUMMYFUNCTION("""COMPUTED_VALUE"""),"")</f>
        <v/>
      </c>
      <c r="T47" s="207"/>
      <c r="U47" s="207"/>
      <c r="V47" s="208"/>
      <c r="W47" s="247"/>
      <c r="X47" s="244"/>
      <c r="Y47" s="205"/>
      <c r="Z47" s="205"/>
      <c r="AA47" s="205"/>
      <c r="AB47" s="205"/>
      <c r="AC47" s="207"/>
      <c r="AD47" s="207"/>
      <c r="AE47" s="207"/>
      <c r="AF47" s="208"/>
      <c r="AG47" s="247"/>
      <c r="AH47" s="244"/>
      <c r="AI47" s="205" t="str">
        <f>IF($AH47=0,"",(VLOOKUP($AH47,Пр.взв!$D$6:$J$71,2,0)))</f>
        <v/>
      </c>
      <c r="AJ47" s="205" t="str">
        <f>IF($AH47=0,"",(VLOOKUP($AH47,Пр.взв!$D$6:$J$71,5,0)))</f>
        <v/>
      </c>
      <c r="AK47" s="205" t="str">
        <f>IF($AH47=0,"",(VLOOKUP($AH47,Пр.взв!$D$6:$J$71,6,0)))</f>
        <v/>
      </c>
      <c r="AL47" s="205" t="str">
        <f>IF($AH47=0,"",(VLOOKUP($AH47,Пр.взв!$D$6:$M$71,8,0)))</f>
        <v/>
      </c>
      <c r="AM47" s="207" t="str">
        <f>IF(AH47=0,"", IF(AH48=0,"СВОБОДЕН",""))</f>
        <v/>
      </c>
      <c r="AN47" s="207"/>
      <c r="AO47" s="207"/>
      <c r="AP47" s="208"/>
    </row>
    <row r="48" spans="1:42" ht="27.75" customHeight="1">
      <c r="A48" s="252">
        <v>44</v>
      </c>
      <c r="B48" s="240">
        <f t="shared" ca="1" si="0"/>
        <v>1.5</v>
      </c>
      <c r="C48" s="248"/>
      <c r="D48" s="210" t="str">
        <f>IF(C48=0,"",(VLOOKUP($C48,Пр.взв!$D$6:$J$76,2,0)))</f>
        <v/>
      </c>
      <c r="E48" s="210" t="str">
        <f>IF(C48=0,"",(VLOOKUP($C48,Пр.взв!$D$6:$J$76,5,0)))</f>
        <v/>
      </c>
      <c r="F48" s="210" t="str">
        <f>IF(C48=0,"",(VLOOKUP($C48,Пр.взв!$D$6:$M$76,6,0)))</f>
        <v/>
      </c>
      <c r="G48" s="210" t="str">
        <f>IF(C48=0,"",(VLOOKUP($C48,Пр.взв!$D$6:$M$76,8,0)))</f>
        <v/>
      </c>
      <c r="H48" s="212"/>
      <c r="I48" s="212"/>
      <c r="J48" s="212"/>
      <c r="K48" s="213"/>
      <c r="L48" s="252"/>
      <c r="M48" s="252">
        <f ca="1">IFERROR(__xludf.DUMMYFUNCTION("""COMPUTED_VALUE"""),1.5)</f>
        <v>1.5</v>
      </c>
      <c r="N48" s="248"/>
      <c r="O48" s="210" t="str">
        <f ca="1">IFERROR(__xludf.DUMMYFUNCTION("""COMPUTED_VALUE"""),"")</f>
        <v/>
      </c>
      <c r="P48" s="210" t="str">
        <f ca="1">IFERROR(__xludf.DUMMYFUNCTION("""COMPUTED_VALUE"""),"")</f>
        <v/>
      </c>
      <c r="Q48" s="210" t="str">
        <f ca="1">IFERROR(__xludf.DUMMYFUNCTION("""COMPUTED_VALUE"""),"")</f>
        <v/>
      </c>
      <c r="R48" s="210" t="str">
        <f ca="1">IFERROR(__xludf.DUMMYFUNCTION("""COMPUTED_VALUE"""),"")</f>
        <v/>
      </c>
      <c r="S48" s="212"/>
      <c r="T48" s="212"/>
      <c r="U48" s="212"/>
      <c r="V48" s="213"/>
      <c r="W48" s="247"/>
      <c r="X48" s="248"/>
      <c r="Y48" s="210"/>
      <c r="Z48" s="210"/>
      <c r="AA48" s="210"/>
      <c r="AB48" s="210"/>
      <c r="AC48" s="212"/>
      <c r="AD48" s="212"/>
      <c r="AE48" s="212"/>
      <c r="AF48" s="213"/>
      <c r="AG48" s="247"/>
      <c r="AH48" s="248"/>
      <c r="AI48" s="210" t="str">
        <f>IF($AH48=0,"",(VLOOKUP($AH48,Пр.взв!$D$6:$J$71,2,0)))</f>
        <v/>
      </c>
      <c r="AJ48" s="210" t="str">
        <f>IF($AH48=0,"",(VLOOKUP($AH48,Пр.взв!$D$6:$J$71,5,0)))</f>
        <v/>
      </c>
      <c r="AK48" s="210" t="str">
        <f>IF($AH48=0,"",(VLOOKUP($AH48,Пр.взв!$D$6:$J$71,6,0)))</f>
        <v/>
      </c>
      <c r="AL48" s="210" t="str">
        <f>IF($AH48=0,"",(VLOOKUP($AH48,Пр.взв!$D$6:$M$71,8,0)))</f>
        <v/>
      </c>
      <c r="AM48" s="212"/>
      <c r="AN48" s="212"/>
      <c r="AO48" s="212"/>
      <c r="AP48" s="213"/>
    </row>
    <row r="49" spans="1:42" ht="27.75" customHeight="1">
      <c r="A49" s="252">
        <v>45</v>
      </c>
      <c r="B49" s="240">
        <f t="shared" ca="1" si="0"/>
        <v>1.5</v>
      </c>
      <c r="C49" s="244"/>
      <c r="D49" s="205" t="str">
        <f>IF(C49=0,"",(VLOOKUP($C49,Пр.взв!$D$6:$J$76,2,0)))</f>
        <v/>
      </c>
      <c r="E49" s="205" t="str">
        <f>IF(C49=0,"",(VLOOKUP($C49,Пр.взв!$D$6:$J$76,5,0)))</f>
        <v/>
      </c>
      <c r="F49" s="205" t="str">
        <f>IF(C49=0,"",(VLOOKUP($C49,Пр.взв!$D$6:$M$76,6,0)))</f>
        <v/>
      </c>
      <c r="G49" s="205" t="str">
        <f>IF(C49=0,"",(VLOOKUP($C49,Пр.взв!$D$6:$M$76,8,0)))</f>
        <v/>
      </c>
      <c r="H49" s="207" t="str">
        <f>IF(C49=0,"", IF(C50=0,"СВОБОДЕН",""))</f>
        <v/>
      </c>
      <c r="I49" s="207"/>
      <c r="J49" s="207"/>
      <c r="K49" s="208"/>
      <c r="L49" s="252"/>
      <c r="M49" s="252">
        <f ca="1">IFERROR(__xludf.DUMMYFUNCTION("""COMPUTED_VALUE"""),1.5)</f>
        <v>1.5</v>
      </c>
      <c r="N49" s="244"/>
      <c r="O49" s="205" t="str">
        <f ca="1">IFERROR(__xludf.DUMMYFUNCTION("""COMPUTED_VALUE"""),"")</f>
        <v/>
      </c>
      <c r="P49" s="205" t="str">
        <f ca="1">IFERROR(__xludf.DUMMYFUNCTION("""COMPUTED_VALUE"""),"")</f>
        <v/>
      </c>
      <c r="Q49" s="205" t="str">
        <f ca="1">IFERROR(__xludf.DUMMYFUNCTION("""COMPUTED_VALUE"""),"")</f>
        <v/>
      </c>
      <c r="R49" s="205" t="str">
        <f ca="1">IFERROR(__xludf.DUMMYFUNCTION("""COMPUTED_VALUE"""),"")</f>
        <v/>
      </c>
      <c r="S49" s="207" t="str">
        <f ca="1">IFERROR(__xludf.DUMMYFUNCTION("""COMPUTED_VALUE"""),"")</f>
        <v/>
      </c>
      <c r="T49" s="207"/>
      <c r="U49" s="207"/>
      <c r="V49" s="208"/>
      <c r="W49" s="247"/>
      <c r="X49" s="244"/>
      <c r="Y49" s="205"/>
      <c r="Z49" s="205"/>
      <c r="AA49" s="205"/>
      <c r="AB49" s="205"/>
      <c r="AC49" s="207"/>
      <c r="AD49" s="207"/>
      <c r="AE49" s="207"/>
      <c r="AF49" s="208"/>
      <c r="AG49" s="247"/>
      <c r="AH49" s="244"/>
      <c r="AI49" s="205" t="str">
        <f>IF($AH49=0,"",(VLOOKUP($AH49,Пр.взв!$D$6:$J$71,2,0)))</f>
        <v/>
      </c>
      <c r="AJ49" s="205" t="str">
        <f>IF($AH49=0,"",(VLOOKUP($AH49,Пр.взв!$D$6:$J$71,5,0)))</f>
        <v/>
      </c>
      <c r="AK49" s="205" t="str">
        <f>IF($AH49=0,"",(VLOOKUP($AH49,Пр.взв!$D$6:$J$71,6,0)))</f>
        <v/>
      </c>
      <c r="AL49" s="205" t="str">
        <f>IF($AH49=0,"",(VLOOKUP($AH49,Пр.взв!$D$6:$M$71,8,0)))</f>
        <v/>
      </c>
      <c r="AM49" s="207" t="str">
        <f>IF(AH49=0,"", IF(AH50=0,"СВОБОДЕН",""))</f>
        <v/>
      </c>
      <c r="AN49" s="207"/>
      <c r="AO49" s="207"/>
      <c r="AP49" s="208"/>
    </row>
    <row r="50" spans="1:42" ht="27.75" customHeight="1">
      <c r="A50" s="252">
        <v>46</v>
      </c>
      <c r="B50" s="240">
        <f t="shared" ca="1" si="0"/>
        <v>1.5</v>
      </c>
      <c r="C50" s="248"/>
      <c r="D50" s="210" t="str">
        <f>IF(C50=0,"",(VLOOKUP($C50,Пр.взв!$D$6:$J$76,2,0)))</f>
        <v/>
      </c>
      <c r="E50" s="210" t="str">
        <f>IF(C50=0,"",(VLOOKUP($C50,Пр.взв!$D$6:$J$76,5,0)))</f>
        <v/>
      </c>
      <c r="F50" s="210" t="str">
        <f>IF(C50=0,"",(VLOOKUP($C50,Пр.взв!$D$6:$M$76,6,0)))</f>
        <v/>
      </c>
      <c r="G50" s="210" t="str">
        <f>IF(C50=0,"",(VLOOKUP($C50,Пр.взв!$D$6:$M$76,8,0)))</f>
        <v/>
      </c>
      <c r="H50" s="212"/>
      <c r="I50" s="212"/>
      <c r="J50" s="212"/>
      <c r="K50" s="213"/>
      <c r="L50" s="252"/>
      <c r="M50" s="252">
        <f ca="1">IFERROR(__xludf.DUMMYFUNCTION("""COMPUTED_VALUE"""),1.5)</f>
        <v>1.5</v>
      </c>
      <c r="N50" s="248"/>
      <c r="O50" s="210" t="str">
        <f ca="1">IFERROR(__xludf.DUMMYFUNCTION("""COMPUTED_VALUE"""),"")</f>
        <v/>
      </c>
      <c r="P50" s="210" t="str">
        <f ca="1">IFERROR(__xludf.DUMMYFUNCTION("""COMPUTED_VALUE"""),"")</f>
        <v/>
      </c>
      <c r="Q50" s="210" t="str">
        <f ca="1">IFERROR(__xludf.DUMMYFUNCTION("""COMPUTED_VALUE"""),"")</f>
        <v/>
      </c>
      <c r="R50" s="210" t="str">
        <f ca="1">IFERROR(__xludf.DUMMYFUNCTION("""COMPUTED_VALUE"""),"")</f>
        <v/>
      </c>
      <c r="S50" s="212"/>
      <c r="T50" s="212"/>
      <c r="U50" s="212"/>
      <c r="V50" s="213"/>
      <c r="W50" s="247"/>
      <c r="X50" s="248"/>
      <c r="Y50" s="210"/>
      <c r="Z50" s="210"/>
      <c r="AA50" s="210"/>
      <c r="AB50" s="210"/>
      <c r="AC50" s="212"/>
      <c r="AD50" s="212"/>
      <c r="AE50" s="212"/>
      <c r="AF50" s="213"/>
      <c r="AG50" s="247"/>
      <c r="AH50" s="248"/>
      <c r="AI50" s="210" t="str">
        <f>IF($AH50=0,"",(VLOOKUP($AH50,Пр.взв!$D$6:$J$71,2,0)))</f>
        <v/>
      </c>
      <c r="AJ50" s="210" t="str">
        <f>IF($AH50=0,"",(VLOOKUP($AH50,Пр.взв!$D$6:$J$71,5,0)))</f>
        <v/>
      </c>
      <c r="AK50" s="210" t="str">
        <f>IF($AH50=0,"",(VLOOKUP($AH50,Пр.взв!$D$6:$J$71,6,0)))</f>
        <v/>
      </c>
      <c r="AL50" s="210" t="str">
        <f>IF($AH50=0,"",(VLOOKUP($AH50,Пр.взв!$D$6:$M$71,8,0)))</f>
        <v/>
      </c>
      <c r="AM50" s="212"/>
      <c r="AN50" s="212"/>
      <c r="AO50" s="212"/>
      <c r="AP50" s="213"/>
    </row>
    <row r="51" spans="1:42" ht="27.75" customHeight="1">
      <c r="A51" s="252">
        <v>47</v>
      </c>
      <c r="B51" s="240">
        <f t="shared" ca="1" si="0"/>
        <v>1.5</v>
      </c>
      <c r="C51" s="244"/>
      <c r="D51" s="205" t="str">
        <f>IF(C51=0,"",(VLOOKUP($C51,Пр.взв!$D$6:$J$76,2,0)))</f>
        <v/>
      </c>
      <c r="E51" s="205" t="str">
        <f>IF(C51=0,"",(VLOOKUP($C51,Пр.взв!$D$6:$J$76,5,0)))</f>
        <v/>
      </c>
      <c r="F51" s="205" t="str">
        <f>IF(C51=0,"",(VLOOKUP($C51,Пр.взв!$D$6:$M$76,6,0)))</f>
        <v/>
      </c>
      <c r="G51" s="205" t="str">
        <f>IF(C51=0,"",(VLOOKUP($C51,Пр.взв!$D$6:$M$76,8,0)))</f>
        <v/>
      </c>
      <c r="H51" s="207" t="str">
        <f>IF(C51=0,"", IF(C52=0,"СВОБОДЕН",""))</f>
        <v/>
      </c>
      <c r="I51" s="207"/>
      <c r="J51" s="207"/>
      <c r="K51" s="208"/>
      <c r="L51" s="252"/>
      <c r="M51" s="252">
        <f ca="1">IFERROR(__xludf.DUMMYFUNCTION("""COMPUTED_VALUE"""),1.5)</f>
        <v>1.5</v>
      </c>
      <c r="N51" s="244"/>
      <c r="O51" s="205" t="str">
        <f ca="1">IFERROR(__xludf.DUMMYFUNCTION("""COMPUTED_VALUE"""),"")</f>
        <v/>
      </c>
      <c r="P51" s="205" t="str">
        <f ca="1">IFERROR(__xludf.DUMMYFUNCTION("""COMPUTED_VALUE"""),"")</f>
        <v/>
      </c>
      <c r="Q51" s="205" t="str">
        <f ca="1">IFERROR(__xludf.DUMMYFUNCTION("""COMPUTED_VALUE"""),"")</f>
        <v/>
      </c>
      <c r="R51" s="205" t="str">
        <f ca="1">IFERROR(__xludf.DUMMYFUNCTION("""COMPUTED_VALUE"""),"")</f>
        <v/>
      </c>
      <c r="S51" s="207" t="str">
        <f ca="1">IFERROR(__xludf.DUMMYFUNCTION("""COMPUTED_VALUE"""),"")</f>
        <v/>
      </c>
      <c r="T51" s="207"/>
      <c r="U51" s="207"/>
      <c r="V51" s="208"/>
      <c r="W51" s="247"/>
      <c r="X51" s="244"/>
      <c r="Y51" s="205"/>
      <c r="Z51" s="205"/>
      <c r="AA51" s="205"/>
      <c r="AB51" s="205"/>
      <c r="AC51" s="207"/>
      <c r="AD51" s="207"/>
      <c r="AE51" s="207"/>
      <c r="AF51" s="208"/>
      <c r="AG51" s="247"/>
      <c r="AH51" s="244"/>
      <c r="AI51" s="205" t="str">
        <f>IF($AH51=0,"",(VLOOKUP($AH51,Пр.взв!$D$6:$J$71,2,0)))</f>
        <v/>
      </c>
      <c r="AJ51" s="205" t="str">
        <f>IF($AH51=0,"",(VLOOKUP($AH51,Пр.взв!$D$6:$J$71,5,0)))</f>
        <v/>
      </c>
      <c r="AK51" s="205" t="str">
        <f>IF($AH51=0,"",(VLOOKUP($AH51,Пр.взв!$D$6:$J$71,6,0)))</f>
        <v/>
      </c>
      <c r="AL51" s="205" t="str">
        <f>IF($AH51=0,"",(VLOOKUP($AH51,Пр.взв!$D$6:$M$71,8,0)))</f>
        <v/>
      </c>
      <c r="AM51" s="207" t="str">
        <f>IF(AH51=0,"", IF(AH52=0,"СВОБОДЕН",""))</f>
        <v/>
      </c>
      <c r="AN51" s="207"/>
      <c r="AO51" s="207"/>
      <c r="AP51" s="208"/>
    </row>
    <row r="52" spans="1:42" ht="27.75" customHeight="1">
      <c r="A52" s="252">
        <v>48</v>
      </c>
      <c r="B52" s="240">
        <f t="shared" ca="1" si="0"/>
        <v>1.5</v>
      </c>
      <c r="C52" s="248"/>
      <c r="D52" s="210" t="str">
        <f>IF(C52=0,"",(VLOOKUP($C52,Пр.взв!$D$6:$J$76,2,0)))</f>
        <v/>
      </c>
      <c r="E52" s="210" t="str">
        <f>IF(C52=0,"",(VLOOKUP($C52,Пр.взв!$D$6:$J$76,5,0)))</f>
        <v/>
      </c>
      <c r="F52" s="210" t="str">
        <f>IF(C52=0,"",(VLOOKUP($C52,Пр.взв!$D$6:$M$76,6,0)))</f>
        <v/>
      </c>
      <c r="G52" s="210" t="str">
        <f>IF(C52=0,"",(VLOOKUP($C52,Пр.взв!$D$6:$M$76,8,0)))</f>
        <v/>
      </c>
      <c r="H52" s="212"/>
      <c r="I52" s="212"/>
      <c r="J52" s="212"/>
      <c r="K52" s="213"/>
      <c r="L52" s="252"/>
      <c r="M52" s="252">
        <f ca="1">IFERROR(__xludf.DUMMYFUNCTION("""COMPUTED_VALUE"""),1.5)</f>
        <v>1.5</v>
      </c>
      <c r="N52" s="248"/>
      <c r="O52" s="210" t="str">
        <f ca="1">IFERROR(__xludf.DUMMYFUNCTION("""COMPUTED_VALUE"""),"")</f>
        <v/>
      </c>
      <c r="P52" s="210" t="str">
        <f ca="1">IFERROR(__xludf.DUMMYFUNCTION("""COMPUTED_VALUE"""),"")</f>
        <v/>
      </c>
      <c r="Q52" s="210" t="str">
        <f ca="1">IFERROR(__xludf.DUMMYFUNCTION("""COMPUTED_VALUE"""),"")</f>
        <v/>
      </c>
      <c r="R52" s="210" t="str">
        <f ca="1">IFERROR(__xludf.DUMMYFUNCTION("""COMPUTED_VALUE"""),"")</f>
        <v/>
      </c>
      <c r="S52" s="212"/>
      <c r="T52" s="212"/>
      <c r="U52" s="212"/>
      <c r="V52" s="213"/>
      <c r="W52" s="247"/>
      <c r="X52" s="248"/>
      <c r="Y52" s="210"/>
      <c r="Z52" s="210"/>
      <c r="AA52" s="210"/>
      <c r="AB52" s="210"/>
      <c r="AC52" s="212"/>
      <c r="AD52" s="212"/>
      <c r="AE52" s="212"/>
      <c r="AF52" s="213"/>
      <c r="AG52" s="247"/>
      <c r="AH52" s="248"/>
      <c r="AI52" s="210" t="str">
        <f>IF($AH52=0,"",(VLOOKUP($AH52,Пр.взв!$D$6:$J$71,2,0)))</f>
        <v/>
      </c>
      <c r="AJ52" s="210" t="str">
        <f>IF($AH52=0,"",(VLOOKUP($AH52,Пр.взв!$D$6:$J$71,5,0)))</f>
        <v/>
      </c>
      <c r="AK52" s="210" t="str">
        <f>IF($AH52=0,"",(VLOOKUP($AH52,Пр.взв!$D$6:$J$71,6,0)))</f>
        <v/>
      </c>
      <c r="AL52" s="210" t="str">
        <f>IF($AH52=0,"",(VLOOKUP($AH52,Пр.взв!$D$6:$M$71,8,0)))</f>
        <v/>
      </c>
      <c r="AM52" s="212"/>
      <c r="AN52" s="212"/>
      <c r="AO52" s="212"/>
      <c r="AP52" s="213"/>
    </row>
    <row r="53" spans="1:42" ht="27.75" customHeight="1">
      <c r="A53" s="252">
        <v>49</v>
      </c>
      <c r="B53" s="240">
        <f t="shared" ca="1" si="0"/>
        <v>1.5</v>
      </c>
      <c r="C53" s="244"/>
      <c r="D53" s="205" t="str">
        <f>IF(C53=0,"",(VLOOKUP($C53,Пр.взв!$D$6:$J$76,2,0)))</f>
        <v/>
      </c>
      <c r="E53" s="205" t="str">
        <f>IF(C53=0,"",(VLOOKUP($C53,Пр.взв!$D$6:$J$76,5,0)))</f>
        <v/>
      </c>
      <c r="F53" s="205" t="str">
        <f>IF(C53=0,"",(VLOOKUP($C53,Пр.взв!$D$6:$M$76,6,0)))</f>
        <v/>
      </c>
      <c r="G53" s="205" t="str">
        <f>IF(C53=0,"",(VLOOKUP($C53,Пр.взв!$D$6:$M$76,8,0)))</f>
        <v/>
      </c>
      <c r="H53" s="207" t="str">
        <f>IF(C53=0,"", IF(C54=0,"СВОБОДЕН",""))</f>
        <v/>
      </c>
      <c r="I53" s="207"/>
      <c r="J53" s="207"/>
      <c r="K53" s="208"/>
      <c r="L53" s="252"/>
      <c r="M53" s="252">
        <f ca="1">IFERROR(__xludf.DUMMYFUNCTION("""COMPUTED_VALUE"""),1.5)</f>
        <v>1.5</v>
      </c>
      <c r="N53" s="244"/>
      <c r="O53" s="205" t="str">
        <f ca="1">IFERROR(__xludf.DUMMYFUNCTION("""COMPUTED_VALUE"""),"")</f>
        <v/>
      </c>
      <c r="P53" s="205" t="str">
        <f ca="1">IFERROR(__xludf.DUMMYFUNCTION("""COMPUTED_VALUE"""),"")</f>
        <v/>
      </c>
      <c r="Q53" s="205" t="str">
        <f ca="1">IFERROR(__xludf.DUMMYFUNCTION("""COMPUTED_VALUE"""),"")</f>
        <v/>
      </c>
      <c r="R53" s="205" t="str">
        <f ca="1">IFERROR(__xludf.DUMMYFUNCTION("""COMPUTED_VALUE"""),"")</f>
        <v/>
      </c>
      <c r="S53" s="207" t="str">
        <f ca="1">IFERROR(__xludf.DUMMYFUNCTION("""COMPUTED_VALUE"""),"")</f>
        <v/>
      </c>
      <c r="T53" s="207"/>
      <c r="U53" s="207"/>
      <c r="V53" s="208"/>
      <c r="W53" s="247"/>
      <c r="X53" s="244"/>
      <c r="Y53" s="205"/>
      <c r="Z53" s="205"/>
      <c r="AA53" s="205"/>
      <c r="AB53" s="205"/>
      <c r="AC53" s="207"/>
      <c r="AD53" s="207"/>
      <c r="AE53" s="207"/>
      <c r="AF53" s="208"/>
      <c r="AG53" s="247"/>
      <c r="AH53" s="244"/>
      <c r="AI53" s="205" t="str">
        <f>IF($AH53=0,"",(VLOOKUP($AH53,Пр.взв!$D$6:$J$71,2,0)))</f>
        <v/>
      </c>
      <c r="AJ53" s="205" t="str">
        <f>IF($AH53=0,"",(VLOOKUP($AH53,Пр.взв!$D$6:$J$71,5,0)))</f>
        <v/>
      </c>
      <c r="AK53" s="205" t="str">
        <f>IF($AH53=0,"",(VLOOKUP($AH53,Пр.взв!$D$6:$J$71,6,0)))</f>
        <v/>
      </c>
      <c r="AL53" s="205" t="str">
        <f>IF($AH53=0,"",(VLOOKUP($AH53,Пр.взв!$D$6:$M$71,8,0)))</f>
        <v/>
      </c>
      <c r="AM53" s="207" t="str">
        <f>IF(AH53=0,"", IF(AH54=0,"СВОБОДЕН",""))</f>
        <v/>
      </c>
      <c r="AN53" s="207"/>
      <c r="AO53" s="207"/>
      <c r="AP53" s="208"/>
    </row>
    <row r="54" spans="1:42" ht="27.75" customHeight="1">
      <c r="A54" s="252">
        <v>50</v>
      </c>
      <c r="B54" s="240">
        <f t="shared" ca="1" si="0"/>
        <v>1.5</v>
      </c>
      <c r="C54" s="248"/>
      <c r="D54" s="210" t="str">
        <f>IF(C54=0,"",(VLOOKUP($C54,Пр.взв!$D$6:$J$76,2,0)))</f>
        <v/>
      </c>
      <c r="E54" s="210" t="str">
        <f>IF(C54=0,"",(VLOOKUP($C54,Пр.взв!$D$6:$J$76,5,0)))</f>
        <v/>
      </c>
      <c r="F54" s="210" t="str">
        <f>IF(C54=0,"",(VLOOKUP($C54,Пр.взв!$D$6:$M$76,6,0)))</f>
        <v/>
      </c>
      <c r="G54" s="210" t="str">
        <f>IF(C54=0,"",(VLOOKUP($C54,Пр.взв!$D$6:$M$76,8,0)))</f>
        <v/>
      </c>
      <c r="H54" s="212"/>
      <c r="I54" s="212"/>
      <c r="J54" s="212"/>
      <c r="K54" s="213"/>
      <c r="L54" s="252"/>
      <c r="M54" s="252">
        <f ca="1">IFERROR(__xludf.DUMMYFUNCTION("""COMPUTED_VALUE"""),1.5)</f>
        <v>1.5</v>
      </c>
      <c r="N54" s="248"/>
      <c r="O54" s="210" t="str">
        <f ca="1">IFERROR(__xludf.DUMMYFUNCTION("""COMPUTED_VALUE"""),"")</f>
        <v/>
      </c>
      <c r="P54" s="210" t="str">
        <f ca="1">IFERROR(__xludf.DUMMYFUNCTION("""COMPUTED_VALUE"""),"")</f>
        <v/>
      </c>
      <c r="Q54" s="210" t="str">
        <f ca="1">IFERROR(__xludf.DUMMYFUNCTION("""COMPUTED_VALUE"""),"")</f>
        <v/>
      </c>
      <c r="R54" s="210" t="str">
        <f ca="1">IFERROR(__xludf.DUMMYFUNCTION("""COMPUTED_VALUE"""),"")</f>
        <v/>
      </c>
      <c r="S54" s="212"/>
      <c r="T54" s="212"/>
      <c r="U54" s="212"/>
      <c r="V54" s="213"/>
      <c r="W54" s="247"/>
      <c r="X54" s="248"/>
      <c r="Y54" s="210"/>
      <c r="Z54" s="210"/>
      <c r="AA54" s="210"/>
      <c r="AB54" s="210"/>
      <c r="AC54" s="212"/>
      <c r="AD54" s="212"/>
      <c r="AE54" s="212"/>
      <c r="AF54" s="213"/>
      <c r="AG54" s="247"/>
      <c r="AH54" s="248"/>
      <c r="AI54" s="210" t="str">
        <f>IF($AH54=0,"",(VLOOKUP($AH54,Пр.взв!$D$6:$J$71,2,0)))</f>
        <v/>
      </c>
      <c r="AJ54" s="210" t="str">
        <f>IF($AH54=0,"",(VLOOKUP($AH54,Пр.взв!$D$6:$J$71,5,0)))</f>
        <v/>
      </c>
      <c r="AK54" s="210" t="str">
        <f>IF($AH54=0,"",(VLOOKUP($AH54,Пр.взв!$D$6:$J$71,6,0)))</f>
        <v/>
      </c>
      <c r="AL54" s="210" t="str">
        <f>IF($AH54=0,"",(VLOOKUP($AH54,Пр.взв!$D$6:$M$71,8,0)))</f>
        <v/>
      </c>
      <c r="AM54" s="212"/>
      <c r="AN54" s="212"/>
      <c r="AO54" s="212"/>
      <c r="AP54" s="213"/>
    </row>
    <row r="55" spans="1:42" ht="27.75" customHeight="1">
      <c r="A55" s="252">
        <v>51</v>
      </c>
      <c r="B55" s="240">
        <f t="shared" ca="1" si="0"/>
        <v>1.5</v>
      </c>
      <c r="C55" s="244"/>
      <c r="D55" s="205" t="str">
        <f>IF(C55=0,"",(VLOOKUP($C55,Пр.взв!$D$6:$J$76,2,0)))</f>
        <v/>
      </c>
      <c r="E55" s="205" t="str">
        <f>IF(C55=0,"",(VLOOKUP($C55,Пр.взв!$D$6:$J$76,5,0)))</f>
        <v/>
      </c>
      <c r="F55" s="205" t="str">
        <f>IF(C55=0,"",(VLOOKUP($C55,Пр.взв!$D$6:$M$76,6,0)))</f>
        <v/>
      </c>
      <c r="G55" s="205" t="str">
        <f>IF(C55=0,"",(VLOOKUP($C55,Пр.взв!$D$6:$M$76,8,0)))</f>
        <v/>
      </c>
      <c r="H55" s="207" t="str">
        <f>IF(C55=0,"", IF(C56=0,"СВОБОДЕН",""))</f>
        <v/>
      </c>
      <c r="I55" s="207"/>
      <c r="J55" s="207"/>
      <c r="K55" s="208"/>
      <c r="L55" s="252"/>
      <c r="M55" s="252">
        <f ca="1">IFERROR(__xludf.DUMMYFUNCTION("""COMPUTED_VALUE"""),1.5)</f>
        <v>1.5</v>
      </c>
      <c r="N55" s="244"/>
      <c r="O55" s="205" t="str">
        <f ca="1">IFERROR(__xludf.DUMMYFUNCTION("""COMPUTED_VALUE"""),"")</f>
        <v/>
      </c>
      <c r="P55" s="205" t="str">
        <f ca="1">IFERROR(__xludf.DUMMYFUNCTION("""COMPUTED_VALUE"""),"")</f>
        <v/>
      </c>
      <c r="Q55" s="205" t="str">
        <f ca="1">IFERROR(__xludf.DUMMYFUNCTION("""COMPUTED_VALUE"""),"")</f>
        <v/>
      </c>
      <c r="R55" s="205" t="str">
        <f ca="1">IFERROR(__xludf.DUMMYFUNCTION("""COMPUTED_VALUE"""),"")</f>
        <v/>
      </c>
      <c r="S55" s="207" t="str">
        <f ca="1">IFERROR(__xludf.DUMMYFUNCTION("""COMPUTED_VALUE"""),"")</f>
        <v/>
      </c>
      <c r="T55" s="207"/>
      <c r="U55" s="207"/>
      <c r="V55" s="208"/>
      <c r="W55" s="247"/>
      <c r="X55" s="244"/>
      <c r="Y55" s="205"/>
      <c r="Z55" s="205"/>
      <c r="AA55" s="205"/>
      <c r="AB55" s="205"/>
      <c r="AC55" s="207"/>
      <c r="AD55" s="207"/>
      <c r="AE55" s="207"/>
      <c r="AF55" s="208"/>
      <c r="AG55" s="247"/>
      <c r="AH55" s="244"/>
      <c r="AI55" s="205" t="str">
        <f>IF($AH55=0,"",(VLOOKUP($AH55,Пр.взв!$D$6:$J$71,2,0)))</f>
        <v/>
      </c>
      <c r="AJ55" s="205" t="str">
        <f>IF($AH55=0,"",(VLOOKUP($AH55,Пр.взв!$D$6:$J$71,5,0)))</f>
        <v/>
      </c>
      <c r="AK55" s="205" t="str">
        <f>IF($AH55=0,"",(VLOOKUP($AH55,Пр.взв!$D$6:$J$71,6,0)))</f>
        <v/>
      </c>
      <c r="AL55" s="205" t="str">
        <f>IF($AH55=0,"",(VLOOKUP($AH55,Пр.взв!$D$6:$M$71,8,0)))</f>
        <v/>
      </c>
      <c r="AM55" s="207" t="str">
        <f>IF(AH55=0,"", IF(AH56=0,"СВОБОДЕН",""))</f>
        <v/>
      </c>
      <c r="AN55" s="207"/>
      <c r="AO55" s="207"/>
      <c r="AP55" s="208"/>
    </row>
    <row r="56" spans="1:42" ht="27.75" customHeight="1">
      <c r="A56" s="252">
        <v>52</v>
      </c>
      <c r="B56" s="240">
        <f t="shared" ca="1" si="0"/>
        <v>1.5</v>
      </c>
      <c r="C56" s="248"/>
      <c r="D56" s="210" t="str">
        <f>IF(C56=0,"",(VLOOKUP($C56,Пр.взв!$D$6:$J$76,2,0)))</f>
        <v/>
      </c>
      <c r="E56" s="210" t="str">
        <f>IF(C56=0,"",(VLOOKUP($C56,Пр.взв!$D$6:$J$76,5,0)))</f>
        <v/>
      </c>
      <c r="F56" s="210" t="str">
        <f>IF(C56=0,"",(VLOOKUP($C56,Пр.взв!$D$6:$M$76,6,0)))</f>
        <v/>
      </c>
      <c r="G56" s="210" t="str">
        <f>IF(C56=0,"",(VLOOKUP($C56,Пр.взв!$D$6:$M$76,8,0)))</f>
        <v/>
      </c>
      <c r="H56" s="212"/>
      <c r="I56" s="212"/>
      <c r="J56" s="212"/>
      <c r="K56" s="213"/>
      <c r="L56" s="252"/>
      <c r="M56" s="252">
        <f ca="1">IFERROR(__xludf.DUMMYFUNCTION("""COMPUTED_VALUE"""),1.5)</f>
        <v>1.5</v>
      </c>
      <c r="N56" s="248"/>
      <c r="O56" s="210" t="str">
        <f ca="1">IFERROR(__xludf.DUMMYFUNCTION("""COMPUTED_VALUE"""),"")</f>
        <v/>
      </c>
      <c r="P56" s="210" t="str">
        <f ca="1">IFERROR(__xludf.DUMMYFUNCTION("""COMPUTED_VALUE"""),"")</f>
        <v/>
      </c>
      <c r="Q56" s="210" t="str">
        <f ca="1">IFERROR(__xludf.DUMMYFUNCTION("""COMPUTED_VALUE"""),"")</f>
        <v/>
      </c>
      <c r="R56" s="210" t="str">
        <f ca="1">IFERROR(__xludf.DUMMYFUNCTION("""COMPUTED_VALUE"""),"")</f>
        <v/>
      </c>
      <c r="S56" s="212"/>
      <c r="T56" s="212"/>
      <c r="U56" s="212"/>
      <c r="V56" s="213"/>
      <c r="W56" s="247"/>
      <c r="X56" s="248"/>
      <c r="Y56" s="210"/>
      <c r="Z56" s="210"/>
      <c r="AA56" s="210"/>
      <c r="AB56" s="210"/>
      <c r="AC56" s="212"/>
      <c r="AD56" s="212"/>
      <c r="AE56" s="212"/>
      <c r="AF56" s="213"/>
      <c r="AG56" s="247"/>
      <c r="AH56" s="248"/>
      <c r="AI56" s="210" t="str">
        <f>IF($AH56=0,"",(VLOOKUP($AH56,Пр.взв!$D$6:$J$71,2,0)))</f>
        <v/>
      </c>
      <c r="AJ56" s="210" t="str">
        <f>IF($AH56=0,"",(VLOOKUP($AH56,Пр.взв!$D$6:$J$71,5,0)))</f>
        <v/>
      </c>
      <c r="AK56" s="210" t="str">
        <f>IF($AH56=0,"",(VLOOKUP($AH56,Пр.взв!$D$6:$J$71,6,0)))</f>
        <v/>
      </c>
      <c r="AL56" s="210" t="str">
        <f>IF($AH56=0,"",(VLOOKUP($AH56,Пр.взв!$D$6:$M$71,8,0)))</f>
        <v/>
      </c>
      <c r="AM56" s="212"/>
      <c r="AN56" s="212"/>
      <c r="AO56" s="212"/>
      <c r="AP56" s="213"/>
    </row>
    <row r="57" spans="1:42" ht="27.75" customHeight="1">
      <c r="A57" s="252">
        <v>53</v>
      </c>
      <c r="B57" s="240">
        <f t="shared" ca="1" si="0"/>
        <v>1.5</v>
      </c>
      <c r="C57" s="244"/>
      <c r="D57" s="205" t="str">
        <f>IF(C57=0,"",(VLOOKUP($C57,Пр.взв!$D$6:$J$76,2,0)))</f>
        <v/>
      </c>
      <c r="E57" s="205" t="str">
        <f>IF(C57=0,"",(VLOOKUP($C57,Пр.взв!$D$6:$J$76,5,0)))</f>
        <v/>
      </c>
      <c r="F57" s="205" t="str">
        <f>IF(C57=0,"",(VLOOKUP($C57,Пр.взв!$D$6:$M$76,6,0)))</f>
        <v/>
      </c>
      <c r="G57" s="205" t="str">
        <f>IF(C57=0,"",(VLOOKUP($C57,Пр.взв!$D$6:$M$76,8,0)))</f>
        <v/>
      </c>
      <c r="H57" s="207" t="str">
        <f>IF(C57=0,"", IF(C58=0,"СВОБОДЕН",""))</f>
        <v/>
      </c>
      <c r="I57" s="207"/>
      <c r="J57" s="207"/>
      <c r="K57" s="208"/>
      <c r="L57" s="252"/>
      <c r="M57" s="252">
        <f ca="1">IFERROR(__xludf.DUMMYFUNCTION("""COMPUTED_VALUE"""),1.5)</f>
        <v>1.5</v>
      </c>
      <c r="N57" s="244"/>
      <c r="O57" s="205" t="str">
        <f ca="1">IFERROR(__xludf.DUMMYFUNCTION("""COMPUTED_VALUE"""),"")</f>
        <v/>
      </c>
      <c r="P57" s="205" t="str">
        <f ca="1">IFERROR(__xludf.DUMMYFUNCTION("""COMPUTED_VALUE"""),"")</f>
        <v/>
      </c>
      <c r="Q57" s="205" t="str">
        <f ca="1">IFERROR(__xludf.DUMMYFUNCTION("""COMPUTED_VALUE"""),"")</f>
        <v/>
      </c>
      <c r="R57" s="205" t="str">
        <f ca="1">IFERROR(__xludf.DUMMYFUNCTION("""COMPUTED_VALUE"""),"")</f>
        <v/>
      </c>
      <c r="S57" s="207" t="str">
        <f ca="1">IFERROR(__xludf.DUMMYFUNCTION("""COMPUTED_VALUE"""),"")</f>
        <v/>
      </c>
      <c r="T57" s="207"/>
      <c r="U57" s="207"/>
      <c r="V57" s="208"/>
      <c r="W57" s="247"/>
      <c r="X57" s="244"/>
      <c r="Y57" s="205"/>
      <c r="Z57" s="205"/>
      <c r="AA57" s="205"/>
      <c r="AB57" s="205"/>
      <c r="AC57" s="207"/>
      <c r="AD57" s="207"/>
      <c r="AE57" s="207"/>
      <c r="AF57" s="208"/>
      <c r="AG57" s="247"/>
      <c r="AH57" s="244"/>
      <c r="AI57" s="205" t="str">
        <f>IF($AH57=0,"",(VLOOKUP($AH57,Пр.взв!$D$6:$J$71,2,0)))</f>
        <v/>
      </c>
      <c r="AJ57" s="205" t="str">
        <f>IF($AH57=0,"",(VLOOKUP($AH57,Пр.взв!$D$6:$J$71,5,0)))</f>
        <v/>
      </c>
      <c r="AK57" s="205" t="str">
        <f>IF($AH57=0,"",(VLOOKUP($AH57,Пр.взв!$D$6:$J$71,6,0)))</f>
        <v/>
      </c>
      <c r="AL57" s="205" t="str">
        <f>IF($AH57=0,"",(VLOOKUP($AH57,Пр.взв!$D$6:$M$71,8,0)))</f>
        <v/>
      </c>
      <c r="AM57" s="207" t="str">
        <f>IF(AH57=0,"", IF(AH58=0,"СВОБОДЕН",""))</f>
        <v/>
      </c>
      <c r="AN57" s="207"/>
      <c r="AO57" s="207"/>
      <c r="AP57" s="208"/>
    </row>
    <row r="58" spans="1:42" ht="27.75" customHeight="1">
      <c r="A58" s="252">
        <v>54</v>
      </c>
      <c r="B58" s="240">
        <f t="shared" ca="1" si="0"/>
        <v>1.5</v>
      </c>
      <c r="C58" s="248"/>
      <c r="D58" s="210" t="str">
        <f>IF(C58=0,"",(VLOOKUP($C58,Пр.взв!$D$6:$J$76,2,0)))</f>
        <v/>
      </c>
      <c r="E58" s="210" t="str">
        <f>IF(C58=0,"",(VLOOKUP($C58,Пр.взв!$D$6:$J$76,5,0)))</f>
        <v/>
      </c>
      <c r="F58" s="210" t="str">
        <f>IF(C58=0,"",(VLOOKUP($C58,Пр.взв!$D$6:$M$76,6,0)))</f>
        <v/>
      </c>
      <c r="G58" s="210" t="str">
        <f>IF(C58=0,"",(VLOOKUP($C58,Пр.взв!$D$6:$M$76,8,0)))</f>
        <v/>
      </c>
      <c r="H58" s="212"/>
      <c r="I58" s="212"/>
      <c r="J58" s="212"/>
      <c r="K58" s="213"/>
      <c r="L58" s="252"/>
      <c r="M58" s="252">
        <f ca="1">IFERROR(__xludf.DUMMYFUNCTION("""COMPUTED_VALUE"""),1.5)</f>
        <v>1.5</v>
      </c>
      <c r="N58" s="248"/>
      <c r="O58" s="210" t="str">
        <f ca="1">IFERROR(__xludf.DUMMYFUNCTION("""COMPUTED_VALUE"""),"")</f>
        <v/>
      </c>
      <c r="P58" s="210" t="str">
        <f ca="1">IFERROR(__xludf.DUMMYFUNCTION("""COMPUTED_VALUE"""),"")</f>
        <v/>
      </c>
      <c r="Q58" s="210" t="str">
        <f ca="1">IFERROR(__xludf.DUMMYFUNCTION("""COMPUTED_VALUE"""),"")</f>
        <v/>
      </c>
      <c r="R58" s="210" t="str">
        <f ca="1">IFERROR(__xludf.DUMMYFUNCTION("""COMPUTED_VALUE"""),"")</f>
        <v/>
      </c>
      <c r="S58" s="212"/>
      <c r="T58" s="212"/>
      <c r="U58" s="212"/>
      <c r="V58" s="213"/>
      <c r="W58" s="247"/>
      <c r="X58" s="248"/>
      <c r="Y58" s="210"/>
      <c r="Z58" s="210"/>
      <c r="AA58" s="210"/>
      <c r="AB58" s="210"/>
      <c r="AC58" s="212"/>
      <c r="AD58" s="212"/>
      <c r="AE58" s="212"/>
      <c r="AF58" s="213"/>
      <c r="AG58" s="247"/>
      <c r="AH58" s="248"/>
      <c r="AI58" s="210" t="str">
        <f>IF($AH58=0,"",(VLOOKUP($AH58,Пр.взв!$D$6:$J$71,2,0)))</f>
        <v/>
      </c>
      <c r="AJ58" s="210" t="str">
        <f>IF($AH58=0,"",(VLOOKUP($AH58,Пр.взв!$D$6:$J$71,5,0)))</f>
        <v/>
      </c>
      <c r="AK58" s="210" t="str">
        <f>IF($AH58=0,"",(VLOOKUP($AH58,Пр.взв!$D$6:$J$71,6,0)))</f>
        <v/>
      </c>
      <c r="AL58" s="210" t="str">
        <f>IF($AH58=0,"",(VLOOKUP($AH58,Пр.взв!$D$6:$M$71,8,0)))</f>
        <v/>
      </c>
      <c r="AM58" s="212"/>
      <c r="AN58" s="212"/>
      <c r="AO58" s="212"/>
      <c r="AP58" s="213"/>
    </row>
    <row r="59" spans="1:42" ht="27.75" customHeight="1">
      <c r="A59" s="252">
        <v>55</v>
      </c>
      <c r="B59" s="240">
        <f t="shared" ca="1" si="0"/>
        <v>1.5</v>
      </c>
      <c r="C59" s="244"/>
      <c r="D59" s="205" t="str">
        <f>IF(C59=0,"",(VLOOKUP($C59,Пр.взв!$D$6:$J$76,2,0)))</f>
        <v/>
      </c>
      <c r="E59" s="205" t="str">
        <f>IF(C59=0,"",(VLOOKUP($C59,Пр.взв!$D$6:$J$76,5,0)))</f>
        <v/>
      </c>
      <c r="F59" s="205" t="str">
        <f>IF(C59=0,"",(VLOOKUP($C59,Пр.взв!$D$6:$M$76,6,0)))</f>
        <v/>
      </c>
      <c r="G59" s="205" t="str">
        <f>IF(C59=0,"",(VLOOKUP($C59,Пр.взв!$D$6:$M$76,8,0)))</f>
        <v/>
      </c>
      <c r="H59" s="207" t="str">
        <f>IF(C59=0,"", IF(C60=0,"СВОБОДЕН",""))</f>
        <v/>
      </c>
      <c r="I59" s="207"/>
      <c r="J59" s="207"/>
      <c r="K59" s="208"/>
      <c r="L59" s="252"/>
      <c r="M59" s="252">
        <f ca="1">IFERROR(__xludf.DUMMYFUNCTION("""COMPUTED_VALUE"""),1.5)</f>
        <v>1.5</v>
      </c>
      <c r="N59" s="244"/>
      <c r="O59" s="205" t="str">
        <f ca="1">IFERROR(__xludf.DUMMYFUNCTION("""COMPUTED_VALUE"""),"")</f>
        <v/>
      </c>
      <c r="P59" s="205" t="str">
        <f ca="1">IFERROR(__xludf.DUMMYFUNCTION("""COMPUTED_VALUE"""),"")</f>
        <v/>
      </c>
      <c r="Q59" s="205" t="str">
        <f ca="1">IFERROR(__xludf.DUMMYFUNCTION("""COMPUTED_VALUE"""),"")</f>
        <v/>
      </c>
      <c r="R59" s="205" t="str">
        <f ca="1">IFERROR(__xludf.DUMMYFUNCTION("""COMPUTED_VALUE"""),"")</f>
        <v/>
      </c>
      <c r="S59" s="207" t="str">
        <f ca="1">IFERROR(__xludf.DUMMYFUNCTION("""COMPUTED_VALUE"""),"")</f>
        <v/>
      </c>
      <c r="T59" s="207"/>
      <c r="U59" s="207"/>
      <c r="V59" s="208"/>
      <c r="W59" s="247"/>
      <c r="X59" s="244"/>
      <c r="Y59" s="205"/>
      <c r="Z59" s="205"/>
      <c r="AA59" s="205"/>
      <c r="AB59" s="205"/>
      <c r="AC59" s="207"/>
      <c r="AD59" s="207"/>
      <c r="AE59" s="207"/>
      <c r="AF59" s="208"/>
      <c r="AG59" s="247"/>
      <c r="AH59" s="244"/>
      <c r="AI59" s="205" t="str">
        <f>IF($AH59=0,"",(VLOOKUP($AH59,Пр.взв!$D$6:$J$71,2,0)))</f>
        <v/>
      </c>
      <c r="AJ59" s="205" t="str">
        <f>IF($AH59=0,"",(VLOOKUP($AH59,Пр.взв!$D$6:$J$71,5,0)))</f>
        <v/>
      </c>
      <c r="AK59" s="205" t="str">
        <f>IF($AH59=0,"",(VLOOKUP($AH59,Пр.взв!$D$6:$J$71,6,0)))</f>
        <v/>
      </c>
      <c r="AL59" s="205" t="str">
        <f>IF($AH59=0,"",(VLOOKUP($AH59,Пр.взв!$D$6:$M$71,8,0)))</f>
        <v/>
      </c>
      <c r="AM59" s="207" t="str">
        <f>IF(AH59=0,"", IF(AH60=0,"СВОБОДЕН",""))</f>
        <v/>
      </c>
      <c r="AN59" s="207"/>
      <c r="AO59" s="207"/>
      <c r="AP59" s="208"/>
    </row>
    <row r="60" spans="1:42" ht="27.75" customHeight="1">
      <c r="A60" s="252">
        <v>56</v>
      </c>
      <c r="B60" s="240">
        <f t="shared" ca="1" si="0"/>
        <v>1.5</v>
      </c>
      <c r="C60" s="248"/>
      <c r="D60" s="210" t="str">
        <f>IF(C60=0,"",(VLOOKUP($C60,Пр.взв!$D$6:$J$76,2,0)))</f>
        <v/>
      </c>
      <c r="E60" s="210" t="str">
        <f>IF(C60=0,"",(VLOOKUP($C60,Пр.взв!$D$6:$J$76,5,0)))</f>
        <v/>
      </c>
      <c r="F60" s="210" t="str">
        <f>IF(C60=0,"",(VLOOKUP($C60,Пр.взв!$D$6:$M$76,6,0)))</f>
        <v/>
      </c>
      <c r="G60" s="210" t="str">
        <f>IF(C60=0,"",(VLOOKUP($C60,Пр.взв!$D$6:$M$76,8,0)))</f>
        <v/>
      </c>
      <c r="H60" s="212"/>
      <c r="I60" s="212"/>
      <c r="J60" s="212"/>
      <c r="K60" s="213"/>
      <c r="L60" s="252"/>
      <c r="M60" s="252">
        <f ca="1">IFERROR(__xludf.DUMMYFUNCTION("""COMPUTED_VALUE"""),1.5)</f>
        <v>1.5</v>
      </c>
      <c r="N60" s="248"/>
      <c r="O60" s="210" t="str">
        <f ca="1">IFERROR(__xludf.DUMMYFUNCTION("""COMPUTED_VALUE"""),"")</f>
        <v/>
      </c>
      <c r="P60" s="210" t="str">
        <f ca="1">IFERROR(__xludf.DUMMYFUNCTION("""COMPUTED_VALUE"""),"")</f>
        <v/>
      </c>
      <c r="Q60" s="210" t="str">
        <f ca="1">IFERROR(__xludf.DUMMYFUNCTION("""COMPUTED_VALUE"""),"")</f>
        <v/>
      </c>
      <c r="R60" s="210" t="str">
        <f ca="1">IFERROR(__xludf.DUMMYFUNCTION("""COMPUTED_VALUE"""),"")</f>
        <v/>
      </c>
      <c r="S60" s="212"/>
      <c r="T60" s="212"/>
      <c r="U60" s="212"/>
      <c r="V60" s="213"/>
      <c r="W60" s="247"/>
      <c r="X60" s="248"/>
      <c r="Y60" s="210"/>
      <c r="Z60" s="210"/>
      <c r="AA60" s="210"/>
      <c r="AB60" s="210"/>
      <c r="AC60" s="212"/>
      <c r="AD60" s="212"/>
      <c r="AE60" s="212"/>
      <c r="AF60" s="213"/>
      <c r="AG60" s="247"/>
      <c r="AH60" s="248"/>
      <c r="AI60" s="210" t="str">
        <f>IF($AH60=0,"",(VLOOKUP($AH60,Пр.взв!$D$6:$J$71,2,0)))</f>
        <v/>
      </c>
      <c r="AJ60" s="210" t="str">
        <f>IF($AH60=0,"",(VLOOKUP($AH60,Пр.взв!$D$6:$J$71,5,0)))</f>
        <v/>
      </c>
      <c r="AK60" s="210" t="str">
        <f>IF($AH60=0,"",(VLOOKUP($AH60,Пр.взв!$D$6:$J$71,6,0)))</f>
        <v/>
      </c>
      <c r="AL60" s="210" t="str">
        <f>IF($AH60=0,"",(VLOOKUP($AH60,Пр.взв!$D$6:$M$71,8,0)))</f>
        <v/>
      </c>
      <c r="AM60" s="212"/>
      <c r="AN60" s="212"/>
      <c r="AO60" s="212"/>
      <c r="AP60" s="213"/>
    </row>
    <row r="61" spans="1:42" ht="27.75" customHeight="1">
      <c r="A61" s="252">
        <v>57</v>
      </c>
      <c r="B61" s="240">
        <f t="shared" ca="1" si="0"/>
        <v>1.5</v>
      </c>
      <c r="C61" s="244"/>
      <c r="D61" s="205" t="str">
        <f>IF(C61=0,"",(VLOOKUP($C61,Пр.взв!$D$6:$J$76,2,0)))</f>
        <v/>
      </c>
      <c r="E61" s="205" t="str">
        <f>IF(C61=0,"",(VLOOKUP($C61,Пр.взв!$D$6:$J$76,5,0)))</f>
        <v/>
      </c>
      <c r="F61" s="205" t="str">
        <f>IF(C61=0,"",(VLOOKUP($C61,Пр.взв!$D$6:$M$76,6,0)))</f>
        <v/>
      </c>
      <c r="G61" s="205" t="str">
        <f>IF(C61=0,"",(VLOOKUP($C61,Пр.взв!$D$6:$M$76,8,0)))</f>
        <v/>
      </c>
      <c r="H61" s="207" t="str">
        <f>IF(C61=0,"", IF(C62=0,"СВОБОДЕН",""))</f>
        <v/>
      </c>
      <c r="I61" s="207"/>
      <c r="J61" s="207"/>
      <c r="K61" s="208"/>
      <c r="L61" s="252"/>
      <c r="M61" s="252">
        <f ca="1">IFERROR(__xludf.DUMMYFUNCTION("""COMPUTED_VALUE"""),1.5)</f>
        <v>1.5</v>
      </c>
      <c r="N61" s="244"/>
      <c r="O61" s="205" t="str">
        <f ca="1">IFERROR(__xludf.DUMMYFUNCTION("""COMPUTED_VALUE"""),"")</f>
        <v/>
      </c>
      <c r="P61" s="205" t="str">
        <f ca="1">IFERROR(__xludf.DUMMYFUNCTION("""COMPUTED_VALUE"""),"")</f>
        <v/>
      </c>
      <c r="Q61" s="205" t="str">
        <f ca="1">IFERROR(__xludf.DUMMYFUNCTION("""COMPUTED_VALUE"""),"")</f>
        <v/>
      </c>
      <c r="R61" s="205" t="str">
        <f ca="1">IFERROR(__xludf.DUMMYFUNCTION("""COMPUTED_VALUE"""),"")</f>
        <v/>
      </c>
      <c r="S61" s="207" t="str">
        <f ca="1">IFERROR(__xludf.DUMMYFUNCTION("""COMPUTED_VALUE"""),"")</f>
        <v/>
      </c>
      <c r="T61" s="207"/>
      <c r="U61" s="207"/>
      <c r="V61" s="208"/>
      <c r="W61" s="247"/>
      <c r="X61" s="244"/>
      <c r="Y61" s="205"/>
      <c r="Z61" s="205"/>
      <c r="AA61" s="205"/>
      <c r="AB61" s="205"/>
      <c r="AC61" s="207"/>
      <c r="AD61" s="207"/>
      <c r="AE61" s="207"/>
      <c r="AF61" s="208"/>
      <c r="AG61" s="247"/>
      <c r="AH61" s="244"/>
      <c r="AI61" s="205" t="str">
        <f>IF($AH61=0,"",(VLOOKUP($AH61,Пр.взв!$D$6:$J$71,2,0)))</f>
        <v/>
      </c>
      <c r="AJ61" s="205" t="str">
        <f>IF($AH61=0,"",(VLOOKUP($AH61,Пр.взв!$D$6:$J$71,5,0)))</f>
        <v/>
      </c>
      <c r="AK61" s="205" t="str">
        <f>IF($AH61=0,"",(VLOOKUP($AH61,Пр.взв!$D$6:$J$71,6,0)))</f>
        <v/>
      </c>
      <c r="AL61" s="205" t="str">
        <f>IF($AH61=0,"",(VLOOKUP($AH61,Пр.взв!$D$6:$M$71,8,0)))</f>
        <v/>
      </c>
      <c r="AM61" s="207" t="str">
        <f>IF(AH61=0,"", IF(AH62=0,"СВОБОДЕН",""))</f>
        <v/>
      </c>
      <c r="AN61" s="207"/>
      <c r="AO61" s="207"/>
      <c r="AP61" s="208"/>
    </row>
    <row r="62" spans="1:42" ht="27.75" customHeight="1">
      <c r="A62" s="252">
        <v>58</v>
      </c>
      <c r="B62" s="240">
        <f t="shared" ca="1" si="0"/>
        <v>1.5</v>
      </c>
      <c r="C62" s="248"/>
      <c r="D62" s="210" t="str">
        <f>IF(C62=0,"",(VLOOKUP($C62,Пр.взв!$D$6:$J$76,2,0)))</f>
        <v/>
      </c>
      <c r="E62" s="210" t="str">
        <f>IF(C62=0,"",(VLOOKUP($C62,Пр.взв!$D$6:$J$76,5,0)))</f>
        <v/>
      </c>
      <c r="F62" s="210" t="str">
        <f>IF(C62=0,"",(VLOOKUP($C62,Пр.взв!$D$6:$M$76,6,0)))</f>
        <v/>
      </c>
      <c r="G62" s="210" t="str">
        <f>IF(C62=0,"",(VLOOKUP($C62,Пр.взв!$D$6:$M$76,8,0)))</f>
        <v/>
      </c>
      <c r="H62" s="212"/>
      <c r="I62" s="212"/>
      <c r="J62" s="212"/>
      <c r="K62" s="213"/>
      <c r="L62" s="252"/>
      <c r="M62" s="252">
        <f ca="1">IFERROR(__xludf.DUMMYFUNCTION("""COMPUTED_VALUE"""),1.5)</f>
        <v>1.5</v>
      </c>
      <c r="N62" s="248"/>
      <c r="O62" s="210" t="str">
        <f ca="1">IFERROR(__xludf.DUMMYFUNCTION("""COMPUTED_VALUE"""),"")</f>
        <v/>
      </c>
      <c r="P62" s="210" t="str">
        <f ca="1">IFERROR(__xludf.DUMMYFUNCTION("""COMPUTED_VALUE"""),"")</f>
        <v/>
      </c>
      <c r="Q62" s="210" t="str">
        <f ca="1">IFERROR(__xludf.DUMMYFUNCTION("""COMPUTED_VALUE"""),"")</f>
        <v/>
      </c>
      <c r="R62" s="210" t="str">
        <f ca="1">IFERROR(__xludf.DUMMYFUNCTION("""COMPUTED_VALUE"""),"")</f>
        <v/>
      </c>
      <c r="S62" s="212"/>
      <c r="T62" s="212"/>
      <c r="U62" s="212"/>
      <c r="V62" s="213"/>
      <c r="W62" s="247"/>
      <c r="X62" s="248"/>
      <c r="Y62" s="210"/>
      <c r="Z62" s="210"/>
      <c r="AA62" s="210"/>
      <c r="AB62" s="210"/>
      <c r="AC62" s="212"/>
      <c r="AD62" s="212"/>
      <c r="AE62" s="212"/>
      <c r="AF62" s="213"/>
      <c r="AG62" s="247"/>
      <c r="AH62" s="248"/>
      <c r="AI62" s="210" t="str">
        <f>IF($AH62=0,"",(VLOOKUP($AH62,Пр.взв!$D$6:$J$71,2,0)))</f>
        <v/>
      </c>
      <c r="AJ62" s="210" t="str">
        <f>IF($AH62=0,"",(VLOOKUP($AH62,Пр.взв!$D$6:$J$71,5,0)))</f>
        <v/>
      </c>
      <c r="AK62" s="210" t="str">
        <f>IF($AH62=0,"",(VLOOKUP($AH62,Пр.взв!$D$6:$J$71,6,0)))</f>
        <v/>
      </c>
      <c r="AL62" s="210" t="str">
        <f>IF($AH62=0,"",(VLOOKUP($AH62,Пр.взв!$D$6:$M$71,8,0)))</f>
        <v/>
      </c>
      <c r="AM62" s="212"/>
      <c r="AN62" s="212"/>
      <c r="AO62" s="212"/>
      <c r="AP62" s="213"/>
    </row>
    <row r="63" spans="1:42" ht="27.75" customHeight="1">
      <c r="A63" s="252">
        <v>59</v>
      </c>
      <c r="B63" s="240">
        <f t="shared" ca="1" si="0"/>
        <v>1.5</v>
      </c>
      <c r="C63" s="244"/>
      <c r="D63" s="205" t="str">
        <f>IF(C63=0,"",(VLOOKUP($C63,Пр.взв!$D$6:$J$76,2,0)))</f>
        <v/>
      </c>
      <c r="E63" s="205" t="str">
        <f>IF(C63=0,"",(VLOOKUP($C63,Пр.взв!$D$6:$J$76,5,0)))</f>
        <v/>
      </c>
      <c r="F63" s="205" t="str">
        <f>IF(C63=0,"",(VLOOKUP($C63,Пр.взв!$D$6:$M$76,6,0)))</f>
        <v/>
      </c>
      <c r="G63" s="205" t="str">
        <f>IF(C63=0,"",(VLOOKUP($C63,Пр.взв!$D$6:$M$76,8,0)))</f>
        <v/>
      </c>
      <c r="H63" s="207" t="str">
        <f>IF(C63=0,"", IF(C64=0,"СВОБОДЕН",""))</f>
        <v/>
      </c>
      <c r="I63" s="207"/>
      <c r="J63" s="207"/>
      <c r="K63" s="208"/>
      <c r="L63" s="252"/>
      <c r="M63" s="252">
        <f ca="1">IFERROR(__xludf.DUMMYFUNCTION("""COMPUTED_VALUE"""),1.5)</f>
        <v>1.5</v>
      </c>
      <c r="N63" s="244"/>
      <c r="O63" s="205" t="str">
        <f ca="1">IFERROR(__xludf.DUMMYFUNCTION("""COMPUTED_VALUE"""),"")</f>
        <v/>
      </c>
      <c r="P63" s="205" t="str">
        <f ca="1">IFERROR(__xludf.DUMMYFUNCTION("""COMPUTED_VALUE"""),"")</f>
        <v/>
      </c>
      <c r="Q63" s="205" t="str">
        <f ca="1">IFERROR(__xludf.DUMMYFUNCTION("""COMPUTED_VALUE"""),"")</f>
        <v/>
      </c>
      <c r="R63" s="205" t="str">
        <f ca="1">IFERROR(__xludf.DUMMYFUNCTION("""COMPUTED_VALUE"""),"")</f>
        <v/>
      </c>
      <c r="S63" s="207" t="str">
        <f ca="1">IFERROR(__xludf.DUMMYFUNCTION("""COMPUTED_VALUE"""),"")</f>
        <v/>
      </c>
      <c r="T63" s="207"/>
      <c r="U63" s="207"/>
      <c r="V63" s="208"/>
      <c r="W63" s="247"/>
      <c r="X63" s="244"/>
      <c r="Y63" s="205"/>
      <c r="Z63" s="205"/>
      <c r="AA63" s="205"/>
      <c r="AB63" s="205"/>
      <c r="AC63" s="207"/>
      <c r="AD63" s="207"/>
      <c r="AE63" s="207"/>
      <c r="AF63" s="208"/>
      <c r="AG63" s="247"/>
      <c r="AH63" s="244"/>
      <c r="AI63" s="205" t="str">
        <f>IF($AH63=0,"",(VLOOKUP($AH63,Пр.взв!$D$6:$J$71,2,0)))</f>
        <v/>
      </c>
      <c r="AJ63" s="205" t="str">
        <f>IF($AH63=0,"",(VLOOKUP($AH63,Пр.взв!$D$6:$J$71,5,0)))</f>
        <v/>
      </c>
      <c r="AK63" s="205" t="str">
        <f>IF($AH63=0,"",(VLOOKUP($AH63,Пр.взв!$D$6:$J$71,6,0)))</f>
        <v/>
      </c>
      <c r="AL63" s="205" t="str">
        <f>IF($AH63=0,"",(VLOOKUP($AH63,Пр.взв!$D$6:$M$71,8,0)))</f>
        <v/>
      </c>
      <c r="AM63" s="207" t="str">
        <f>IF(AH63=0,"", IF(AH64=0,"СВОБОДЕН",""))</f>
        <v/>
      </c>
      <c r="AN63" s="207"/>
      <c r="AO63" s="207"/>
      <c r="AP63" s="208"/>
    </row>
    <row r="64" spans="1:42" ht="27.75" customHeight="1">
      <c r="A64" s="252">
        <v>60</v>
      </c>
      <c r="B64" s="240">
        <f t="shared" ca="1" si="0"/>
        <v>1.5</v>
      </c>
      <c r="C64" s="248"/>
      <c r="D64" s="210" t="str">
        <f>IF(C64=0,"",(VLOOKUP($C64,Пр.взв!$D$6:$J$76,2,0)))</f>
        <v/>
      </c>
      <c r="E64" s="210" t="str">
        <f>IF(C64=0,"",(VLOOKUP($C64,Пр.взв!$D$6:$J$76,5,0)))</f>
        <v/>
      </c>
      <c r="F64" s="210" t="str">
        <f>IF(C64=0,"",(VLOOKUP($C64,Пр.взв!$D$6:$M$76,6,0)))</f>
        <v/>
      </c>
      <c r="G64" s="210" t="str">
        <f>IF(C64=0,"",(VLOOKUP($C64,Пр.взв!$D$6:$M$76,8,0)))</f>
        <v/>
      </c>
      <c r="H64" s="212"/>
      <c r="I64" s="212"/>
      <c r="J64" s="212"/>
      <c r="K64" s="213"/>
      <c r="L64" s="252"/>
      <c r="M64" s="252">
        <f ca="1">IFERROR(__xludf.DUMMYFUNCTION("""COMPUTED_VALUE"""),1.5)</f>
        <v>1.5</v>
      </c>
      <c r="N64" s="248"/>
      <c r="O64" s="210" t="str">
        <f ca="1">IFERROR(__xludf.DUMMYFUNCTION("""COMPUTED_VALUE"""),"")</f>
        <v/>
      </c>
      <c r="P64" s="210" t="str">
        <f ca="1">IFERROR(__xludf.DUMMYFUNCTION("""COMPUTED_VALUE"""),"")</f>
        <v/>
      </c>
      <c r="Q64" s="210" t="str">
        <f ca="1">IFERROR(__xludf.DUMMYFUNCTION("""COMPUTED_VALUE"""),"")</f>
        <v/>
      </c>
      <c r="R64" s="210" t="str">
        <f ca="1">IFERROR(__xludf.DUMMYFUNCTION("""COMPUTED_VALUE"""),"")</f>
        <v/>
      </c>
      <c r="S64" s="212"/>
      <c r="T64" s="212"/>
      <c r="U64" s="212"/>
      <c r="V64" s="213"/>
      <c r="W64" s="247"/>
      <c r="X64" s="248"/>
      <c r="Y64" s="210"/>
      <c r="Z64" s="210"/>
      <c r="AA64" s="210"/>
      <c r="AB64" s="210"/>
      <c r="AC64" s="212"/>
      <c r="AD64" s="212"/>
      <c r="AE64" s="212"/>
      <c r="AF64" s="213"/>
      <c r="AG64" s="247"/>
      <c r="AH64" s="248"/>
      <c r="AI64" s="210" t="str">
        <f>IF($AH64=0,"",(VLOOKUP($AH64,Пр.взв!$D$6:$J$71,2,0)))</f>
        <v/>
      </c>
      <c r="AJ64" s="210" t="str">
        <f>IF($AH64=0,"",(VLOOKUP($AH64,Пр.взв!$D$6:$J$71,5,0)))</f>
        <v/>
      </c>
      <c r="AK64" s="210" t="str">
        <f>IF($AH64=0,"",(VLOOKUP($AH64,Пр.взв!$D$6:$J$71,6,0)))</f>
        <v/>
      </c>
      <c r="AL64" s="210" t="str">
        <f>IF($AH64=0,"",(VLOOKUP($AH64,Пр.взв!$D$6:$M$71,8,0)))</f>
        <v/>
      </c>
      <c r="AM64" s="212"/>
      <c r="AN64" s="212"/>
      <c r="AO64" s="212"/>
      <c r="AP64" s="213"/>
    </row>
    <row r="65" spans="1:42" ht="27.75" customHeight="1">
      <c r="A65" s="252">
        <v>61</v>
      </c>
      <c r="B65" s="240">
        <f t="shared" ca="1" si="0"/>
        <v>1.5</v>
      </c>
      <c r="C65" s="244"/>
      <c r="D65" s="205" t="str">
        <f>IF(C65=0,"",(VLOOKUP($C65,Пр.взв!$D$6:$J$76,2,0)))</f>
        <v/>
      </c>
      <c r="E65" s="205" t="str">
        <f>IF(C65=0,"",(VLOOKUP($C65,Пр.взв!$D$6:$J$76,5,0)))</f>
        <v/>
      </c>
      <c r="F65" s="205" t="str">
        <f>IF(C65=0,"",(VLOOKUP($C65,Пр.взв!$D$6:$M$76,6,0)))</f>
        <v/>
      </c>
      <c r="G65" s="205" t="str">
        <f>IF(C65=0,"",(VLOOKUP($C65,Пр.взв!$D$6:$M$76,8,0)))</f>
        <v/>
      </c>
      <c r="H65" s="207" t="str">
        <f>IF(C65=0,"", IF(C66=0,"СВОБОДЕН",""))</f>
        <v/>
      </c>
      <c r="I65" s="207"/>
      <c r="J65" s="207"/>
      <c r="K65" s="208"/>
      <c r="L65" s="252"/>
      <c r="M65" s="252">
        <f ca="1">IFERROR(__xludf.DUMMYFUNCTION("""COMPUTED_VALUE"""),1.5)</f>
        <v>1.5</v>
      </c>
      <c r="N65" s="244"/>
      <c r="O65" s="205" t="str">
        <f ca="1">IFERROR(__xludf.DUMMYFUNCTION("""COMPUTED_VALUE"""),"")</f>
        <v/>
      </c>
      <c r="P65" s="205" t="str">
        <f ca="1">IFERROR(__xludf.DUMMYFUNCTION("""COMPUTED_VALUE"""),"")</f>
        <v/>
      </c>
      <c r="Q65" s="205" t="str">
        <f ca="1">IFERROR(__xludf.DUMMYFUNCTION("""COMPUTED_VALUE"""),"")</f>
        <v/>
      </c>
      <c r="R65" s="205" t="str">
        <f ca="1">IFERROR(__xludf.DUMMYFUNCTION("""COMPUTED_VALUE"""),"")</f>
        <v/>
      </c>
      <c r="S65" s="207" t="str">
        <f ca="1">IFERROR(__xludf.DUMMYFUNCTION("""COMPUTED_VALUE"""),"")</f>
        <v/>
      </c>
      <c r="T65" s="207"/>
      <c r="U65" s="207"/>
      <c r="V65" s="208"/>
      <c r="W65" s="247"/>
      <c r="X65" s="244"/>
      <c r="Y65" s="205"/>
      <c r="Z65" s="205"/>
      <c r="AA65" s="205"/>
      <c r="AB65" s="205"/>
      <c r="AC65" s="207"/>
      <c r="AD65" s="207"/>
      <c r="AE65" s="207"/>
      <c r="AF65" s="208"/>
      <c r="AG65" s="247"/>
      <c r="AH65" s="244"/>
      <c r="AI65" s="205" t="str">
        <f>IF($AH65=0,"",(VLOOKUP($AH65,Пр.взв!$D$6:$J$71,2,0)))</f>
        <v/>
      </c>
      <c r="AJ65" s="205" t="str">
        <f>IF($AH65=0,"",(VLOOKUP($AH65,Пр.взв!$D$6:$J$71,5,0)))</f>
        <v/>
      </c>
      <c r="AK65" s="205" t="str">
        <f>IF($AH65=0,"",(VLOOKUP($AH65,Пр.взв!$D$6:$J$71,6,0)))</f>
        <v/>
      </c>
      <c r="AL65" s="205" t="str">
        <f>IF($AH65=0,"",(VLOOKUP($AH65,Пр.взв!$D$6:$M$71,8,0)))</f>
        <v/>
      </c>
      <c r="AM65" s="207" t="str">
        <f>IF(AH65=0,"", IF(AH66=0,"СВОБОДЕН",""))</f>
        <v/>
      </c>
      <c r="AN65" s="207"/>
      <c r="AO65" s="207"/>
      <c r="AP65" s="208"/>
    </row>
    <row r="66" spans="1:42" ht="27.75" customHeight="1">
      <c r="A66" s="252">
        <v>62</v>
      </c>
      <c r="B66" s="240">
        <f t="shared" ca="1" si="0"/>
        <v>1.5</v>
      </c>
      <c r="C66" s="248"/>
      <c r="D66" s="210" t="str">
        <f>IF(C66=0,"",(VLOOKUP($C66,Пр.взв!$D$6:$J$76,2,0)))</f>
        <v/>
      </c>
      <c r="E66" s="210" t="str">
        <f>IF(C66=0,"",(VLOOKUP($C66,Пр.взв!$D$6:$J$76,5,0)))</f>
        <v/>
      </c>
      <c r="F66" s="210" t="str">
        <f>IF(C66=0,"",(VLOOKUP($C66,Пр.взв!$D$6:$M$76,6,0)))</f>
        <v/>
      </c>
      <c r="G66" s="210" t="str">
        <f>IF(C66=0,"",(VLOOKUP($C66,Пр.взв!$D$6:$M$76,8,0)))</f>
        <v/>
      </c>
      <c r="H66" s="212"/>
      <c r="I66" s="212"/>
      <c r="J66" s="212"/>
      <c r="K66" s="213"/>
      <c r="L66" s="252"/>
      <c r="M66" s="252">
        <f ca="1">IFERROR(__xludf.DUMMYFUNCTION("""COMPUTED_VALUE"""),1.5)</f>
        <v>1.5</v>
      </c>
      <c r="N66" s="248"/>
      <c r="O66" s="210" t="str">
        <f ca="1">IFERROR(__xludf.DUMMYFUNCTION("""COMPUTED_VALUE"""),"")</f>
        <v/>
      </c>
      <c r="P66" s="210" t="str">
        <f ca="1">IFERROR(__xludf.DUMMYFUNCTION("""COMPUTED_VALUE"""),"")</f>
        <v/>
      </c>
      <c r="Q66" s="210" t="str">
        <f ca="1">IFERROR(__xludf.DUMMYFUNCTION("""COMPUTED_VALUE"""),"")</f>
        <v/>
      </c>
      <c r="R66" s="210" t="str">
        <f ca="1">IFERROR(__xludf.DUMMYFUNCTION("""COMPUTED_VALUE"""),"")</f>
        <v/>
      </c>
      <c r="S66" s="212"/>
      <c r="T66" s="212"/>
      <c r="U66" s="212"/>
      <c r="V66" s="213"/>
      <c r="W66" s="247"/>
      <c r="X66" s="248"/>
      <c r="Y66" s="210"/>
      <c r="Z66" s="210"/>
      <c r="AA66" s="210"/>
      <c r="AB66" s="210"/>
      <c r="AC66" s="212"/>
      <c r="AD66" s="212"/>
      <c r="AE66" s="212"/>
      <c r="AF66" s="213"/>
      <c r="AG66" s="247"/>
      <c r="AH66" s="248"/>
      <c r="AI66" s="210" t="str">
        <f>IF($AH66=0,"",(VLOOKUP($AH66,Пр.взв!$D$6:$J$71,2,0)))</f>
        <v/>
      </c>
      <c r="AJ66" s="210" t="str">
        <f>IF($AH66=0,"",(VLOOKUP($AH66,Пр.взв!$D$6:$J$71,5,0)))</f>
        <v/>
      </c>
      <c r="AK66" s="210" t="str">
        <f>IF($AH66=0,"",(VLOOKUP($AH66,Пр.взв!$D$6:$J$71,6,0)))</f>
        <v/>
      </c>
      <c r="AL66" s="210" t="str">
        <f>IF($AH66=0,"",(VLOOKUP($AH66,Пр.взв!$D$6:$M$71,8,0)))</f>
        <v/>
      </c>
      <c r="AM66" s="212"/>
      <c r="AN66" s="212"/>
      <c r="AO66" s="212"/>
      <c r="AP66" s="213"/>
    </row>
    <row r="67" spans="1:42" ht="27.75" customHeight="1">
      <c r="A67" s="252">
        <v>63</v>
      </c>
      <c r="B67" s="240">
        <f t="shared" ca="1" si="0"/>
        <v>1.5</v>
      </c>
      <c r="C67" s="244"/>
      <c r="D67" s="205" t="str">
        <f>IF(C67=0,"",(VLOOKUP($C67,Пр.взв!$D$6:$J$76,2,0)))</f>
        <v/>
      </c>
      <c r="E67" s="205" t="str">
        <f>IF(C67=0,"",(VLOOKUP($C67,Пр.взв!$D$6:$J$76,5,0)))</f>
        <v/>
      </c>
      <c r="F67" s="205" t="str">
        <f>IF(C67=0,"",(VLOOKUP($C67,Пр.взв!$D$6:$M$76,6,0)))</f>
        <v/>
      </c>
      <c r="G67" s="205" t="str">
        <f>IF(C67=0,"",(VLOOKUP($C67,Пр.взв!$D$6:$M$76,8,0)))</f>
        <v/>
      </c>
      <c r="H67" s="207" t="str">
        <f>IF(C67=0,"", IF(C68=0,"СВОБОДЕН",""))</f>
        <v/>
      </c>
      <c r="I67" s="207"/>
      <c r="J67" s="207"/>
      <c r="K67" s="208"/>
      <c r="L67" s="252"/>
      <c r="M67" s="252">
        <f ca="1">IFERROR(__xludf.DUMMYFUNCTION("""COMPUTED_VALUE"""),1.5)</f>
        <v>1.5</v>
      </c>
      <c r="N67" s="244"/>
      <c r="O67" s="205" t="str">
        <f ca="1">IFERROR(__xludf.DUMMYFUNCTION("""COMPUTED_VALUE"""),"")</f>
        <v/>
      </c>
      <c r="P67" s="205" t="str">
        <f ca="1">IFERROR(__xludf.DUMMYFUNCTION("""COMPUTED_VALUE"""),"")</f>
        <v/>
      </c>
      <c r="Q67" s="205" t="str">
        <f ca="1">IFERROR(__xludf.DUMMYFUNCTION("""COMPUTED_VALUE"""),"")</f>
        <v/>
      </c>
      <c r="R67" s="205" t="str">
        <f ca="1">IFERROR(__xludf.DUMMYFUNCTION("""COMPUTED_VALUE"""),"")</f>
        <v/>
      </c>
      <c r="S67" s="207" t="str">
        <f ca="1">IFERROR(__xludf.DUMMYFUNCTION("""COMPUTED_VALUE"""),"")</f>
        <v/>
      </c>
      <c r="T67" s="207"/>
      <c r="U67" s="207"/>
      <c r="V67" s="208"/>
      <c r="W67" s="247"/>
      <c r="X67" s="244"/>
      <c r="Y67" s="205"/>
      <c r="Z67" s="205"/>
      <c r="AA67" s="205"/>
      <c r="AB67" s="205"/>
      <c r="AC67" s="207"/>
      <c r="AD67" s="207"/>
      <c r="AE67" s="207"/>
      <c r="AF67" s="208"/>
      <c r="AG67" s="247"/>
      <c r="AH67" s="244"/>
      <c r="AI67" s="205" t="str">
        <f>IF($AH67=0,"",(VLOOKUP($AH67,Пр.взв!$D$6:$J$71,2,0)))</f>
        <v/>
      </c>
      <c r="AJ67" s="205" t="str">
        <f>IF($AH67=0,"",(VLOOKUP($AH67,Пр.взв!$D$6:$J$71,5,0)))</f>
        <v/>
      </c>
      <c r="AK67" s="205" t="str">
        <f>IF($AH67=0,"",(VLOOKUP($AH67,Пр.взв!$D$6:$J$71,6,0)))</f>
        <v/>
      </c>
      <c r="AL67" s="205" t="str">
        <f>IF($AH67=0,"",(VLOOKUP($AH67,Пр.взв!$D$6:$M$71,8,0)))</f>
        <v/>
      </c>
      <c r="AM67" s="207" t="str">
        <f>IF(AH67=0,"", IF(AH68=0,"СВОБОДЕН",""))</f>
        <v/>
      </c>
      <c r="AN67" s="207"/>
      <c r="AO67" s="207"/>
      <c r="AP67" s="208"/>
    </row>
    <row r="68" spans="1:42" ht="27.75" customHeight="1">
      <c r="A68" s="252">
        <v>64</v>
      </c>
      <c r="B68" s="240">
        <f t="shared" ca="1" si="0"/>
        <v>1.5</v>
      </c>
      <c r="C68" s="253"/>
      <c r="D68" s="210" t="str">
        <f>IF(C68=0,"",(VLOOKUP($C68,Пр.взв!$D$6:$J$76,2,0)))</f>
        <v/>
      </c>
      <c r="E68" s="210" t="str">
        <f>IF(C68=0,"",(VLOOKUP($C68,Пр.взв!$D$6:$J$76,5,0)))</f>
        <v/>
      </c>
      <c r="F68" s="210" t="str">
        <f>IF(C68=0,"",(VLOOKUP($C68,Пр.взв!$D$6:$M$76,6,0)))</f>
        <v/>
      </c>
      <c r="G68" s="210" t="str">
        <f>IF(C68=0,"",(VLOOKUP($C68,Пр.взв!$D$6:$M$76,8,0)))</f>
        <v/>
      </c>
      <c r="H68" s="212"/>
      <c r="I68" s="212"/>
      <c r="J68" s="212"/>
      <c r="K68" s="213"/>
      <c r="L68" s="252"/>
      <c r="M68" s="252">
        <f ca="1">IFERROR(__xludf.DUMMYFUNCTION("""COMPUTED_VALUE"""),1.5)</f>
        <v>1.5</v>
      </c>
      <c r="N68" s="253"/>
      <c r="O68" s="210" t="str">
        <f ca="1">IFERROR(__xludf.DUMMYFUNCTION("""COMPUTED_VALUE"""),"")</f>
        <v/>
      </c>
      <c r="P68" s="210" t="str">
        <f ca="1">IFERROR(__xludf.DUMMYFUNCTION("""COMPUTED_VALUE"""),"")</f>
        <v/>
      </c>
      <c r="Q68" s="210" t="str">
        <f ca="1">IFERROR(__xludf.DUMMYFUNCTION("""COMPUTED_VALUE"""),"")</f>
        <v/>
      </c>
      <c r="R68" s="210" t="str">
        <f ca="1">IFERROR(__xludf.DUMMYFUNCTION("""COMPUTED_VALUE"""),"")</f>
        <v/>
      </c>
      <c r="S68" s="212"/>
      <c r="T68" s="212"/>
      <c r="U68" s="212"/>
      <c r="V68" s="213"/>
      <c r="W68" s="247"/>
      <c r="X68" s="253"/>
      <c r="Y68" s="210"/>
      <c r="Z68" s="210"/>
      <c r="AA68" s="210"/>
      <c r="AB68" s="210"/>
      <c r="AC68" s="212"/>
      <c r="AD68" s="212"/>
      <c r="AE68" s="212"/>
      <c r="AF68" s="213"/>
      <c r="AG68" s="247"/>
      <c r="AH68" s="253"/>
      <c r="AI68" s="210" t="str">
        <f>IF($AH68=0,"",(VLOOKUP($AH68,Пр.взв!$D$6:$J$71,2,0)))</f>
        <v/>
      </c>
      <c r="AJ68" s="210" t="str">
        <f>IF($AH68=0,"",(VLOOKUP($AH68,Пр.взв!$D$6:$J$71,5,0)))</f>
        <v/>
      </c>
      <c r="AK68" s="210" t="str">
        <f>IF($AH68=0,"",(VLOOKUP($AH68,Пр.взв!$D$6:$J$71,6,0)))</f>
        <v/>
      </c>
      <c r="AL68" s="210" t="str">
        <f>IF($AH68=0,"",(VLOOKUP($AH68,Пр.взв!$D$6:$M$71,8,0)))</f>
        <v/>
      </c>
      <c r="AM68" s="212"/>
      <c r="AN68" s="212"/>
      <c r="AO68" s="212"/>
      <c r="AP68" s="213"/>
    </row>
    <row r="69" spans="1:42" ht="27.75" customHeight="1">
      <c r="B69" s="240">
        <f t="shared" ca="1" si="0"/>
        <v>1.5</v>
      </c>
      <c r="C69" s="244"/>
      <c r="D69" s="205" t="str">
        <f>IF(C69=0,"",(VLOOKUP($C69,Пр.взв!$D$6:$J$76,2,0)))</f>
        <v/>
      </c>
      <c r="E69" s="205" t="str">
        <f>IF(C69=0,"",(VLOOKUP($C69,Пр.взв!$D$6:$J$76,5,0)))</f>
        <v/>
      </c>
      <c r="F69" s="205" t="str">
        <f>IF(C69=0,"",(VLOOKUP($C69,Пр.взв!$D$6:$M$76,6,0)))</f>
        <v/>
      </c>
      <c r="G69" s="205" t="str">
        <f>IF(C69=0,"",(VLOOKUP($C69,Пр.взв!$D$6:$M$76,8,0)))</f>
        <v/>
      </c>
      <c r="H69" s="207" t="str">
        <f>IF(C69=0,"", IF(C70=0,"СВОБОДЕН",""))</f>
        <v/>
      </c>
      <c r="I69" s="207"/>
      <c r="J69" s="207"/>
      <c r="K69" s="208"/>
      <c r="M69" s="166">
        <f ca="1">IFERROR(__xludf.DUMMYFUNCTION("""COMPUTED_VALUE"""),1.5)</f>
        <v>1.5</v>
      </c>
      <c r="N69" s="254"/>
      <c r="O69" s="166" t="str">
        <f ca="1">IFERROR(__xludf.DUMMYFUNCTION("""COMPUTED_VALUE"""),"")</f>
        <v/>
      </c>
      <c r="P69" s="166" t="str">
        <f ca="1">IFERROR(__xludf.DUMMYFUNCTION("""COMPUTED_VALUE"""),"")</f>
        <v/>
      </c>
      <c r="Q69" s="166" t="str">
        <f ca="1">IFERROR(__xludf.DUMMYFUNCTION("""COMPUTED_VALUE"""),"")</f>
        <v/>
      </c>
      <c r="R69" s="166" t="str">
        <f ca="1">IFERROR(__xludf.DUMMYFUNCTION("""COMPUTED_VALUE"""),"")</f>
        <v/>
      </c>
      <c r="S69" s="166" t="str">
        <f ca="1">IFERROR(__xludf.DUMMYFUNCTION("""COMPUTED_VALUE"""),"")</f>
        <v/>
      </c>
      <c r="X69" s="254"/>
      <c r="Y69" s="166"/>
      <c r="Z69" s="166"/>
      <c r="AA69" s="166"/>
      <c r="AB69" s="166"/>
      <c r="AC69" s="166"/>
      <c r="AH69" s="166"/>
    </row>
    <row r="70" spans="1:42" ht="27.75" customHeight="1">
      <c r="B70" s="240">
        <f t="shared" ca="1" si="0"/>
        <v>1.5</v>
      </c>
      <c r="C70" s="253"/>
      <c r="D70" s="210" t="str">
        <f>IF(C70=0,"",(VLOOKUP($C70,Пр.взв!$D$6:$J$76,2,0)))</f>
        <v/>
      </c>
      <c r="E70" s="210" t="str">
        <f>IF(C70=0,"",(VLOOKUP($C70,Пр.взв!$D$6:$J$76,5,0)))</f>
        <v/>
      </c>
      <c r="F70" s="210" t="str">
        <f>IF(C70=0,"",(VLOOKUP($C70,Пр.взв!$D$6:$M$76,6,0)))</f>
        <v/>
      </c>
      <c r="G70" s="210" t="str">
        <f>IF(C70=0,"",(VLOOKUP($C70,Пр.взв!$D$6:$M$76,8,0)))</f>
        <v/>
      </c>
      <c r="H70" s="212"/>
      <c r="I70" s="212"/>
      <c r="J70" s="212"/>
      <c r="K70" s="213"/>
      <c r="M70" s="166">
        <f ca="1">IFERROR(__xludf.DUMMYFUNCTION("""COMPUTED_VALUE"""),1.5)</f>
        <v>1.5</v>
      </c>
      <c r="N70" s="254"/>
      <c r="O70" s="166" t="str">
        <f ca="1">IFERROR(__xludf.DUMMYFUNCTION("""COMPUTED_VALUE"""),"")</f>
        <v/>
      </c>
      <c r="P70" s="166" t="str">
        <f ca="1">IFERROR(__xludf.DUMMYFUNCTION("""COMPUTED_VALUE"""),"")</f>
        <v/>
      </c>
      <c r="Q70" s="166" t="str">
        <f ca="1">IFERROR(__xludf.DUMMYFUNCTION("""COMPUTED_VALUE"""),"")</f>
        <v/>
      </c>
      <c r="R70" s="166" t="str">
        <f ca="1">IFERROR(__xludf.DUMMYFUNCTION("""COMPUTED_VALUE"""),"")</f>
        <v/>
      </c>
      <c r="S70" s="166"/>
      <c r="X70" s="254"/>
      <c r="Y70" s="166"/>
      <c r="Z70" s="166"/>
      <c r="AA70" s="166"/>
      <c r="AB70" s="166"/>
      <c r="AC70" s="166"/>
      <c r="AH70" s="166"/>
    </row>
    <row r="71" spans="1:42" ht="27.75" customHeight="1">
      <c r="B71" s="240">
        <f t="shared" ca="1" si="0"/>
        <v>1.5</v>
      </c>
      <c r="C71" s="244"/>
      <c r="D71" s="205" t="str">
        <f>IF(C71=0,"",(VLOOKUP($C71,Пр.взв!$D$6:$J$76,2,0)))</f>
        <v/>
      </c>
      <c r="E71" s="205" t="str">
        <f>IF(C71=0,"",(VLOOKUP($C71,Пр.взв!$D$6:$J$76,5,0)))</f>
        <v/>
      </c>
      <c r="F71" s="205" t="str">
        <f>IF(C71=0,"",(VLOOKUP($C71,Пр.взв!$D$6:$M$76,6,0)))</f>
        <v/>
      </c>
      <c r="G71" s="205" t="str">
        <f>IF(C71=0,"",(VLOOKUP($C71,Пр.взв!$D$6:$M$76,8,0)))</f>
        <v/>
      </c>
      <c r="H71" s="207" t="str">
        <f>IF(C71=0,"", IF(C72=0,"СВОБОДЕН",""))</f>
        <v/>
      </c>
      <c r="I71" s="207"/>
      <c r="J71" s="207"/>
      <c r="K71" s="208"/>
      <c r="M71" s="166">
        <f ca="1">IFERROR(__xludf.DUMMYFUNCTION("""COMPUTED_VALUE"""),1.5)</f>
        <v>1.5</v>
      </c>
      <c r="N71" s="254"/>
      <c r="O71" s="166" t="str">
        <f ca="1">IFERROR(__xludf.DUMMYFUNCTION("""COMPUTED_VALUE"""),"")</f>
        <v/>
      </c>
      <c r="P71" s="166" t="str">
        <f ca="1">IFERROR(__xludf.DUMMYFUNCTION("""COMPUTED_VALUE"""),"")</f>
        <v/>
      </c>
      <c r="Q71" s="166" t="str">
        <f ca="1">IFERROR(__xludf.DUMMYFUNCTION("""COMPUTED_VALUE"""),"")</f>
        <v/>
      </c>
      <c r="R71" s="166" t="str">
        <f ca="1">IFERROR(__xludf.DUMMYFUNCTION("""COMPUTED_VALUE"""),"")</f>
        <v/>
      </c>
      <c r="S71" s="166" t="str">
        <f ca="1">IFERROR(__xludf.DUMMYFUNCTION("""COMPUTED_VALUE"""),"")</f>
        <v/>
      </c>
      <c r="X71" s="254"/>
      <c r="Y71" s="166"/>
      <c r="Z71" s="166"/>
      <c r="AA71" s="166"/>
      <c r="AB71" s="166"/>
      <c r="AC71" s="166"/>
      <c r="AH71" s="166"/>
    </row>
    <row r="72" spans="1:42" ht="27.75" customHeight="1">
      <c r="B72" s="240">
        <f t="shared" ca="1" si="0"/>
        <v>1.5</v>
      </c>
      <c r="C72" s="253"/>
      <c r="D72" s="210" t="str">
        <f>IF(C72=0,"",(VLOOKUP($C72,Пр.взв!$D$6:$J$76,2,0)))</f>
        <v/>
      </c>
      <c r="E72" s="210" t="str">
        <f>IF(C72=0,"",(VLOOKUP($C72,Пр.взв!$D$6:$J$76,5,0)))</f>
        <v/>
      </c>
      <c r="F72" s="210" t="str">
        <f>IF(C72=0,"",(VLOOKUP($C72,Пр.взв!$D$6:$M$76,6,0)))</f>
        <v/>
      </c>
      <c r="G72" s="210" t="str">
        <f>IF(C72=0,"",(VLOOKUP($C72,Пр.взв!$D$6:$M$76,8,0)))</f>
        <v/>
      </c>
      <c r="H72" s="212"/>
      <c r="I72" s="212"/>
      <c r="J72" s="212"/>
      <c r="K72" s="213"/>
      <c r="M72" s="166">
        <f ca="1">IFERROR(__xludf.DUMMYFUNCTION("""COMPUTED_VALUE"""),1.5)</f>
        <v>1.5</v>
      </c>
      <c r="N72" s="254"/>
      <c r="O72" s="166" t="str">
        <f ca="1">IFERROR(__xludf.DUMMYFUNCTION("""COMPUTED_VALUE"""),"")</f>
        <v/>
      </c>
      <c r="P72" s="166" t="str">
        <f ca="1">IFERROR(__xludf.DUMMYFUNCTION("""COMPUTED_VALUE"""),"")</f>
        <v/>
      </c>
      <c r="Q72" s="166" t="str">
        <f ca="1">IFERROR(__xludf.DUMMYFUNCTION("""COMPUTED_VALUE"""),"")</f>
        <v/>
      </c>
      <c r="R72" s="166" t="str">
        <f ca="1">IFERROR(__xludf.DUMMYFUNCTION("""COMPUTED_VALUE"""),"")</f>
        <v/>
      </c>
      <c r="S72" s="166"/>
      <c r="X72" s="254"/>
      <c r="Y72" s="166"/>
      <c r="Z72" s="166"/>
      <c r="AA72" s="166"/>
      <c r="AB72" s="166"/>
      <c r="AC72" s="166"/>
      <c r="AH72" s="166"/>
    </row>
    <row r="73" spans="1:42" ht="27.75" customHeight="1">
      <c r="B73" s="240">
        <f t="shared" ca="1" si="0"/>
        <v>1.5</v>
      </c>
      <c r="C73" s="244"/>
      <c r="D73" s="205" t="str">
        <f>IF(C73=0,"",(VLOOKUP($C73,Пр.взв!$D$6:$J$76,2,0)))</f>
        <v/>
      </c>
      <c r="E73" s="205" t="str">
        <f>IF(C73=0,"",(VLOOKUP($C73,Пр.взв!$D$6:$J$76,5,0)))</f>
        <v/>
      </c>
      <c r="F73" s="205" t="str">
        <f>IF(C73=0,"",(VLOOKUP($C73,Пр.взв!$D$6:$M$76,6,0)))</f>
        <v/>
      </c>
      <c r="G73" s="205" t="str">
        <f>IF(C73=0,"",(VLOOKUP($C73,Пр.взв!$D$6:$M$76,8,0)))</f>
        <v/>
      </c>
      <c r="H73" s="207" t="str">
        <f>IF(C73=0,"", IF(C74=0,"СВОБОДЕН",""))</f>
        <v/>
      </c>
      <c r="I73" s="207"/>
      <c r="J73" s="207"/>
      <c r="K73" s="208"/>
      <c r="M73" s="166">
        <f ca="1">IFERROR(__xludf.DUMMYFUNCTION("""COMPUTED_VALUE"""),1.5)</f>
        <v>1.5</v>
      </c>
      <c r="N73" s="254"/>
      <c r="O73" s="166" t="str">
        <f ca="1">IFERROR(__xludf.DUMMYFUNCTION("""COMPUTED_VALUE"""),"")</f>
        <v/>
      </c>
      <c r="P73" s="166" t="str">
        <f ca="1">IFERROR(__xludf.DUMMYFUNCTION("""COMPUTED_VALUE"""),"")</f>
        <v/>
      </c>
      <c r="Q73" s="166" t="str">
        <f ca="1">IFERROR(__xludf.DUMMYFUNCTION("""COMPUTED_VALUE"""),"")</f>
        <v/>
      </c>
      <c r="R73" s="166" t="str">
        <f ca="1">IFERROR(__xludf.DUMMYFUNCTION("""COMPUTED_VALUE"""),"")</f>
        <v/>
      </c>
      <c r="S73" s="166" t="str">
        <f ca="1">IFERROR(__xludf.DUMMYFUNCTION("""COMPUTED_VALUE"""),"")</f>
        <v/>
      </c>
      <c r="X73" s="254"/>
      <c r="Y73" s="166"/>
      <c r="Z73" s="166"/>
      <c r="AA73" s="166"/>
      <c r="AB73" s="166"/>
      <c r="AC73" s="166"/>
      <c r="AH73" s="166"/>
    </row>
    <row r="74" spans="1:42" ht="27.75" customHeight="1">
      <c r="B74" s="240">
        <f t="shared" ca="1" si="0"/>
        <v>1.5</v>
      </c>
      <c r="C74" s="253"/>
      <c r="D74" s="210" t="str">
        <f>IF(C74=0,"",(VLOOKUP($C74,Пр.взв!$D$6:$J$76,2,0)))</f>
        <v/>
      </c>
      <c r="E74" s="210" t="str">
        <f>IF(C74=0,"",(VLOOKUP($C74,Пр.взв!$D$6:$J$76,5,0)))</f>
        <v/>
      </c>
      <c r="F74" s="210" t="str">
        <f>IF(C74=0,"",(VLOOKUP($C74,Пр.взв!$D$6:$M$76,6,0)))</f>
        <v/>
      </c>
      <c r="G74" s="210" t="str">
        <f>IF(C74=0,"",(VLOOKUP($C74,Пр.взв!$D$6:$M$76,8,0)))</f>
        <v/>
      </c>
      <c r="H74" s="212"/>
      <c r="I74" s="212"/>
      <c r="J74" s="212"/>
      <c r="K74" s="213"/>
      <c r="M74" s="166">
        <f ca="1">IFERROR(__xludf.DUMMYFUNCTION("""COMPUTED_VALUE"""),1.5)</f>
        <v>1.5</v>
      </c>
      <c r="N74" s="254"/>
      <c r="O74" s="166" t="str">
        <f ca="1">IFERROR(__xludf.DUMMYFUNCTION("""COMPUTED_VALUE"""),"")</f>
        <v/>
      </c>
      <c r="P74" s="166" t="str">
        <f ca="1">IFERROR(__xludf.DUMMYFUNCTION("""COMPUTED_VALUE"""),"")</f>
        <v/>
      </c>
      <c r="Q74" s="166" t="str">
        <f ca="1">IFERROR(__xludf.DUMMYFUNCTION("""COMPUTED_VALUE"""),"")</f>
        <v/>
      </c>
      <c r="R74" s="166" t="str">
        <f ca="1">IFERROR(__xludf.DUMMYFUNCTION("""COMPUTED_VALUE"""),"")</f>
        <v/>
      </c>
      <c r="S74" s="166"/>
      <c r="X74" s="254"/>
      <c r="Y74" s="166"/>
      <c r="Z74" s="166"/>
      <c r="AA74" s="166"/>
      <c r="AB74" s="166"/>
      <c r="AC74" s="166"/>
      <c r="AH74" s="166"/>
    </row>
    <row r="75" spans="1:42" ht="27.75" customHeight="1">
      <c r="B75" s="240">
        <f t="shared" ca="1" si="0"/>
        <v>1.5</v>
      </c>
      <c r="C75" s="244"/>
      <c r="D75" s="205" t="str">
        <f>IF(C75=0,"",(VLOOKUP($C75,Пр.взв!$D$6:$J$76,2,0)))</f>
        <v/>
      </c>
      <c r="E75" s="205" t="str">
        <f>IF(C75=0,"",(VLOOKUP($C75,Пр.взв!$D$6:$J$76,5,0)))</f>
        <v/>
      </c>
      <c r="F75" s="205" t="str">
        <f>IF(C75=0,"",(VLOOKUP($C75,Пр.взв!$D$6:$M$76,6,0)))</f>
        <v/>
      </c>
      <c r="G75" s="205" t="str">
        <f>IF(C75=0,"",(VLOOKUP($C75,Пр.взв!$D$6:$M$76,8,0)))</f>
        <v/>
      </c>
      <c r="H75" s="207" t="str">
        <f>IF(C75=0,"", IF(C76=0,"СВОБОДЕН",""))</f>
        <v/>
      </c>
      <c r="I75" s="207"/>
      <c r="J75" s="207"/>
      <c r="K75" s="208"/>
      <c r="M75" s="166">
        <f ca="1">IFERROR(__xludf.DUMMYFUNCTION("""COMPUTED_VALUE"""),1.5)</f>
        <v>1.5</v>
      </c>
      <c r="N75" s="254"/>
      <c r="O75" s="166" t="str">
        <f ca="1">IFERROR(__xludf.DUMMYFUNCTION("""COMPUTED_VALUE"""),"")</f>
        <v/>
      </c>
      <c r="P75" s="166" t="str">
        <f ca="1">IFERROR(__xludf.DUMMYFUNCTION("""COMPUTED_VALUE"""),"")</f>
        <v/>
      </c>
      <c r="Q75" s="166" t="str">
        <f ca="1">IFERROR(__xludf.DUMMYFUNCTION("""COMPUTED_VALUE"""),"")</f>
        <v/>
      </c>
      <c r="R75" s="166" t="str">
        <f ca="1">IFERROR(__xludf.DUMMYFUNCTION("""COMPUTED_VALUE"""),"")</f>
        <v/>
      </c>
      <c r="S75" s="166" t="str">
        <f ca="1">IFERROR(__xludf.DUMMYFUNCTION("""COMPUTED_VALUE"""),"")</f>
        <v/>
      </c>
      <c r="X75" s="254"/>
      <c r="Y75" s="166"/>
      <c r="Z75" s="166"/>
      <c r="AA75" s="166"/>
      <c r="AB75" s="166"/>
      <c r="AC75" s="166"/>
      <c r="AH75" s="166"/>
    </row>
    <row r="76" spans="1:42" ht="33" customHeight="1">
      <c r="C76" s="253"/>
      <c r="D76" s="210" t="str">
        <f>IF(C76=0,"",(VLOOKUP($C76,Пр.взв!$D$6:$J$76,2,0)))</f>
        <v/>
      </c>
      <c r="E76" s="210" t="str">
        <f>IF(C76=0,"",(VLOOKUP($C76,Пр.взв!$D$6:$J$76,5,0)))</f>
        <v/>
      </c>
      <c r="F76" s="210" t="str">
        <f>IF(C76=0,"",(VLOOKUP($C76,Пр.взв!$D$6:$M$76,6,0)))</f>
        <v/>
      </c>
      <c r="G76" s="210" t="str">
        <f>IF(C76=0,"",(VLOOKUP($C76,Пр.взв!$D$6:$M$76,8,0)))</f>
        <v/>
      </c>
      <c r="H76" s="212"/>
      <c r="I76" s="212"/>
      <c r="J76" s="212"/>
      <c r="K76" s="213"/>
      <c r="X76" s="254"/>
      <c r="Y76" s="166"/>
      <c r="Z76" s="166"/>
      <c r="AA76" s="166"/>
      <c r="AB76" s="166"/>
      <c r="AC76" s="166"/>
      <c r="AH76" s="166"/>
    </row>
    <row r="77" spans="1:42" ht="12.5">
      <c r="C77" s="166"/>
      <c r="X77" s="254"/>
      <c r="Y77" s="166"/>
      <c r="Z77" s="166"/>
      <c r="AA77" s="166"/>
      <c r="AB77" s="166"/>
      <c r="AC77" s="166"/>
      <c r="AH77" s="166"/>
    </row>
    <row r="78" spans="1:42" ht="12.5">
      <c r="C78" s="166"/>
      <c r="X78" s="254"/>
      <c r="Y78" s="166"/>
      <c r="Z78" s="166"/>
      <c r="AA78" s="166"/>
      <c r="AB78" s="166"/>
      <c r="AC78" s="166"/>
      <c r="AH78" s="166"/>
    </row>
    <row r="79" spans="1:42" ht="12.5">
      <c r="C79" s="166"/>
      <c r="X79" s="254"/>
      <c r="Y79" s="166"/>
      <c r="Z79" s="166"/>
      <c r="AA79" s="166"/>
      <c r="AB79" s="166"/>
      <c r="AC79" s="166"/>
      <c r="AH79" s="166"/>
    </row>
    <row r="80" spans="1:42" ht="12.5">
      <c r="C80" s="166"/>
      <c r="X80" s="254"/>
      <c r="Y80" s="166"/>
      <c r="Z80" s="166"/>
      <c r="AA80" s="166"/>
      <c r="AB80" s="166"/>
      <c r="AC80" s="166"/>
      <c r="AH80" s="166"/>
    </row>
    <row r="81" spans="3:34" ht="12.5">
      <c r="C81" s="166"/>
      <c r="X81" s="254"/>
      <c r="Y81" s="166"/>
      <c r="Z81" s="166"/>
      <c r="AA81" s="166"/>
      <c r="AB81" s="166"/>
      <c r="AC81" s="166"/>
      <c r="AH81" s="166"/>
    </row>
    <row r="82" spans="3:34" ht="12.5">
      <c r="C82" s="166"/>
      <c r="X82" s="254"/>
      <c r="Y82" s="166"/>
      <c r="Z82" s="166"/>
      <c r="AA82" s="166"/>
      <c r="AB82" s="166"/>
      <c r="AC82" s="166"/>
      <c r="AH82" s="166"/>
    </row>
    <row r="83" spans="3:34" ht="12.5">
      <c r="C83" s="166"/>
      <c r="X83" s="254"/>
      <c r="Y83" s="166"/>
      <c r="Z83" s="166"/>
      <c r="AA83" s="166"/>
      <c r="AB83" s="166"/>
      <c r="AC83" s="166"/>
      <c r="AH83" s="166"/>
    </row>
    <row r="84" spans="3:34" ht="12.5">
      <c r="C84" s="166"/>
      <c r="X84" s="254"/>
      <c r="Y84" s="166"/>
      <c r="Z84" s="166"/>
      <c r="AA84" s="166"/>
      <c r="AB84" s="166"/>
      <c r="AC84" s="166"/>
      <c r="AH84" s="166"/>
    </row>
    <row r="85" spans="3:34" ht="12.5">
      <c r="C85" s="166"/>
      <c r="X85" s="254"/>
      <c r="Y85" s="166"/>
      <c r="Z85" s="166"/>
      <c r="AA85" s="166"/>
      <c r="AB85" s="166"/>
      <c r="AC85" s="166"/>
      <c r="AH85" s="166"/>
    </row>
    <row r="86" spans="3:34" ht="12.5">
      <c r="C86" s="166"/>
      <c r="X86" s="254"/>
      <c r="Y86" s="166"/>
      <c r="Z86" s="166"/>
      <c r="AA86" s="166"/>
      <c r="AB86" s="166"/>
      <c r="AC86" s="166"/>
      <c r="AH86" s="166"/>
    </row>
    <row r="87" spans="3:34" ht="12.5">
      <c r="C87" s="166"/>
      <c r="X87" s="254"/>
      <c r="Y87" s="166"/>
      <c r="Z87" s="166"/>
      <c r="AA87" s="166"/>
      <c r="AB87" s="166"/>
      <c r="AC87" s="166"/>
      <c r="AH87" s="166"/>
    </row>
    <row r="88" spans="3:34" ht="12.5">
      <c r="C88" s="166"/>
      <c r="X88" s="254"/>
      <c r="Y88" s="166"/>
      <c r="Z88" s="166"/>
      <c r="AA88" s="166"/>
      <c r="AB88" s="166"/>
      <c r="AC88" s="166"/>
      <c r="AH88" s="166"/>
    </row>
    <row r="89" spans="3:34" ht="12.5">
      <c r="C89" s="166"/>
      <c r="X89" s="254"/>
      <c r="Y89" s="166"/>
      <c r="Z89" s="166"/>
      <c r="AA89" s="166"/>
      <c r="AB89" s="166"/>
      <c r="AC89" s="166"/>
      <c r="AH89" s="166"/>
    </row>
    <row r="90" spans="3:34" ht="12.5">
      <c r="C90" s="166"/>
      <c r="X90" s="254"/>
      <c r="Y90" s="166"/>
      <c r="Z90" s="166"/>
      <c r="AA90" s="166"/>
      <c r="AB90" s="166"/>
      <c r="AC90" s="166"/>
      <c r="AH90" s="166"/>
    </row>
    <row r="91" spans="3:34" ht="12.5">
      <c r="C91" s="166"/>
      <c r="X91" s="254"/>
      <c r="Y91" s="166"/>
      <c r="Z91" s="166"/>
      <c r="AA91" s="166"/>
      <c r="AB91" s="166"/>
      <c r="AC91" s="166"/>
      <c r="AH91" s="166"/>
    </row>
    <row r="92" spans="3:34" ht="12.5">
      <c r="C92" s="166"/>
      <c r="X92" s="254"/>
      <c r="Y92" s="166"/>
      <c r="Z92" s="166"/>
      <c r="AA92" s="166"/>
      <c r="AB92" s="166"/>
      <c r="AC92" s="166"/>
      <c r="AH92" s="166"/>
    </row>
    <row r="93" spans="3:34" ht="12.5">
      <c r="C93" s="166"/>
      <c r="X93" s="254"/>
      <c r="Y93" s="166"/>
      <c r="Z93" s="166"/>
      <c r="AA93" s="166"/>
      <c r="AB93" s="166"/>
      <c r="AC93" s="166"/>
      <c r="AH93" s="166"/>
    </row>
    <row r="94" spans="3:34" ht="12.5">
      <c r="C94" s="166"/>
      <c r="X94" s="254"/>
      <c r="Y94" s="166"/>
      <c r="Z94" s="166"/>
      <c r="AA94" s="166"/>
      <c r="AB94" s="166"/>
      <c r="AC94" s="166"/>
      <c r="AH94" s="166"/>
    </row>
    <row r="95" spans="3:34" ht="12.5">
      <c r="C95" s="166"/>
      <c r="X95" s="254"/>
      <c r="Y95" s="166"/>
      <c r="Z95" s="166"/>
      <c r="AA95" s="166"/>
      <c r="AB95" s="166"/>
      <c r="AC95" s="166"/>
      <c r="AH95" s="166"/>
    </row>
    <row r="96" spans="3:34" ht="12.5">
      <c r="C96" s="166"/>
      <c r="X96" s="254"/>
      <c r="Y96" s="166"/>
      <c r="Z96" s="166"/>
      <c r="AA96" s="166"/>
      <c r="AB96" s="166"/>
      <c r="AC96" s="166"/>
      <c r="AH96" s="166"/>
    </row>
    <row r="97" spans="3:34" ht="12.5">
      <c r="C97" s="166"/>
      <c r="X97" s="254"/>
      <c r="Y97" s="166"/>
      <c r="Z97" s="166"/>
      <c r="AA97" s="166"/>
      <c r="AB97" s="166"/>
      <c r="AC97" s="166"/>
      <c r="AH97" s="166"/>
    </row>
    <row r="98" spans="3:34" ht="12.5">
      <c r="C98" s="166"/>
      <c r="X98" s="254"/>
      <c r="Y98" s="166"/>
      <c r="Z98" s="166"/>
      <c r="AA98" s="166"/>
      <c r="AB98" s="166"/>
      <c r="AC98" s="166"/>
      <c r="AH98" s="166"/>
    </row>
    <row r="99" spans="3:34" ht="12.5">
      <c r="C99" s="166"/>
      <c r="X99" s="254"/>
      <c r="Y99" s="166"/>
      <c r="Z99" s="166"/>
      <c r="AA99" s="166"/>
      <c r="AB99" s="166"/>
      <c r="AC99" s="166"/>
      <c r="AH99" s="166"/>
    </row>
    <row r="100" spans="3:34" ht="12.5">
      <c r="C100" s="166"/>
      <c r="X100" s="254"/>
      <c r="Y100" s="166"/>
      <c r="Z100" s="166"/>
      <c r="AA100" s="166"/>
      <c r="AB100" s="166"/>
      <c r="AC100" s="166"/>
      <c r="AH100" s="166"/>
    </row>
    <row r="101" spans="3:34" ht="12.5">
      <c r="C101" s="166"/>
      <c r="X101" s="254"/>
      <c r="Y101" s="166"/>
      <c r="Z101" s="166"/>
      <c r="AA101" s="166"/>
      <c r="AB101" s="166"/>
      <c r="AC101" s="166"/>
      <c r="AH101" s="166"/>
    </row>
    <row r="102" spans="3:34" ht="12.5">
      <c r="C102" s="166"/>
      <c r="X102" s="254"/>
      <c r="Y102" s="166"/>
      <c r="Z102" s="166"/>
      <c r="AA102" s="166"/>
      <c r="AB102" s="166"/>
      <c r="AC102" s="166"/>
      <c r="AH102" s="166"/>
    </row>
    <row r="103" spans="3:34" ht="12.5">
      <c r="C103" s="166"/>
      <c r="X103" s="254"/>
      <c r="Y103" s="166"/>
      <c r="Z103" s="166"/>
      <c r="AA103" s="166"/>
      <c r="AB103" s="166"/>
      <c r="AC103" s="166"/>
      <c r="AH103" s="166"/>
    </row>
    <row r="104" spans="3:34" ht="12.5">
      <c r="C104" s="166"/>
      <c r="X104" s="254"/>
      <c r="Y104" s="166"/>
      <c r="Z104" s="166"/>
      <c r="AA104" s="166"/>
      <c r="AB104" s="166"/>
      <c r="AC104" s="166"/>
      <c r="AH104" s="166"/>
    </row>
    <row r="105" spans="3:34" ht="12.5">
      <c r="C105" s="166"/>
      <c r="X105" s="254"/>
      <c r="Y105" s="166"/>
      <c r="Z105" s="166"/>
      <c r="AA105" s="166"/>
      <c r="AB105" s="166"/>
      <c r="AC105" s="166"/>
      <c r="AH105" s="166"/>
    </row>
    <row r="106" spans="3:34" ht="12.5">
      <c r="C106" s="166"/>
      <c r="X106" s="254"/>
      <c r="Y106" s="166"/>
      <c r="Z106" s="166"/>
      <c r="AA106" s="166"/>
      <c r="AB106" s="166"/>
      <c r="AC106" s="166"/>
      <c r="AH106" s="166"/>
    </row>
    <row r="107" spans="3:34" ht="12.5">
      <c r="C107" s="166"/>
      <c r="X107" s="254"/>
      <c r="Y107" s="166"/>
      <c r="Z107" s="166"/>
      <c r="AA107" s="166"/>
      <c r="AB107" s="166"/>
      <c r="AC107" s="166"/>
      <c r="AH107" s="166"/>
    </row>
    <row r="108" spans="3:34" ht="12.5">
      <c r="C108" s="166"/>
      <c r="X108" s="254"/>
      <c r="Y108" s="166"/>
      <c r="Z108" s="166"/>
      <c r="AA108" s="166"/>
      <c r="AB108" s="166"/>
      <c r="AC108" s="166"/>
      <c r="AH108" s="166"/>
    </row>
    <row r="109" spans="3:34" ht="12.5">
      <c r="C109" s="166"/>
      <c r="X109" s="254"/>
      <c r="Y109" s="166"/>
      <c r="Z109" s="166"/>
      <c r="AA109" s="166"/>
      <c r="AB109" s="166"/>
      <c r="AC109" s="166"/>
      <c r="AH109" s="166"/>
    </row>
    <row r="110" spans="3:34" ht="12.5">
      <c r="C110" s="166"/>
      <c r="X110" s="254"/>
      <c r="Y110" s="166"/>
      <c r="Z110" s="166"/>
      <c r="AA110" s="166"/>
      <c r="AB110" s="166"/>
      <c r="AC110" s="166"/>
      <c r="AH110" s="166"/>
    </row>
    <row r="111" spans="3:34" ht="12.5">
      <c r="C111" s="166"/>
      <c r="X111" s="254"/>
      <c r="Y111" s="166"/>
      <c r="Z111" s="166"/>
      <c r="AA111" s="166"/>
      <c r="AB111" s="166"/>
      <c r="AC111" s="166"/>
      <c r="AH111" s="166"/>
    </row>
    <row r="112" spans="3:34" ht="12.5">
      <c r="C112" s="166"/>
      <c r="X112" s="254"/>
      <c r="Y112" s="166"/>
      <c r="Z112" s="166"/>
      <c r="AA112" s="166"/>
      <c r="AB112" s="166"/>
      <c r="AC112" s="166"/>
      <c r="AH112" s="166"/>
    </row>
    <row r="113" spans="3:34" ht="12.5">
      <c r="C113" s="166"/>
      <c r="X113" s="254"/>
      <c r="Y113" s="166"/>
      <c r="Z113" s="166"/>
      <c r="AA113" s="166"/>
      <c r="AB113" s="166"/>
      <c r="AC113" s="166"/>
      <c r="AH113" s="166"/>
    </row>
    <row r="114" spans="3:34" ht="12.5">
      <c r="C114" s="166"/>
      <c r="X114" s="254"/>
      <c r="Y114" s="166"/>
      <c r="Z114" s="166"/>
      <c r="AA114" s="166"/>
      <c r="AB114" s="166"/>
      <c r="AC114" s="166"/>
      <c r="AH114" s="166"/>
    </row>
    <row r="115" spans="3:34" ht="12.5">
      <c r="C115" s="166"/>
      <c r="X115" s="254"/>
      <c r="Y115" s="166"/>
      <c r="Z115" s="166"/>
      <c r="AA115" s="166"/>
      <c r="AB115" s="166"/>
      <c r="AC115" s="166"/>
      <c r="AH115" s="166"/>
    </row>
    <row r="116" spans="3:34" ht="12.5">
      <c r="C116" s="166"/>
      <c r="X116" s="254"/>
      <c r="Y116" s="166"/>
      <c r="Z116" s="166"/>
      <c r="AA116" s="166"/>
      <c r="AB116" s="166"/>
      <c r="AC116" s="166"/>
      <c r="AH116" s="166"/>
    </row>
    <row r="117" spans="3:34" ht="12.5">
      <c r="C117" s="166"/>
      <c r="X117" s="254"/>
      <c r="Y117" s="166"/>
      <c r="Z117" s="166"/>
      <c r="AA117" s="166"/>
      <c r="AB117" s="166"/>
      <c r="AC117" s="166"/>
      <c r="AH117" s="166"/>
    </row>
    <row r="118" spans="3:34" ht="12.5">
      <c r="C118" s="166"/>
      <c r="X118" s="254"/>
      <c r="Y118" s="166"/>
      <c r="Z118" s="166"/>
      <c r="AA118" s="166"/>
      <c r="AB118" s="166"/>
      <c r="AC118" s="166"/>
      <c r="AH118" s="166"/>
    </row>
    <row r="119" spans="3:34" ht="12.5">
      <c r="C119" s="166"/>
      <c r="X119" s="254"/>
      <c r="Y119" s="166"/>
      <c r="Z119" s="166"/>
      <c r="AA119" s="166"/>
      <c r="AB119" s="166"/>
      <c r="AC119" s="166"/>
      <c r="AH119" s="166"/>
    </row>
    <row r="120" spans="3:34" ht="12.5">
      <c r="C120" s="166"/>
      <c r="X120" s="254"/>
      <c r="Y120" s="166"/>
      <c r="Z120" s="166"/>
      <c r="AA120" s="166"/>
      <c r="AB120" s="166"/>
      <c r="AC120" s="166"/>
      <c r="AH120" s="166"/>
    </row>
    <row r="121" spans="3:34" ht="12.5">
      <c r="C121" s="166"/>
      <c r="X121" s="254"/>
      <c r="Y121" s="166"/>
      <c r="Z121" s="166"/>
      <c r="AA121" s="166"/>
      <c r="AB121" s="166"/>
      <c r="AC121" s="166"/>
      <c r="AH121" s="166"/>
    </row>
    <row r="122" spans="3:34" ht="12.5">
      <c r="C122" s="166"/>
      <c r="X122" s="254"/>
      <c r="Y122" s="166"/>
      <c r="Z122" s="166"/>
      <c r="AA122" s="166"/>
      <c r="AB122" s="166"/>
      <c r="AC122" s="166"/>
      <c r="AH122" s="166"/>
    </row>
    <row r="123" spans="3:34" ht="12.5">
      <c r="C123" s="166"/>
      <c r="X123" s="254"/>
      <c r="Y123" s="166"/>
      <c r="Z123" s="166"/>
      <c r="AA123" s="166"/>
      <c r="AB123" s="166"/>
      <c r="AC123" s="166"/>
      <c r="AH123" s="166"/>
    </row>
    <row r="124" spans="3:34" ht="12.5">
      <c r="C124" s="166"/>
      <c r="X124" s="254"/>
      <c r="Y124" s="166"/>
      <c r="Z124" s="166"/>
      <c r="AA124" s="166"/>
      <c r="AB124" s="166"/>
      <c r="AC124" s="166"/>
      <c r="AH124" s="166"/>
    </row>
    <row r="125" spans="3:34" ht="12.5">
      <c r="C125" s="166"/>
      <c r="X125" s="254"/>
      <c r="Y125" s="166"/>
      <c r="Z125" s="166"/>
      <c r="AA125" s="166"/>
      <c r="AB125" s="166"/>
      <c r="AC125" s="166"/>
      <c r="AH125" s="166"/>
    </row>
    <row r="126" spans="3:34" ht="12.5">
      <c r="C126" s="166"/>
      <c r="X126" s="254"/>
      <c r="Y126" s="166"/>
      <c r="Z126" s="166"/>
      <c r="AA126" s="166"/>
      <c r="AB126" s="166"/>
      <c r="AC126" s="166"/>
      <c r="AH126" s="166"/>
    </row>
    <row r="127" spans="3:34" ht="12.5">
      <c r="C127" s="166"/>
      <c r="X127" s="254"/>
      <c r="Y127" s="166"/>
      <c r="Z127" s="166"/>
      <c r="AA127" s="166"/>
      <c r="AB127" s="166"/>
      <c r="AC127" s="166"/>
      <c r="AH127" s="166"/>
    </row>
    <row r="128" spans="3:34" ht="12.5">
      <c r="C128" s="166"/>
      <c r="X128" s="254"/>
      <c r="Y128" s="166"/>
      <c r="Z128" s="166"/>
      <c r="AA128" s="166"/>
      <c r="AB128" s="166"/>
      <c r="AC128" s="166"/>
      <c r="AH128" s="166"/>
    </row>
    <row r="129" spans="3:34" ht="12.5">
      <c r="C129" s="166"/>
      <c r="X129" s="254"/>
      <c r="Y129" s="166"/>
      <c r="Z129" s="166"/>
      <c r="AA129" s="166"/>
      <c r="AB129" s="166"/>
      <c r="AC129" s="166"/>
      <c r="AH129" s="166"/>
    </row>
    <row r="130" spans="3:34" ht="12.5">
      <c r="C130" s="166"/>
      <c r="X130" s="254"/>
      <c r="Y130" s="166"/>
      <c r="Z130" s="166"/>
      <c r="AA130" s="166"/>
      <c r="AB130" s="166"/>
      <c r="AC130" s="166"/>
      <c r="AH130" s="166"/>
    </row>
    <row r="131" spans="3:34" ht="12.5">
      <c r="C131" s="166"/>
      <c r="X131" s="254"/>
      <c r="Y131" s="166"/>
      <c r="Z131" s="166"/>
      <c r="AA131" s="166"/>
      <c r="AB131" s="166"/>
      <c r="AC131" s="166"/>
      <c r="AH131" s="166"/>
    </row>
    <row r="132" spans="3:34" ht="12.5">
      <c r="C132" s="166"/>
      <c r="X132" s="254"/>
      <c r="Y132" s="166"/>
      <c r="Z132" s="166"/>
      <c r="AA132" s="166"/>
      <c r="AB132" s="166"/>
      <c r="AC132" s="166"/>
      <c r="AH132" s="166"/>
    </row>
    <row r="133" spans="3:34" ht="12.5">
      <c r="C133" s="166"/>
      <c r="X133" s="254"/>
      <c r="Y133" s="166"/>
      <c r="Z133" s="166"/>
      <c r="AA133" s="166"/>
      <c r="AB133" s="166"/>
      <c r="AC133" s="166"/>
      <c r="AH133" s="166"/>
    </row>
    <row r="134" spans="3:34" ht="12.5">
      <c r="C134" s="166"/>
      <c r="X134" s="254"/>
      <c r="Y134" s="166"/>
      <c r="Z134" s="166"/>
      <c r="AA134" s="166"/>
      <c r="AB134" s="166"/>
      <c r="AC134" s="166"/>
      <c r="AH134" s="166"/>
    </row>
    <row r="135" spans="3:34" ht="12.5">
      <c r="C135" s="166"/>
      <c r="X135" s="254"/>
      <c r="Y135" s="166"/>
      <c r="Z135" s="166"/>
      <c r="AA135" s="166"/>
      <c r="AB135" s="166"/>
      <c r="AC135" s="166"/>
      <c r="AH135" s="166"/>
    </row>
    <row r="136" spans="3:34" ht="12.5">
      <c r="C136" s="166"/>
      <c r="X136" s="254"/>
      <c r="Y136" s="166"/>
      <c r="Z136" s="166"/>
      <c r="AA136" s="166"/>
      <c r="AB136" s="166"/>
      <c r="AC136" s="166"/>
      <c r="AH136" s="166"/>
    </row>
    <row r="137" spans="3:34" ht="12.5">
      <c r="C137" s="166"/>
      <c r="X137" s="254"/>
      <c r="Y137" s="166"/>
      <c r="Z137" s="166"/>
      <c r="AA137" s="166"/>
      <c r="AB137" s="166"/>
      <c r="AC137" s="166"/>
      <c r="AH137" s="166"/>
    </row>
    <row r="138" spans="3:34" ht="12.5">
      <c r="C138" s="166"/>
      <c r="X138" s="254"/>
      <c r="Y138" s="166"/>
      <c r="Z138" s="166"/>
      <c r="AA138" s="166"/>
      <c r="AB138" s="166"/>
      <c r="AC138" s="166"/>
      <c r="AH138" s="166"/>
    </row>
    <row r="139" spans="3:34" ht="12.5">
      <c r="C139" s="166"/>
      <c r="X139" s="254"/>
      <c r="Y139" s="166"/>
      <c r="Z139" s="166"/>
      <c r="AA139" s="166"/>
      <c r="AB139" s="166"/>
      <c r="AC139" s="166"/>
      <c r="AH139" s="166"/>
    </row>
    <row r="140" spans="3:34" ht="12.5">
      <c r="C140" s="166"/>
      <c r="X140" s="254"/>
      <c r="Y140" s="166"/>
      <c r="Z140" s="166"/>
      <c r="AA140" s="166"/>
      <c r="AB140" s="166"/>
      <c r="AC140" s="166"/>
      <c r="AH140" s="166"/>
    </row>
    <row r="141" spans="3:34" ht="12.5">
      <c r="C141" s="166"/>
      <c r="X141" s="254"/>
      <c r="Y141" s="166"/>
      <c r="Z141" s="166"/>
      <c r="AA141" s="166"/>
      <c r="AB141" s="166"/>
      <c r="AC141" s="166"/>
      <c r="AH141" s="166"/>
    </row>
    <row r="142" spans="3:34" ht="12.5">
      <c r="C142" s="166"/>
      <c r="X142" s="254"/>
      <c r="Y142" s="166"/>
      <c r="Z142" s="166"/>
      <c r="AA142" s="166"/>
      <c r="AB142" s="166"/>
      <c r="AC142" s="166"/>
      <c r="AH142" s="166"/>
    </row>
    <row r="143" spans="3:34" ht="12.5">
      <c r="C143" s="166"/>
      <c r="X143" s="254"/>
      <c r="Y143" s="166"/>
      <c r="Z143" s="166"/>
      <c r="AA143" s="166"/>
      <c r="AB143" s="166"/>
      <c r="AC143" s="166"/>
      <c r="AH143" s="166"/>
    </row>
    <row r="144" spans="3:34" ht="12.5">
      <c r="C144" s="166"/>
      <c r="X144" s="254"/>
      <c r="Y144" s="166"/>
      <c r="Z144" s="166"/>
      <c r="AA144" s="166"/>
      <c r="AB144" s="166"/>
      <c r="AC144" s="166"/>
      <c r="AH144" s="166"/>
    </row>
    <row r="145" spans="3:34" ht="12.5">
      <c r="C145" s="166"/>
      <c r="X145" s="254"/>
      <c r="Y145" s="166"/>
      <c r="Z145" s="166"/>
      <c r="AA145" s="166"/>
      <c r="AB145" s="166"/>
      <c r="AC145" s="166"/>
      <c r="AH145" s="166"/>
    </row>
    <row r="146" spans="3:34" ht="12.5">
      <c r="C146" s="166"/>
      <c r="X146" s="254"/>
      <c r="Y146" s="166"/>
      <c r="Z146" s="166"/>
      <c r="AA146" s="166"/>
      <c r="AB146" s="166"/>
      <c r="AC146" s="166"/>
      <c r="AH146" s="166"/>
    </row>
    <row r="147" spans="3:34" ht="12.5">
      <c r="X147" s="254"/>
      <c r="Y147" s="166"/>
      <c r="Z147" s="166"/>
      <c r="AA147" s="166"/>
      <c r="AB147" s="166"/>
      <c r="AC147" s="166"/>
    </row>
    <row r="148" spans="3:34" ht="12.5">
      <c r="X148" s="254"/>
      <c r="Y148" s="166"/>
      <c r="Z148" s="166"/>
      <c r="AA148" s="166"/>
      <c r="AB148" s="166"/>
      <c r="AC148" s="166"/>
    </row>
    <row r="149" spans="3:34" ht="12.5">
      <c r="X149" s="254"/>
      <c r="Y149" s="166"/>
      <c r="Z149" s="166"/>
      <c r="AA149" s="166"/>
      <c r="AB149" s="166"/>
      <c r="AC149" s="166"/>
    </row>
    <row r="150" spans="3:34" ht="12.5">
      <c r="X150" s="254"/>
      <c r="Y150" s="166"/>
      <c r="Z150" s="166"/>
      <c r="AA150" s="166"/>
      <c r="AB150" s="166"/>
      <c r="AC150" s="166"/>
    </row>
    <row r="151" spans="3:34" ht="12.5">
      <c r="X151" s="254"/>
      <c r="Y151" s="166"/>
      <c r="Z151" s="166"/>
      <c r="AA151" s="166"/>
      <c r="AB151" s="166"/>
      <c r="AC151" s="166"/>
    </row>
    <row r="152" spans="3:34" ht="12.5">
      <c r="X152" s="254"/>
      <c r="Y152" s="166"/>
      <c r="Z152" s="166"/>
      <c r="AA152" s="166"/>
      <c r="AB152" s="166"/>
      <c r="AC152" s="166"/>
    </row>
    <row r="153" spans="3:34" ht="12.5">
      <c r="X153" s="254"/>
      <c r="Y153" s="166"/>
      <c r="Z153" s="166"/>
      <c r="AA153" s="166"/>
      <c r="AB153" s="166"/>
      <c r="AC153" s="166"/>
    </row>
    <row r="154" spans="3:34" ht="12.5">
      <c r="X154" s="254"/>
      <c r="Y154" s="166"/>
      <c r="Z154" s="166"/>
      <c r="AA154" s="166"/>
      <c r="AB154" s="166"/>
      <c r="AC154" s="166"/>
    </row>
    <row r="155" spans="3:34" ht="12.5">
      <c r="X155" s="254"/>
      <c r="Y155" s="166"/>
      <c r="Z155" s="166"/>
      <c r="AA155" s="166"/>
      <c r="AB155" s="166"/>
      <c r="AC155" s="166"/>
    </row>
    <row r="156" spans="3:34" ht="12.5">
      <c r="X156" s="254"/>
      <c r="Y156" s="166"/>
      <c r="Z156" s="166"/>
      <c r="AA156" s="166"/>
      <c r="AB156" s="166"/>
      <c r="AC156" s="166"/>
    </row>
    <row r="157" spans="3:34" ht="12.5">
      <c r="X157" s="254"/>
      <c r="Y157" s="166"/>
      <c r="Z157" s="166"/>
      <c r="AA157" s="166"/>
      <c r="AB157" s="166"/>
      <c r="AC157" s="166"/>
    </row>
    <row r="158" spans="3:34" ht="12.5">
      <c r="X158" s="254"/>
      <c r="Y158" s="166"/>
      <c r="Z158" s="166"/>
      <c r="AA158" s="166"/>
      <c r="AB158" s="166"/>
      <c r="AC158" s="166"/>
    </row>
    <row r="159" spans="3:34" ht="12.5">
      <c r="X159" s="254"/>
      <c r="Y159" s="166"/>
      <c r="Z159" s="166"/>
      <c r="AA159" s="166"/>
      <c r="AB159" s="166"/>
      <c r="AC159" s="166"/>
    </row>
    <row r="160" spans="3:34" ht="12.5">
      <c r="X160" s="254"/>
      <c r="Y160" s="166"/>
      <c r="Z160" s="166"/>
      <c r="AA160" s="166"/>
      <c r="AB160" s="166"/>
      <c r="AC160" s="166"/>
    </row>
    <row r="161" spans="24:29" ht="12.5">
      <c r="X161" s="254"/>
      <c r="Y161" s="166"/>
      <c r="Z161" s="166"/>
      <c r="AA161" s="166"/>
      <c r="AB161" s="166"/>
      <c r="AC161" s="166"/>
    </row>
    <row r="162" spans="24:29" ht="12.5">
      <c r="X162" s="254"/>
      <c r="Y162" s="166"/>
      <c r="Z162" s="166"/>
      <c r="AA162" s="166"/>
      <c r="AB162" s="166"/>
      <c r="AC162" s="166"/>
    </row>
    <row r="163" spans="24:29" ht="12.5">
      <c r="X163" s="254"/>
      <c r="Y163" s="166"/>
      <c r="Z163" s="166"/>
      <c r="AA163" s="166"/>
      <c r="AB163" s="166"/>
      <c r="AC163" s="166"/>
    </row>
    <row r="164" spans="24:29" ht="12.5">
      <c r="X164" s="254"/>
      <c r="Y164" s="166"/>
      <c r="Z164" s="166"/>
      <c r="AA164" s="166"/>
      <c r="AB164" s="166"/>
      <c r="AC164" s="166"/>
    </row>
    <row r="165" spans="24:29" ht="12.5">
      <c r="X165" s="254"/>
      <c r="Y165" s="166"/>
      <c r="Z165" s="166"/>
      <c r="AA165" s="166"/>
      <c r="AB165" s="166"/>
      <c r="AC165" s="166"/>
    </row>
    <row r="166" spans="24:29" ht="12.5">
      <c r="X166" s="254"/>
      <c r="Y166" s="166"/>
      <c r="Z166" s="166"/>
      <c r="AA166" s="166"/>
      <c r="AB166" s="166"/>
      <c r="AC166" s="166"/>
    </row>
    <row r="167" spans="24:29" ht="12.5">
      <c r="X167" s="254"/>
      <c r="Y167" s="166"/>
      <c r="Z167" s="166"/>
      <c r="AA167" s="166"/>
      <c r="AB167" s="166"/>
      <c r="AC167" s="166"/>
    </row>
    <row r="168" spans="24:29" ht="12.5">
      <c r="X168" s="254"/>
      <c r="Y168" s="166"/>
      <c r="Z168" s="166"/>
      <c r="AA168" s="166"/>
      <c r="AB168" s="166"/>
      <c r="AC168" s="166"/>
    </row>
    <row r="169" spans="24:29" ht="12.5">
      <c r="X169" s="254"/>
      <c r="Y169" s="166"/>
      <c r="Z169" s="166"/>
      <c r="AA169" s="166"/>
      <c r="AB169" s="166"/>
      <c r="AC169" s="166"/>
    </row>
    <row r="170" spans="24:29" ht="12.5">
      <c r="X170" s="254"/>
      <c r="Y170" s="166"/>
      <c r="Z170" s="166"/>
      <c r="AA170" s="166"/>
      <c r="AB170" s="166"/>
      <c r="AC170" s="166"/>
    </row>
    <row r="171" spans="24:29" ht="12.5">
      <c r="X171" s="254"/>
      <c r="Y171" s="166"/>
      <c r="Z171" s="166"/>
      <c r="AA171" s="166"/>
      <c r="AB171" s="166"/>
      <c r="AC171" s="166"/>
    </row>
    <row r="172" spans="24:29" ht="12.5">
      <c r="X172" s="254"/>
      <c r="Y172" s="166"/>
      <c r="Z172" s="166"/>
      <c r="AA172" s="166"/>
      <c r="AB172" s="166"/>
      <c r="AC172" s="166"/>
    </row>
    <row r="173" spans="24:29" ht="12.5">
      <c r="X173" s="254"/>
      <c r="Y173" s="166"/>
      <c r="Z173" s="166"/>
      <c r="AA173" s="166"/>
      <c r="AB173" s="166"/>
      <c r="AC173" s="166"/>
    </row>
    <row r="174" spans="24:29" ht="12.5">
      <c r="X174" s="254"/>
      <c r="Y174" s="166"/>
      <c r="Z174" s="166"/>
      <c r="AA174" s="166"/>
      <c r="AB174" s="166"/>
      <c r="AC174" s="166"/>
    </row>
    <row r="175" spans="24:29" ht="12.5">
      <c r="X175" s="254"/>
      <c r="Y175" s="166"/>
      <c r="Z175" s="166"/>
      <c r="AA175" s="166"/>
      <c r="AB175" s="166"/>
      <c r="AC175" s="166"/>
    </row>
    <row r="176" spans="24:29" ht="12.5">
      <c r="X176" s="254"/>
      <c r="Y176" s="166"/>
      <c r="Z176" s="166"/>
      <c r="AA176" s="166"/>
      <c r="AB176" s="166"/>
      <c r="AC176" s="166"/>
    </row>
    <row r="177" spans="24:29" ht="12.5">
      <c r="X177" s="254"/>
      <c r="Y177" s="166"/>
      <c r="Z177" s="166"/>
      <c r="AA177" s="166"/>
      <c r="AB177" s="166"/>
      <c r="AC177" s="166"/>
    </row>
    <row r="178" spans="24:29" ht="12.5">
      <c r="X178" s="254"/>
      <c r="Y178" s="166"/>
      <c r="Z178" s="166"/>
      <c r="AA178" s="166"/>
      <c r="AB178" s="166"/>
      <c r="AC178" s="166"/>
    </row>
    <row r="179" spans="24:29" ht="12.5">
      <c r="X179" s="254"/>
      <c r="Y179" s="166"/>
      <c r="Z179" s="166"/>
      <c r="AA179" s="166"/>
      <c r="AB179" s="166"/>
      <c r="AC179" s="166"/>
    </row>
    <row r="180" spans="24:29" ht="12.5">
      <c r="X180" s="254"/>
      <c r="Y180" s="166"/>
      <c r="Z180" s="166"/>
      <c r="AA180" s="166"/>
      <c r="AB180" s="166"/>
      <c r="AC180" s="166"/>
    </row>
    <row r="181" spans="24:29" ht="12.5">
      <c r="X181" s="254"/>
      <c r="Y181" s="166"/>
      <c r="Z181" s="166"/>
      <c r="AA181" s="166"/>
      <c r="AB181" s="166"/>
      <c r="AC181" s="166"/>
    </row>
    <row r="182" spans="24:29" ht="12.5">
      <c r="X182" s="254"/>
      <c r="Y182" s="166"/>
      <c r="Z182" s="166"/>
      <c r="AA182" s="166"/>
      <c r="AB182" s="166"/>
      <c r="AC182" s="166"/>
    </row>
    <row r="183" spans="24:29" ht="12.5">
      <c r="X183" s="254"/>
      <c r="Y183" s="166"/>
      <c r="Z183" s="166"/>
      <c r="AA183" s="166"/>
      <c r="AB183" s="166"/>
      <c r="AC183" s="166"/>
    </row>
    <row r="184" spans="24:29" ht="12.5">
      <c r="X184" s="254"/>
      <c r="Y184" s="166"/>
      <c r="Z184" s="166"/>
      <c r="AA184" s="166"/>
      <c r="AB184" s="166"/>
      <c r="AC184" s="166"/>
    </row>
    <row r="185" spans="24:29" ht="12.5">
      <c r="X185" s="254"/>
      <c r="Y185" s="166"/>
      <c r="Z185" s="166"/>
      <c r="AA185" s="166"/>
      <c r="AB185" s="166"/>
      <c r="AC185" s="166"/>
    </row>
    <row r="186" spans="24:29" ht="12.5">
      <c r="X186" s="254"/>
      <c r="Y186" s="166"/>
      <c r="Z186" s="166"/>
      <c r="AA186" s="166"/>
      <c r="AB186" s="166"/>
      <c r="AC186" s="166"/>
    </row>
    <row r="187" spans="24:29" ht="12.5">
      <c r="X187" s="254"/>
      <c r="Y187" s="166"/>
      <c r="Z187" s="166"/>
      <c r="AA187" s="166"/>
      <c r="AB187" s="166"/>
      <c r="AC187" s="166"/>
    </row>
    <row r="188" spans="24:29" ht="12.5">
      <c r="X188" s="254"/>
      <c r="Y188" s="166"/>
      <c r="Z188" s="166"/>
      <c r="AA188" s="166"/>
      <c r="AB188" s="166"/>
      <c r="AC188" s="166"/>
    </row>
    <row r="189" spans="24:29" ht="12.5">
      <c r="X189" s="254"/>
      <c r="Y189" s="166"/>
      <c r="Z189" s="166"/>
      <c r="AA189" s="166"/>
      <c r="AB189" s="166"/>
      <c r="AC189" s="166"/>
    </row>
    <row r="190" spans="24:29" ht="12.5">
      <c r="X190" s="254"/>
      <c r="Y190" s="166"/>
      <c r="Z190" s="166"/>
      <c r="AA190" s="166"/>
      <c r="AB190" s="166"/>
      <c r="AC190" s="166"/>
    </row>
    <row r="191" spans="24:29" ht="12.5">
      <c r="X191" s="254"/>
      <c r="Y191" s="166"/>
      <c r="Z191" s="166"/>
      <c r="AA191" s="166"/>
      <c r="AB191" s="166"/>
      <c r="AC191" s="166"/>
    </row>
    <row r="192" spans="24:29" ht="12.5">
      <c r="X192" s="254"/>
      <c r="Y192" s="166"/>
      <c r="Z192" s="166"/>
      <c r="AA192" s="166"/>
      <c r="AB192" s="166"/>
      <c r="AC192" s="166"/>
    </row>
    <row r="193" spans="24:29" ht="12.5">
      <c r="X193" s="254"/>
      <c r="Y193" s="166"/>
      <c r="Z193" s="166"/>
      <c r="AA193" s="166"/>
      <c r="AB193" s="166"/>
      <c r="AC193" s="166"/>
    </row>
    <row r="194" spans="24:29" ht="12.5">
      <c r="X194" s="254"/>
      <c r="Y194" s="166"/>
      <c r="Z194" s="166"/>
      <c r="AA194" s="166"/>
      <c r="AB194" s="166"/>
      <c r="AC194" s="166"/>
    </row>
    <row r="195" spans="24:29" ht="12.5">
      <c r="X195" s="254"/>
      <c r="Y195" s="166"/>
      <c r="Z195" s="166"/>
      <c r="AA195" s="166"/>
      <c r="AB195" s="166"/>
      <c r="AC195" s="166"/>
    </row>
    <row r="196" spans="24:29" ht="12.5">
      <c r="X196" s="254"/>
      <c r="Y196" s="166"/>
      <c r="Z196" s="166"/>
      <c r="AA196" s="166"/>
      <c r="AB196" s="166"/>
      <c r="AC196" s="166"/>
    </row>
    <row r="197" spans="24:29" ht="12.5">
      <c r="X197" s="254"/>
      <c r="Y197" s="166"/>
      <c r="Z197" s="166"/>
      <c r="AA197" s="166"/>
      <c r="AB197" s="166"/>
      <c r="AC197" s="166"/>
    </row>
    <row r="198" spans="24:29" ht="12.5">
      <c r="X198" s="254"/>
      <c r="Y198" s="166"/>
      <c r="Z198" s="166"/>
      <c r="AA198" s="166"/>
      <c r="AB198" s="166"/>
      <c r="AC198" s="166"/>
    </row>
    <row r="199" spans="24:29" ht="12.5">
      <c r="X199" s="254"/>
      <c r="Y199" s="166"/>
      <c r="Z199" s="166"/>
      <c r="AA199" s="166"/>
      <c r="AB199" s="166"/>
      <c r="AC199" s="166"/>
    </row>
    <row r="200" spans="24:29" ht="12.5">
      <c r="X200" s="254"/>
      <c r="Y200" s="166"/>
      <c r="Z200" s="166"/>
      <c r="AA200" s="166"/>
      <c r="AB200" s="166"/>
      <c r="AC200" s="166"/>
    </row>
    <row r="201" spans="24:29" ht="12.5">
      <c r="X201" s="254"/>
      <c r="Y201" s="166"/>
      <c r="Z201" s="166"/>
      <c r="AA201" s="166"/>
      <c r="AB201" s="166"/>
      <c r="AC201" s="166"/>
    </row>
    <row r="202" spans="24:29" ht="12.5">
      <c r="X202" s="254"/>
      <c r="Y202" s="166"/>
      <c r="Z202" s="166"/>
      <c r="AA202" s="166"/>
      <c r="AB202" s="166"/>
      <c r="AC202" s="166"/>
    </row>
    <row r="203" spans="24:29" ht="12.5">
      <c r="X203" s="254"/>
      <c r="Y203" s="166"/>
      <c r="Z203" s="166"/>
      <c r="AA203" s="166"/>
      <c r="AB203" s="166"/>
      <c r="AC203" s="166"/>
    </row>
    <row r="204" spans="24:29" ht="12.5">
      <c r="X204" s="254"/>
      <c r="Y204" s="166"/>
      <c r="Z204" s="166"/>
      <c r="AA204" s="166"/>
      <c r="AB204" s="166"/>
      <c r="AC204" s="166"/>
    </row>
    <row r="205" spans="24:29" ht="12.5">
      <c r="X205" s="254"/>
      <c r="Y205" s="166"/>
      <c r="Z205" s="166"/>
      <c r="AA205" s="166"/>
      <c r="AB205" s="166"/>
      <c r="AC205" s="166"/>
    </row>
    <row r="206" spans="24:29" ht="12.5">
      <c r="X206" s="254"/>
      <c r="Y206" s="166"/>
      <c r="Z206" s="166"/>
      <c r="AA206" s="166"/>
      <c r="AB206" s="166"/>
      <c r="AC206" s="166"/>
    </row>
    <row r="207" spans="24:29" ht="12.5">
      <c r="X207" s="254"/>
      <c r="Y207" s="166"/>
      <c r="Z207" s="166"/>
      <c r="AA207" s="166"/>
      <c r="AB207" s="166"/>
      <c r="AC207" s="166"/>
    </row>
    <row r="208" spans="24:29" ht="12.5">
      <c r="X208" s="254"/>
      <c r="Y208" s="166"/>
      <c r="Z208" s="166"/>
      <c r="AA208" s="166"/>
      <c r="AB208" s="166"/>
      <c r="AC208" s="166"/>
    </row>
    <row r="209" spans="24:29" ht="12.5">
      <c r="X209" s="254"/>
      <c r="Y209" s="166"/>
      <c r="Z209" s="166"/>
      <c r="AA209" s="166"/>
      <c r="AB209" s="166"/>
      <c r="AC209" s="166"/>
    </row>
    <row r="210" spans="24:29" ht="12.5">
      <c r="X210" s="254"/>
      <c r="Y210" s="166"/>
      <c r="Z210" s="166"/>
      <c r="AA210" s="166"/>
      <c r="AB210" s="166"/>
      <c r="AC210" s="166"/>
    </row>
    <row r="211" spans="24:29" ht="12.5">
      <c r="X211" s="254"/>
      <c r="Y211" s="166"/>
      <c r="Z211" s="166"/>
      <c r="AA211" s="166"/>
      <c r="AB211" s="166"/>
      <c r="AC211" s="166"/>
    </row>
    <row r="212" spans="24:29" ht="12.5">
      <c r="X212" s="254"/>
      <c r="Y212" s="166"/>
      <c r="Z212" s="166"/>
      <c r="AA212" s="166"/>
      <c r="AB212" s="166"/>
      <c r="AC212" s="166"/>
    </row>
    <row r="213" spans="24:29" ht="12.5">
      <c r="X213" s="254"/>
      <c r="Y213" s="166"/>
      <c r="Z213" s="166"/>
      <c r="AA213" s="166"/>
      <c r="AB213" s="166"/>
      <c r="AC213" s="166"/>
    </row>
    <row r="214" spans="24:29" ht="12.5">
      <c r="X214" s="254"/>
      <c r="Y214" s="166"/>
      <c r="Z214" s="166"/>
      <c r="AA214" s="166"/>
      <c r="AB214" s="166"/>
      <c r="AC214" s="166"/>
    </row>
    <row r="215" spans="24:29" ht="12.5">
      <c r="X215" s="254"/>
      <c r="Y215" s="166"/>
      <c r="Z215" s="166"/>
      <c r="AA215" s="166"/>
      <c r="AB215" s="166"/>
      <c r="AC215" s="166"/>
    </row>
    <row r="216" spans="24:29" ht="12.5">
      <c r="X216" s="254"/>
      <c r="Y216" s="166"/>
      <c r="Z216" s="166"/>
      <c r="AA216" s="166"/>
      <c r="AB216" s="166"/>
      <c r="AC216" s="166"/>
    </row>
    <row r="217" spans="24:29" ht="12.5">
      <c r="X217" s="254"/>
      <c r="Y217" s="166"/>
      <c r="Z217" s="166"/>
      <c r="AA217" s="166"/>
      <c r="AB217" s="166"/>
      <c r="AC217" s="166"/>
    </row>
    <row r="218" spans="24:29" ht="12.5">
      <c r="X218" s="254"/>
      <c r="Y218" s="166"/>
      <c r="Z218" s="166"/>
      <c r="AA218" s="166"/>
      <c r="AB218" s="166"/>
      <c r="AC218" s="166"/>
    </row>
    <row r="219" spans="24:29" ht="12.5">
      <c r="X219" s="254"/>
      <c r="Y219" s="166"/>
      <c r="Z219" s="166"/>
      <c r="AA219" s="166"/>
      <c r="AB219" s="166"/>
      <c r="AC219" s="166"/>
    </row>
    <row r="220" spans="24:29" ht="12.5">
      <c r="X220" s="254"/>
      <c r="Y220" s="166"/>
      <c r="Z220" s="166"/>
      <c r="AA220" s="166"/>
      <c r="AB220" s="166"/>
      <c r="AC220" s="166"/>
    </row>
    <row r="221" spans="24:29" ht="12.5">
      <c r="X221" s="254"/>
      <c r="Y221" s="166"/>
      <c r="Z221" s="166"/>
      <c r="AA221" s="166"/>
      <c r="AB221" s="166"/>
      <c r="AC221" s="166"/>
    </row>
    <row r="222" spans="24:29" ht="12.5">
      <c r="X222" s="254"/>
      <c r="Y222" s="166"/>
      <c r="Z222" s="166"/>
      <c r="AA222" s="166"/>
      <c r="AB222" s="166"/>
      <c r="AC222" s="166"/>
    </row>
    <row r="223" spans="24:29" ht="12.5">
      <c r="X223" s="254"/>
      <c r="Y223" s="166"/>
      <c r="Z223" s="166"/>
      <c r="AA223" s="166"/>
      <c r="AB223" s="166"/>
      <c r="AC223" s="166"/>
    </row>
    <row r="224" spans="24:29" ht="12.5">
      <c r="X224" s="254"/>
      <c r="Y224" s="166"/>
      <c r="Z224" s="166"/>
      <c r="AA224" s="166"/>
      <c r="AB224" s="166"/>
      <c r="AC224" s="166"/>
    </row>
    <row r="225" spans="24:29" ht="12.5">
      <c r="X225" s="254"/>
      <c r="Y225" s="166"/>
      <c r="Z225" s="166"/>
      <c r="AA225" s="166"/>
      <c r="AB225" s="166"/>
      <c r="AC225" s="166"/>
    </row>
    <row r="226" spans="24:29" ht="12.5">
      <c r="X226" s="254"/>
      <c r="Y226" s="166"/>
      <c r="Z226" s="166"/>
      <c r="AA226" s="166"/>
      <c r="AB226" s="166"/>
      <c r="AC226" s="166"/>
    </row>
    <row r="227" spans="24:29" ht="12.5">
      <c r="X227" s="254"/>
      <c r="Y227" s="166"/>
      <c r="Z227" s="166"/>
      <c r="AA227" s="166"/>
      <c r="AB227" s="166"/>
      <c r="AC227" s="166"/>
    </row>
    <row r="228" spans="24:29" ht="12.5">
      <c r="X228" s="254"/>
      <c r="Y228" s="166"/>
      <c r="Z228" s="166"/>
      <c r="AA228" s="166"/>
      <c r="AB228" s="166"/>
      <c r="AC228" s="166"/>
    </row>
    <row r="229" spans="24:29" ht="12.5">
      <c r="X229" s="254"/>
      <c r="Y229" s="166"/>
      <c r="Z229" s="166"/>
      <c r="AA229" s="166"/>
      <c r="AB229" s="166"/>
      <c r="AC229" s="166"/>
    </row>
    <row r="230" spans="24:29" ht="12.5">
      <c r="X230" s="254"/>
      <c r="Y230" s="166"/>
      <c r="Z230" s="166"/>
      <c r="AA230" s="166"/>
      <c r="AB230" s="166"/>
      <c r="AC230" s="166"/>
    </row>
    <row r="231" spans="24:29" ht="12.5">
      <c r="X231" s="254"/>
      <c r="Y231" s="166"/>
      <c r="Z231" s="166"/>
      <c r="AA231" s="166"/>
      <c r="AB231" s="166"/>
      <c r="AC231" s="166"/>
    </row>
    <row r="232" spans="24:29" ht="12.5">
      <c r="X232" s="254"/>
      <c r="Y232" s="166"/>
      <c r="Z232" s="166"/>
      <c r="AA232" s="166"/>
      <c r="AB232" s="166"/>
      <c r="AC232" s="166"/>
    </row>
    <row r="233" spans="24:29" ht="12.5">
      <c r="X233" s="254"/>
      <c r="Y233" s="166"/>
      <c r="Z233" s="166"/>
      <c r="AA233" s="166"/>
      <c r="AB233" s="166"/>
      <c r="AC233" s="166"/>
    </row>
    <row r="234" spans="24:29" ht="12.5">
      <c r="X234" s="254"/>
      <c r="Y234" s="166"/>
      <c r="Z234" s="166"/>
      <c r="AA234" s="166"/>
      <c r="AB234" s="166"/>
      <c r="AC234" s="166"/>
    </row>
    <row r="235" spans="24:29" ht="12.5">
      <c r="X235" s="254"/>
      <c r="Y235" s="166"/>
      <c r="Z235" s="166"/>
      <c r="AA235" s="166"/>
      <c r="AB235" s="166"/>
      <c r="AC235" s="166"/>
    </row>
    <row r="236" spans="24:29" ht="12.5">
      <c r="X236" s="254"/>
      <c r="Y236" s="166"/>
      <c r="Z236" s="166"/>
      <c r="AA236" s="166"/>
      <c r="AB236" s="166"/>
      <c r="AC236" s="166"/>
    </row>
    <row r="237" spans="24:29" ht="12.5">
      <c r="X237" s="254"/>
      <c r="Y237" s="166"/>
      <c r="Z237" s="166"/>
      <c r="AA237" s="166"/>
      <c r="AB237" s="166"/>
      <c r="AC237" s="166"/>
    </row>
    <row r="238" spans="24:29" ht="12.5">
      <c r="X238" s="254"/>
      <c r="Y238" s="166"/>
      <c r="Z238" s="166"/>
      <c r="AA238" s="166"/>
      <c r="AB238" s="166"/>
      <c r="AC238" s="166"/>
    </row>
    <row r="239" spans="24:29" ht="12.5">
      <c r="X239" s="254"/>
      <c r="Y239" s="166"/>
      <c r="Z239" s="166"/>
      <c r="AA239" s="166"/>
      <c r="AB239" s="166"/>
      <c r="AC239" s="166"/>
    </row>
    <row r="240" spans="24:29" ht="12.5">
      <c r="X240" s="254"/>
      <c r="Y240" s="166"/>
      <c r="Z240" s="166"/>
      <c r="AA240" s="166"/>
      <c r="AB240" s="166"/>
      <c r="AC240" s="166"/>
    </row>
    <row r="241" spans="24:29" ht="12.5">
      <c r="X241" s="254"/>
      <c r="Y241" s="166"/>
      <c r="Z241" s="166"/>
      <c r="AA241" s="166"/>
      <c r="AB241" s="166"/>
      <c r="AC241" s="166"/>
    </row>
    <row r="242" spans="24:29" ht="12.5">
      <c r="X242" s="254"/>
      <c r="Y242" s="166"/>
      <c r="Z242" s="166"/>
      <c r="AA242" s="166"/>
      <c r="AB242" s="166"/>
      <c r="AC242" s="166"/>
    </row>
    <row r="243" spans="24:29" ht="12.5">
      <c r="X243" s="254"/>
      <c r="Y243" s="166"/>
      <c r="Z243" s="166"/>
      <c r="AA243" s="166"/>
      <c r="AB243" s="166"/>
      <c r="AC243" s="166"/>
    </row>
    <row r="244" spans="24:29" ht="12.5">
      <c r="X244" s="254"/>
      <c r="Y244" s="166"/>
      <c r="Z244" s="166"/>
      <c r="AA244" s="166"/>
      <c r="AB244" s="166"/>
      <c r="AC244" s="166"/>
    </row>
    <row r="245" spans="24:29" ht="12.5">
      <c r="X245" s="254"/>
      <c r="Y245" s="166"/>
      <c r="Z245" s="166"/>
      <c r="AA245" s="166"/>
      <c r="AB245" s="166"/>
      <c r="AC245" s="166"/>
    </row>
    <row r="246" spans="24:29" ht="12.5">
      <c r="X246" s="254"/>
      <c r="Y246" s="166"/>
      <c r="Z246" s="166"/>
      <c r="AA246" s="166"/>
      <c r="AB246" s="166"/>
      <c r="AC246" s="166"/>
    </row>
    <row r="247" spans="24:29" ht="12.5">
      <c r="X247" s="254"/>
      <c r="Y247" s="166"/>
      <c r="Z247" s="166"/>
      <c r="AA247" s="166"/>
      <c r="AB247" s="166"/>
      <c r="AC247" s="166"/>
    </row>
    <row r="248" spans="24:29" ht="12.5">
      <c r="X248" s="254"/>
      <c r="Y248" s="166"/>
      <c r="Z248" s="166"/>
      <c r="AA248" s="166"/>
      <c r="AB248" s="166"/>
      <c r="AC248" s="166"/>
    </row>
    <row r="249" spans="24:29" ht="12.5">
      <c r="X249" s="254"/>
      <c r="Y249" s="166"/>
      <c r="Z249" s="166"/>
      <c r="AA249" s="166"/>
      <c r="AB249" s="166"/>
      <c r="AC249" s="166"/>
    </row>
    <row r="250" spans="24:29" ht="12.5">
      <c r="X250" s="254"/>
      <c r="Y250" s="166"/>
      <c r="Z250" s="166"/>
      <c r="AA250" s="166"/>
      <c r="AB250" s="166"/>
      <c r="AC250" s="166"/>
    </row>
    <row r="251" spans="24:29" ht="12.5">
      <c r="X251" s="254"/>
      <c r="Y251" s="166"/>
      <c r="Z251" s="166"/>
      <c r="AA251" s="166"/>
      <c r="AB251" s="166"/>
      <c r="AC251" s="166"/>
    </row>
    <row r="252" spans="24:29" ht="12.5">
      <c r="X252" s="254"/>
      <c r="Y252" s="166"/>
      <c r="Z252" s="166"/>
      <c r="AA252" s="166"/>
      <c r="AB252" s="166"/>
      <c r="AC252" s="166"/>
    </row>
    <row r="253" spans="24:29" ht="12.5">
      <c r="X253" s="254"/>
      <c r="Y253" s="166"/>
      <c r="Z253" s="166"/>
      <c r="AA253" s="166"/>
      <c r="AB253" s="166"/>
      <c r="AC253" s="166"/>
    </row>
    <row r="254" spans="24:29" ht="12.5">
      <c r="X254" s="254"/>
      <c r="Y254" s="166"/>
      <c r="Z254" s="166"/>
      <c r="AA254" s="166"/>
      <c r="AB254" s="166"/>
      <c r="AC254" s="166"/>
    </row>
    <row r="255" spans="24:29" ht="12.5">
      <c r="X255" s="254"/>
      <c r="Y255" s="166"/>
      <c r="Z255" s="166"/>
      <c r="AA255" s="166"/>
      <c r="AB255" s="166"/>
      <c r="AC255" s="166"/>
    </row>
    <row r="256" spans="24:29" ht="12.5">
      <c r="X256" s="254"/>
      <c r="Y256" s="166"/>
      <c r="Z256" s="166"/>
      <c r="AA256" s="166"/>
      <c r="AB256" s="166"/>
      <c r="AC256" s="166"/>
    </row>
    <row r="257" spans="24:29" ht="12.5">
      <c r="X257" s="254"/>
      <c r="Y257" s="166"/>
      <c r="Z257" s="166"/>
      <c r="AA257" s="166"/>
      <c r="AB257" s="166"/>
      <c r="AC257" s="166"/>
    </row>
    <row r="258" spans="24:29" ht="12.5">
      <c r="X258" s="254"/>
      <c r="Y258" s="166"/>
      <c r="Z258" s="166"/>
      <c r="AA258" s="166"/>
      <c r="AB258" s="166"/>
      <c r="AC258" s="166"/>
    </row>
    <row r="259" spans="24:29" ht="12.5">
      <c r="X259" s="254"/>
      <c r="Y259" s="166"/>
      <c r="Z259" s="166"/>
      <c r="AA259" s="166"/>
      <c r="AB259" s="166"/>
      <c r="AC259" s="166"/>
    </row>
    <row r="260" spans="24:29" ht="12.5">
      <c r="X260" s="254"/>
      <c r="Y260" s="166"/>
      <c r="Z260" s="166"/>
      <c r="AA260" s="166"/>
      <c r="AB260" s="166"/>
      <c r="AC260" s="166"/>
    </row>
    <row r="261" spans="24:29" ht="12.5">
      <c r="X261" s="254"/>
      <c r="Y261" s="166"/>
      <c r="Z261" s="166"/>
      <c r="AA261" s="166"/>
      <c r="AB261" s="166"/>
      <c r="AC261" s="166"/>
    </row>
    <row r="262" spans="24:29" ht="12.5">
      <c r="X262" s="254"/>
      <c r="Y262" s="166"/>
      <c r="Z262" s="166"/>
      <c r="AA262" s="166"/>
      <c r="AB262" s="166"/>
      <c r="AC262" s="166"/>
    </row>
    <row r="263" spans="24:29" ht="12.5">
      <c r="X263" s="254"/>
      <c r="Y263" s="166"/>
      <c r="Z263" s="166"/>
      <c r="AA263" s="166"/>
      <c r="AB263" s="166"/>
      <c r="AC263" s="166"/>
    </row>
    <row r="264" spans="24:29" ht="12.5">
      <c r="X264" s="254"/>
      <c r="Y264" s="166"/>
      <c r="Z264" s="166"/>
      <c r="AA264" s="166"/>
      <c r="AB264" s="166"/>
      <c r="AC264" s="166"/>
    </row>
    <row r="265" spans="24:29" ht="12.5">
      <c r="X265" s="254"/>
      <c r="Y265" s="166"/>
      <c r="Z265" s="166"/>
      <c r="AA265" s="166"/>
      <c r="AB265" s="166"/>
      <c r="AC265" s="166"/>
    </row>
    <row r="266" spans="24:29" ht="12.5">
      <c r="X266" s="254"/>
      <c r="Y266" s="166"/>
      <c r="Z266" s="166"/>
      <c r="AA266" s="166"/>
      <c r="AB266" s="166"/>
      <c r="AC266" s="166"/>
    </row>
    <row r="267" spans="24:29" ht="12.5">
      <c r="X267" s="254"/>
      <c r="Y267" s="166"/>
      <c r="Z267" s="166"/>
      <c r="AA267" s="166"/>
      <c r="AB267" s="166"/>
      <c r="AC267" s="166"/>
    </row>
    <row r="268" spans="24:29" ht="12.5">
      <c r="X268" s="254"/>
      <c r="Y268" s="166"/>
      <c r="Z268" s="166"/>
      <c r="AA268" s="166"/>
      <c r="AB268" s="166"/>
      <c r="AC268" s="166"/>
    </row>
    <row r="269" spans="24:29" ht="12.5">
      <c r="X269" s="254"/>
      <c r="Y269" s="166"/>
      <c r="Z269" s="166"/>
      <c r="AA269" s="166"/>
      <c r="AB269" s="166"/>
      <c r="AC269" s="166"/>
    </row>
    <row r="270" spans="24:29" ht="12.5">
      <c r="X270" s="254"/>
      <c r="Y270" s="166"/>
      <c r="Z270" s="166"/>
      <c r="AA270" s="166"/>
      <c r="AB270" s="166"/>
      <c r="AC270" s="166"/>
    </row>
    <row r="271" spans="24:29" ht="12.5">
      <c r="X271" s="254"/>
      <c r="Y271" s="166"/>
      <c r="Z271" s="166"/>
      <c r="AA271" s="166"/>
      <c r="AB271" s="166"/>
      <c r="AC271" s="166"/>
    </row>
    <row r="272" spans="24:29" ht="12.5">
      <c r="X272" s="254"/>
      <c r="Y272" s="166"/>
      <c r="Z272" s="166"/>
      <c r="AA272" s="166"/>
      <c r="AB272" s="166"/>
      <c r="AC272" s="166"/>
    </row>
    <row r="273" spans="24:29" ht="12.5">
      <c r="X273" s="254"/>
      <c r="Y273" s="166"/>
      <c r="Z273" s="166"/>
      <c r="AA273" s="166"/>
      <c r="AB273" s="166"/>
      <c r="AC273" s="166"/>
    </row>
    <row r="274" spans="24:29" ht="12.5">
      <c r="X274" s="254"/>
      <c r="Y274" s="166"/>
      <c r="Z274" s="166"/>
      <c r="AA274" s="166"/>
      <c r="AB274" s="166"/>
      <c r="AC274" s="166"/>
    </row>
    <row r="275" spans="24:29" ht="12.5">
      <c r="X275" s="254"/>
      <c r="Y275" s="166"/>
      <c r="Z275" s="166"/>
      <c r="AA275" s="166"/>
      <c r="AB275" s="166"/>
      <c r="AC275" s="166"/>
    </row>
    <row r="276" spans="24:29" ht="12.5">
      <c r="X276" s="254"/>
      <c r="Y276" s="166"/>
      <c r="Z276" s="166"/>
      <c r="AA276" s="166"/>
      <c r="AB276" s="166"/>
      <c r="AC276" s="166"/>
    </row>
    <row r="277" spans="24:29" ht="12.5">
      <c r="X277" s="254"/>
      <c r="Y277" s="166"/>
      <c r="Z277" s="166"/>
      <c r="AA277" s="166"/>
      <c r="AB277" s="166"/>
      <c r="AC277" s="166"/>
    </row>
    <row r="278" spans="24:29" ht="12.5">
      <c r="X278" s="254"/>
      <c r="Y278" s="166"/>
      <c r="Z278" s="166"/>
      <c r="AA278" s="166"/>
      <c r="AB278" s="166"/>
      <c r="AC278" s="166"/>
    </row>
    <row r="279" spans="24:29" ht="12.5">
      <c r="X279" s="254"/>
      <c r="Y279" s="166"/>
      <c r="Z279" s="166"/>
      <c r="AA279" s="166"/>
      <c r="AB279" s="166"/>
      <c r="AC279" s="166"/>
    </row>
    <row r="280" spans="24:29" ht="12.5">
      <c r="X280" s="254"/>
      <c r="Y280" s="166"/>
      <c r="Z280" s="166"/>
      <c r="AA280" s="166"/>
      <c r="AB280" s="166"/>
      <c r="AC280" s="166"/>
    </row>
    <row r="281" spans="24:29" ht="12.5">
      <c r="X281" s="254"/>
      <c r="Y281" s="166"/>
      <c r="Z281" s="166"/>
      <c r="AA281" s="166"/>
      <c r="AB281" s="166"/>
      <c r="AC281" s="166"/>
    </row>
    <row r="282" spans="24:29" ht="12.5">
      <c r="X282" s="254"/>
      <c r="Y282" s="166"/>
      <c r="Z282" s="166"/>
      <c r="AA282" s="166"/>
      <c r="AB282" s="166"/>
      <c r="AC282" s="166"/>
    </row>
    <row r="283" spans="24:29" ht="12.5">
      <c r="X283" s="254"/>
      <c r="Y283" s="166"/>
      <c r="Z283" s="166"/>
      <c r="AA283" s="166"/>
      <c r="AB283" s="166"/>
      <c r="AC283" s="166"/>
    </row>
    <row r="284" spans="24:29" ht="12.5">
      <c r="X284" s="254"/>
      <c r="Y284" s="166"/>
      <c r="Z284" s="166"/>
      <c r="AA284" s="166"/>
      <c r="AB284" s="166"/>
      <c r="AC284" s="166"/>
    </row>
    <row r="285" spans="24:29" ht="12.5">
      <c r="X285" s="254"/>
      <c r="Y285" s="166"/>
      <c r="Z285" s="166"/>
      <c r="AA285" s="166"/>
      <c r="AB285" s="166"/>
      <c r="AC285" s="166"/>
    </row>
    <row r="286" spans="24:29" ht="12.5">
      <c r="X286" s="254"/>
      <c r="Y286" s="166"/>
      <c r="Z286" s="166"/>
      <c r="AA286" s="166"/>
      <c r="AB286" s="166"/>
      <c r="AC286" s="166"/>
    </row>
    <row r="287" spans="24:29" ht="12.5">
      <c r="X287" s="254"/>
      <c r="Y287" s="166"/>
      <c r="Z287" s="166"/>
      <c r="AA287" s="166"/>
      <c r="AB287" s="166"/>
      <c r="AC287" s="166"/>
    </row>
    <row r="288" spans="24:29" ht="12.5">
      <c r="X288" s="254"/>
      <c r="Y288" s="166"/>
      <c r="Z288" s="166"/>
      <c r="AA288" s="166"/>
      <c r="AB288" s="166"/>
      <c r="AC288" s="166"/>
    </row>
    <row r="289" spans="24:29" ht="12.5">
      <c r="X289" s="254"/>
      <c r="Y289" s="166"/>
      <c r="Z289" s="166"/>
      <c r="AA289" s="166"/>
      <c r="AB289" s="166"/>
      <c r="AC289" s="166"/>
    </row>
    <row r="290" spans="24:29" ht="12.5">
      <c r="X290" s="254"/>
      <c r="Y290" s="166"/>
      <c r="Z290" s="166"/>
      <c r="AA290" s="166"/>
      <c r="AB290" s="166"/>
      <c r="AC290" s="166"/>
    </row>
    <row r="291" spans="24:29" ht="12.5">
      <c r="X291" s="254"/>
      <c r="Y291" s="166"/>
      <c r="Z291" s="166"/>
      <c r="AA291" s="166"/>
      <c r="AB291" s="166"/>
      <c r="AC291" s="166"/>
    </row>
    <row r="292" spans="24:29" ht="12.5">
      <c r="X292" s="254"/>
      <c r="Y292" s="166"/>
      <c r="Z292" s="166"/>
      <c r="AA292" s="166"/>
      <c r="AB292" s="166"/>
      <c r="AC292" s="166"/>
    </row>
    <row r="293" spans="24:29" ht="12.5">
      <c r="X293" s="254"/>
      <c r="Y293" s="166"/>
      <c r="Z293" s="166"/>
      <c r="AA293" s="166"/>
      <c r="AB293" s="166"/>
      <c r="AC293" s="166"/>
    </row>
    <row r="294" spans="24:29" ht="12.5">
      <c r="X294" s="254"/>
      <c r="Y294" s="166"/>
      <c r="Z294" s="166"/>
      <c r="AA294" s="166"/>
      <c r="AB294" s="166"/>
      <c r="AC294" s="166"/>
    </row>
    <row r="295" spans="24:29" ht="12.5">
      <c r="X295" s="254"/>
      <c r="Y295" s="166"/>
      <c r="Z295" s="166"/>
      <c r="AA295" s="166"/>
      <c r="AB295" s="166"/>
      <c r="AC295" s="166"/>
    </row>
    <row r="296" spans="24:29" ht="12.5">
      <c r="X296" s="254"/>
      <c r="Y296" s="166"/>
      <c r="Z296" s="166"/>
      <c r="AA296" s="166"/>
      <c r="AB296" s="166"/>
      <c r="AC296" s="166"/>
    </row>
    <row r="297" spans="24:29" ht="12.5">
      <c r="X297" s="254"/>
      <c r="Y297" s="166"/>
      <c r="Z297" s="166"/>
      <c r="AA297" s="166"/>
      <c r="AB297" s="166"/>
      <c r="AC297" s="166"/>
    </row>
    <row r="298" spans="24:29" ht="12.5">
      <c r="X298" s="254"/>
      <c r="Y298" s="166"/>
      <c r="Z298" s="166"/>
      <c r="AA298" s="166"/>
      <c r="AB298" s="166"/>
      <c r="AC298" s="166"/>
    </row>
    <row r="299" spans="24:29" ht="12.5">
      <c r="X299" s="254"/>
      <c r="Y299" s="166"/>
      <c r="Z299" s="166"/>
      <c r="AA299" s="166"/>
      <c r="AB299" s="166"/>
      <c r="AC299" s="166"/>
    </row>
    <row r="300" spans="24:29" ht="12.5">
      <c r="X300" s="254"/>
      <c r="Y300" s="166"/>
      <c r="Z300" s="166"/>
      <c r="AA300" s="166"/>
      <c r="AB300" s="166"/>
      <c r="AC300" s="166"/>
    </row>
    <row r="301" spans="24:29" ht="12.5">
      <c r="X301" s="254"/>
      <c r="Y301" s="166"/>
      <c r="Z301" s="166"/>
      <c r="AA301" s="166"/>
      <c r="AB301" s="166"/>
      <c r="AC301" s="166"/>
    </row>
    <row r="302" spans="24:29" ht="12.5">
      <c r="X302" s="254"/>
      <c r="Y302" s="166"/>
      <c r="Z302" s="166"/>
      <c r="AA302" s="166"/>
      <c r="AB302" s="166"/>
      <c r="AC302" s="166"/>
    </row>
    <row r="303" spans="24:29" ht="12.5">
      <c r="X303" s="254"/>
      <c r="Y303" s="166"/>
      <c r="Z303" s="166"/>
      <c r="AA303" s="166"/>
      <c r="AB303" s="166"/>
      <c r="AC303" s="166"/>
    </row>
    <row r="304" spans="24:29" ht="12.5">
      <c r="X304" s="254"/>
      <c r="Y304" s="166"/>
      <c r="Z304" s="166"/>
      <c r="AA304" s="166"/>
      <c r="AB304" s="166"/>
      <c r="AC304" s="166"/>
    </row>
    <row r="305" spans="24:29" ht="12.5">
      <c r="X305" s="254"/>
      <c r="Y305" s="166"/>
      <c r="Z305" s="166"/>
      <c r="AA305" s="166"/>
      <c r="AB305" s="166"/>
      <c r="AC305" s="166"/>
    </row>
    <row r="306" spans="24:29" ht="12.5">
      <c r="X306" s="254"/>
      <c r="Y306" s="166"/>
      <c r="Z306" s="166"/>
      <c r="AA306" s="166"/>
      <c r="AB306" s="166"/>
      <c r="AC306" s="166"/>
    </row>
    <row r="307" spans="24:29" ht="12.5">
      <c r="X307" s="254"/>
      <c r="Y307" s="166"/>
      <c r="Z307" s="166"/>
      <c r="AA307" s="166"/>
      <c r="AB307" s="166"/>
      <c r="AC307" s="166"/>
    </row>
    <row r="308" spans="24:29" ht="12.5">
      <c r="X308" s="254"/>
      <c r="Y308" s="166"/>
      <c r="Z308" s="166"/>
      <c r="AA308" s="166"/>
      <c r="AB308" s="166"/>
      <c r="AC308" s="166"/>
    </row>
    <row r="309" spans="24:29" ht="12.5">
      <c r="X309" s="254"/>
      <c r="Y309" s="166"/>
      <c r="Z309" s="166"/>
      <c r="AA309" s="166"/>
      <c r="AB309" s="166"/>
      <c r="AC309" s="166"/>
    </row>
    <row r="310" spans="24:29" ht="12.5">
      <c r="X310" s="254"/>
      <c r="Y310" s="166"/>
      <c r="Z310" s="166"/>
      <c r="AA310" s="166"/>
      <c r="AB310" s="166"/>
      <c r="AC310" s="166"/>
    </row>
    <row r="311" spans="24:29" ht="12.5">
      <c r="X311" s="254"/>
      <c r="Y311" s="166"/>
      <c r="Z311" s="166"/>
      <c r="AA311" s="166"/>
      <c r="AB311" s="166"/>
      <c r="AC311" s="166"/>
    </row>
    <row r="312" spans="24:29" ht="12.5">
      <c r="X312" s="254"/>
      <c r="Y312" s="166"/>
      <c r="Z312" s="166"/>
      <c r="AA312" s="166"/>
      <c r="AB312" s="166"/>
      <c r="AC312" s="166"/>
    </row>
    <row r="313" spans="24:29" ht="12.5">
      <c r="X313" s="254"/>
      <c r="Y313" s="166"/>
      <c r="Z313" s="166"/>
      <c r="AA313" s="166"/>
      <c r="AB313" s="166"/>
      <c r="AC313" s="166"/>
    </row>
    <row r="314" spans="24:29" ht="12.5">
      <c r="X314" s="254"/>
      <c r="Y314" s="166"/>
      <c r="Z314" s="166"/>
      <c r="AA314" s="166"/>
      <c r="AB314" s="166"/>
      <c r="AC314" s="166"/>
    </row>
    <row r="315" spans="24:29" ht="12.5">
      <c r="X315" s="254"/>
      <c r="Y315" s="166"/>
      <c r="Z315" s="166"/>
      <c r="AA315" s="166"/>
      <c r="AB315" s="166"/>
      <c r="AC315" s="166"/>
    </row>
    <row r="316" spans="24:29" ht="12.5">
      <c r="X316" s="254"/>
      <c r="Y316" s="166"/>
      <c r="Z316" s="166"/>
      <c r="AA316" s="166"/>
      <c r="AB316" s="166"/>
      <c r="AC316" s="166"/>
    </row>
    <row r="317" spans="24:29" ht="12.5">
      <c r="X317" s="254"/>
      <c r="Y317" s="166"/>
      <c r="Z317" s="166"/>
      <c r="AA317" s="166"/>
      <c r="AB317" s="166"/>
      <c r="AC317" s="166"/>
    </row>
    <row r="318" spans="24:29" ht="12.5">
      <c r="X318" s="254"/>
      <c r="Y318" s="166"/>
      <c r="Z318" s="166"/>
      <c r="AA318" s="166"/>
      <c r="AB318" s="166"/>
      <c r="AC318" s="166"/>
    </row>
    <row r="319" spans="24:29" ht="12.5">
      <c r="X319" s="254"/>
      <c r="Y319" s="166"/>
      <c r="Z319" s="166"/>
      <c r="AA319" s="166"/>
      <c r="AB319" s="166"/>
      <c r="AC319" s="166"/>
    </row>
    <row r="320" spans="24:29" ht="12.5">
      <c r="X320" s="254"/>
      <c r="Y320" s="166"/>
      <c r="Z320" s="166"/>
      <c r="AA320" s="166"/>
      <c r="AB320" s="166"/>
      <c r="AC320" s="166"/>
    </row>
    <row r="321" spans="24:29" ht="12.5">
      <c r="X321" s="254"/>
      <c r="Y321" s="166"/>
      <c r="Z321" s="166"/>
      <c r="AA321" s="166"/>
      <c r="AB321" s="166"/>
      <c r="AC321" s="166"/>
    </row>
    <row r="322" spans="24:29" ht="12.5">
      <c r="X322" s="254"/>
      <c r="Y322" s="166"/>
      <c r="Z322" s="166"/>
      <c r="AA322" s="166"/>
      <c r="AB322" s="166"/>
      <c r="AC322" s="166"/>
    </row>
    <row r="323" spans="24:29" ht="12.5">
      <c r="X323" s="254"/>
      <c r="Y323" s="166"/>
      <c r="Z323" s="166"/>
      <c r="AA323" s="166"/>
      <c r="AB323" s="166"/>
      <c r="AC323" s="166"/>
    </row>
    <row r="324" spans="24:29" ht="12.5">
      <c r="X324" s="254"/>
      <c r="Y324" s="166"/>
      <c r="Z324" s="166"/>
      <c r="AA324" s="166"/>
      <c r="AB324" s="166"/>
      <c r="AC324" s="166"/>
    </row>
    <row r="325" spans="24:29" ht="12.5">
      <c r="X325" s="254"/>
      <c r="Y325" s="166"/>
      <c r="Z325" s="166"/>
      <c r="AA325" s="166"/>
      <c r="AB325" s="166"/>
      <c r="AC325" s="166"/>
    </row>
    <row r="326" spans="24:29" ht="12.5">
      <c r="X326" s="254"/>
      <c r="Y326" s="166"/>
      <c r="Z326" s="166"/>
      <c r="AA326" s="166"/>
      <c r="AB326" s="166"/>
      <c r="AC326" s="166"/>
    </row>
    <row r="327" spans="24:29" ht="12.5">
      <c r="X327" s="254"/>
      <c r="Y327" s="166"/>
      <c r="Z327" s="166"/>
      <c r="AA327" s="166"/>
      <c r="AB327" s="166"/>
      <c r="AC327" s="166"/>
    </row>
    <row r="328" spans="24:29" ht="12.5">
      <c r="X328" s="254"/>
      <c r="Y328" s="166"/>
      <c r="Z328" s="166"/>
      <c r="AA328" s="166"/>
      <c r="AB328" s="166"/>
      <c r="AC328" s="166"/>
    </row>
    <row r="329" spans="24:29" ht="12.5">
      <c r="X329" s="254"/>
      <c r="Y329" s="166"/>
      <c r="Z329" s="166"/>
      <c r="AA329" s="166"/>
      <c r="AB329" s="166"/>
      <c r="AC329" s="166"/>
    </row>
    <row r="330" spans="24:29" ht="12.5">
      <c r="X330" s="254"/>
      <c r="Y330" s="166"/>
      <c r="Z330" s="166"/>
      <c r="AA330" s="166"/>
      <c r="AB330" s="166"/>
      <c r="AC330" s="166"/>
    </row>
    <row r="331" spans="24:29" ht="12.5">
      <c r="X331" s="254"/>
      <c r="Y331" s="166"/>
      <c r="Z331" s="166"/>
      <c r="AA331" s="166"/>
      <c r="AB331" s="166"/>
      <c r="AC331" s="166"/>
    </row>
    <row r="332" spans="24:29" ht="12.5">
      <c r="X332" s="254"/>
      <c r="Y332" s="166"/>
      <c r="Z332" s="166"/>
      <c r="AA332" s="166"/>
      <c r="AB332" s="166"/>
      <c r="AC332" s="166"/>
    </row>
    <row r="333" spans="24:29" ht="12.5">
      <c r="X333" s="254"/>
      <c r="Y333" s="166"/>
      <c r="Z333" s="166"/>
      <c r="AA333" s="166"/>
      <c r="AB333" s="166"/>
      <c r="AC333" s="166"/>
    </row>
    <row r="334" spans="24:29" ht="12.5">
      <c r="X334" s="254"/>
      <c r="Y334" s="166"/>
      <c r="Z334" s="166"/>
      <c r="AA334" s="166"/>
      <c r="AB334" s="166"/>
      <c r="AC334" s="166"/>
    </row>
    <row r="335" spans="24:29" ht="12.5">
      <c r="X335" s="254"/>
      <c r="Y335" s="166"/>
      <c r="Z335" s="166"/>
      <c r="AA335" s="166"/>
      <c r="AB335" s="166"/>
      <c r="AC335" s="166"/>
    </row>
    <row r="336" spans="24:29" ht="12.5">
      <c r="X336" s="254"/>
      <c r="Y336" s="166"/>
      <c r="Z336" s="166"/>
      <c r="AA336" s="166"/>
      <c r="AB336" s="166"/>
      <c r="AC336" s="166"/>
    </row>
    <row r="337" spans="24:29" ht="12.5">
      <c r="X337" s="254"/>
      <c r="Y337" s="166"/>
      <c r="Z337" s="166"/>
      <c r="AA337" s="166"/>
      <c r="AB337" s="166"/>
      <c r="AC337" s="166"/>
    </row>
    <row r="338" spans="24:29" ht="12.5">
      <c r="X338" s="254"/>
      <c r="Y338" s="166"/>
      <c r="Z338" s="166"/>
      <c r="AA338" s="166"/>
      <c r="AB338" s="166"/>
      <c r="AC338" s="166"/>
    </row>
    <row r="339" spans="24:29" ht="12.5">
      <c r="X339" s="254"/>
      <c r="Y339" s="166"/>
      <c r="Z339" s="166"/>
      <c r="AA339" s="166"/>
      <c r="AB339" s="166"/>
      <c r="AC339" s="166"/>
    </row>
    <row r="340" spans="24:29" ht="12.5">
      <c r="X340" s="254"/>
      <c r="Y340" s="166"/>
      <c r="Z340" s="166"/>
      <c r="AA340" s="166"/>
      <c r="AB340" s="166"/>
      <c r="AC340" s="166"/>
    </row>
    <row r="341" spans="24:29" ht="12.5">
      <c r="X341" s="254"/>
      <c r="Y341" s="166"/>
      <c r="Z341" s="166"/>
      <c r="AA341" s="166"/>
      <c r="AB341" s="166"/>
      <c r="AC341" s="166"/>
    </row>
    <row r="342" spans="24:29" ht="12.5">
      <c r="X342" s="254"/>
      <c r="Y342" s="166"/>
      <c r="Z342" s="166"/>
      <c r="AA342" s="166"/>
      <c r="AB342" s="166"/>
      <c r="AC342" s="166"/>
    </row>
    <row r="343" spans="24:29" ht="12.5">
      <c r="X343" s="254"/>
      <c r="Y343" s="166"/>
      <c r="Z343" s="166"/>
      <c r="AA343" s="166"/>
      <c r="AB343" s="166"/>
      <c r="AC343" s="166"/>
    </row>
    <row r="344" spans="24:29" ht="12.5">
      <c r="X344" s="254"/>
      <c r="Y344" s="166"/>
      <c r="Z344" s="166"/>
      <c r="AA344" s="166"/>
      <c r="AB344" s="166"/>
      <c r="AC344" s="166"/>
    </row>
    <row r="345" spans="24:29" ht="12.5">
      <c r="X345" s="254"/>
      <c r="Y345" s="166"/>
      <c r="Z345" s="166"/>
      <c r="AA345" s="166"/>
      <c r="AB345" s="166"/>
      <c r="AC345" s="166"/>
    </row>
    <row r="346" spans="24:29" ht="12.5">
      <c r="X346" s="254"/>
      <c r="Y346" s="166"/>
      <c r="Z346" s="166"/>
      <c r="AA346" s="166"/>
      <c r="AB346" s="166"/>
      <c r="AC346" s="166"/>
    </row>
    <row r="347" spans="24:29" ht="12.5">
      <c r="X347" s="254"/>
      <c r="Y347" s="166"/>
      <c r="Z347" s="166"/>
      <c r="AA347" s="166"/>
      <c r="AB347" s="166"/>
      <c r="AC347" s="166"/>
    </row>
    <row r="348" spans="24:29" ht="12.5">
      <c r="X348" s="254"/>
      <c r="Y348" s="166"/>
      <c r="Z348" s="166"/>
      <c r="AA348" s="166"/>
      <c r="AB348" s="166"/>
      <c r="AC348" s="166"/>
    </row>
    <row r="349" spans="24:29" ht="12.5">
      <c r="X349" s="254"/>
      <c r="Y349" s="166"/>
      <c r="Z349" s="166"/>
      <c r="AA349" s="166"/>
      <c r="AB349" s="166"/>
      <c r="AC349" s="166"/>
    </row>
    <row r="350" spans="24:29" ht="12.5">
      <c r="X350" s="254"/>
      <c r="Y350" s="166"/>
      <c r="Z350" s="166"/>
      <c r="AA350" s="166"/>
      <c r="AB350" s="166"/>
      <c r="AC350" s="166"/>
    </row>
    <row r="351" spans="24:29" ht="12.5">
      <c r="X351" s="254"/>
      <c r="Y351" s="166"/>
      <c r="Z351" s="166"/>
      <c r="AA351" s="166"/>
      <c r="AB351" s="166"/>
      <c r="AC351" s="166"/>
    </row>
    <row r="352" spans="24:29" ht="12.5">
      <c r="X352" s="254"/>
      <c r="Y352" s="166"/>
      <c r="Z352" s="166"/>
      <c r="AA352" s="166"/>
      <c r="AB352" s="166"/>
      <c r="AC352" s="166"/>
    </row>
    <row r="353" spans="24:29" ht="12.5">
      <c r="X353" s="254"/>
      <c r="Y353" s="166"/>
      <c r="Z353" s="166"/>
      <c r="AA353" s="166"/>
      <c r="AB353" s="166"/>
      <c r="AC353" s="166"/>
    </row>
    <row r="354" spans="24:29" ht="12.5">
      <c r="X354" s="254"/>
      <c r="Y354" s="166"/>
      <c r="Z354" s="166"/>
      <c r="AA354" s="166"/>
      <c r="AB354" s="166"/>
      <c r="AC354" s="166"/>
    </row>
    <row r="355" spans="24:29" ht="12.5">
      <c r="X355" s="254"/>
      <c r="Y355" s="166"/>
      <c r="Z355" s="166"/>
      <c r="AA355" s="166"/>
      <c r="AB355" s="166"/>
      <c r="AC355" s="166"/>
    </row>
    <row r="356" spans="24:29" ht="12.5">
      <c r="X356" s="254"/>
      <c r="Y356" s="166"/>
      <c r="Z356" s="166"/>
      <c r="AA356" s="166"/>
      <c r="AB356" s="166"/>
      <c r="AC356" s="166"/>
    </row>
    <row r="357" spans="24:29" ht="12.5">
      <c r="X357" s="254"/>
      <c r="Y357" s="166"/>
      <c r="Z357" s="166"/>
      <c r="AA357" s="166"/>
      <c r="AB357" s="166"/>
      <c r="AC357" s="166"/>
    </row>
    <row r="358" spans="24:29" ht="12.5">
      <c r="X358" s="254"/>
      <c r="Y358" s="166"/>
      <c r="Z358" s="166"/>
      <c r="AA358" s="166"/>
      <c r="AB358" s="166"/>
      <c r="AC358" s="166"/>
    </row>
    <row r="359" spans="24:29" ht="12.5">
      <c r="X359" s="254"/>
      <c r="Y359" s="166"/>
      <c r="Z359" s="166"/>
      <c r="AA359" s="166"/>
      <c r="AB359" s="166"/>
      <c r="AC359" s="166"/>
    </row>
    <row r="360" spans="24:29" ht="12.5">
      <c r="X360" s="254"/>
      <c r="Y360" s="166"/>
      <c r="Z360" s="166"/>
      <c r="AA360" s="166"/>
      <c r="AB360" s="166"/>
      <c r="AC360" s="166"/>
    </row>
    <row r="361" spans="24:29" ht="12.5">
      <c r="X361" s="254"/>
      <c r="Y361" s="166"/>
      <c r="Z361" s="166"/>
      <c r="AA361" s="166"/>
      <c r="AB361" s="166"/>
      <c r="AC361" s="166"/>
    </row>
    <row r="362" spans="24:29" ht="12.5">
      <c r="X362" s="254"/>
      <c r="Y362" s="166"/>
      <c r="Z362" s="166"/>
      <c r="AA362" s="166"/>
      <c r="AB362" s="166"/>
      <c r="AC362" s="166"/>
    </row>
    <row r="363" spans="24:29" ht="12.5">
      <c r="X363" s="254"/>
      <c r="Y363" s="166"/>
      <c r="Z363" s="166"/>
      <c r="AA363" s="166"/>
      <c r="AB363" s="166"/>
      <c r="AC363" s="166"/>
    </row>
    <row r="364" spans="24:29" ht="12.5">
      <c r="X364" s="254"/>
      <c r="Y364" s="166"/>
      <c r="Z364" s="166"/>
      <c r="AA364" s="166"/>
      <c r="AB364" s="166"/>
      <c r="AC364" s="166"/>
    </row>
    <row r="365" spans="24:29" ht="12.5">
      <c r="X365" s="254"/>
      <c r="Y365" s="166"/>
      <c r="Z365" s="166"/>
      <c r="AA365" s="166"/>
      <c r="AB365" s="166"/>
      <c r="AC365" s="166"/>
    </row>
    <row r="366" spans="24:29" ht="12.5">
      <c r="X366" s="254"/>
      <c r="Y366" s="166"/>
      <c r="Z366" s="166"/>
      <c r="AA366" s="166"/>
      <c r="AB366" s="166"/>
      <c r="AC366" s="166"/>
    </row>
    <row r="367" spans="24:29" ht="12.5">
      <c r="X367" s="254"/>
      <c r="Y367" s="166"/>
      <c r="Z367" s="166"/>
      <c r="AA367" s="166"/>
      <c r="AB367" s="166"/>
      <c r="AC367" s="166"/>
    </row>
    <row r="368" spans="24:29" ht="12.5">
      <c r="X368" s="254"/>
      <c r="Y368" s="166"/>
      <c r="Z368" s="166"/>
      <c r="AA368" s="166"/>
      <c r="AB368" s="166"/>
      <c r="AC368" s="166"/>
    </row>
    <row r="369" spans="24:29" ht="12.5">
      <c r="X369" s="254"/>
      <c r="Y369" s="166"/>
      <c r="Z369" s="166"/>
      <c r="AA369" s="166"/>
      <c r="AB369" s="166"/>
      <c r="AC369" s="166"/>
    </row>
    <row r="370" spans="24:29" ht="12.5">
      <c r="X370" s="254"/>
      <c r="Y370" s="166"/>
      <c r="Z370" s="166"/>
      <c r="AA370" s="166"/>
      <c r="AB370" s="166"/>
      <c r="AC370" s="166"/>
    </row>
    <row r="371" spans="24:29" ht="12.5">
      <c r="X371" s="254"/>
      <c r="Y371" s="166"/>
      <c r="Z371" s="166"/>
      <c r="AA371" s="166"/>
      <c r="AB371" s="166"/>
      <c r="AC371" s="166"/>
    </row>
    <row r="372" spans="24:29" ht="12.5">
      <c r="X372" s="254"/>
      <c r="Y372" s="166"/>
      <c r="Z372" s="166"/>
      <c r="AA372" s="166"/>
      <c r="AB372" s="166"/>
      <c r="AC372" s="166"/>
    </row>
    <row r="373" spans="24:29" ht="12.5">
      <c r="X373" s="254"/>
      <c r="Y373" s="166"/>
      <c r="Z373" s="166"/>
      <c r="AA373" s="166"/>
      <c r="AB373" s="166"/>
      <c r="AC373" s="166"/>
    </row>
    <row r="374" spans="24:29" ht="12.5">
      <c r="X374" s="254"/>
      <c r="Y374" s="166"/>
      <c r="Z374" s="166"/>
      <c r="AA374" s="166"/>
      <c r="AB374" s="166"/>
      <c r="AC374" s="166"/>
    </row>
    <row r="375" spans="24:29" ht="12.5">
      <c r="X375" s="254"/>
      <c r="Y375" s="166"/>
      <c r="Z375" s="166"/>
      <c r="AA375" s="166"/>
      <c r="AB375" s="166"/>
      <c r="AC375" s="166"/>
    </row>
    <row r="376" spans="24:29" ht="12.5">
      <c r="X376" s="254"/>
      <c r="Y376" s="166"/>
      <c r="Z376" s="166"/>
      <c r="AA376" s="166"/>
      <c r="AB376" s="166"/>
      <c r="AC376" s="166"/>
    </row>
    <row r="377" spans="24:29" ht="12.5">
      <c r="X377" s="254"/>
      <c r="Y377" s="166"/>
      <c r="Z377" s="166"/>
      <c r="AA377" s="166"/>
      <c r="AB377" s="166"/>
      <c r="AC377" s="166"/>
    </row>
    <row r="378" spans="24:29" ht="12.5">
      <c r="X378" s="254"/>
      <c r="Y378" s="166"/>
      <c r="Z378" s="166"/>
      <c r="AA378" s="166"/>
      <c r="AB378" s="166"/>
      <c r="AC378" s="166"/>
    </row>
    <row r="379" spans="24:29" ht="12.5">
      <c r="X379" s="254"/>
      <c r="Y379" s="166"/>
      <c r="Z379" s="166"/>
      <c r="AA379" s="166"/>
      <c r="AB379" s="166"/>
      <c r="AC379" s="166"/>
    </row>
    <row r="380" spans="24:29" ht="12.5">
      <c r="X380" s="254"/>
      <c r="Y380" s="166"/>
      <c r="Z380" s="166"/>
      <c r="AA380" s="166"/>
      <c r="AB380" s="166"/>
      <c r="AC380" s="166"/>
    </row>
    <row r="381" spans="24:29" ht="12.5">
      <c r="X381" s="254"/>
      <c r="Y381" s="166"/>
      <c r="Z381" s="166"/>
      <c r="AA381" s="166"/>
      <c r="AB381" s="166"/>
      <c r="AC381" s="166"/>
    </row>
    <row r="382" spans="24:29" ht="12.5">
      <c r="X382" s="254"/>
      <c r="Y382" s="166"/>
      <c r="Z382" s="166"/>
      <c r="AA382" s="166"/>
      <c r="AB382" s="166"/>
      <c r="AC382" s="166"/>
    </row>
    <row r="383" spans="24:29" ht="12.5">
      <c r="X383" s="254"/>
      <c r="Y383" s="166"/>
      <c r="Z383" s="166"/>
      <c r="AA383" s="166"/>
      <c r="AB383" s="166"/>
      <c r="AC383" s="166"/>
    </row>
    <row r="384" spans="24:29" ht="12.5">
      <c r="X384" s="254"/>
      <c r="Y384" s="166"/>
      <c r="Z384" s="166"/>
      <c r="AA384" s="166"/>
      <c r="AB384" s="166"/>
      <c r="AC384" s="166"/>
    </row>
    <row r="385" spans="24:29" ht="12.5">
      <c r="X385" s="254"/>
      <c r="Y385" s="166"/>
      <c r="Z385" s="166"/>
      <c r="AA385" s="166"/>
      <c r="AB385" s="166"/>
      <c r="AC385" s="166"/>
    </row>
    <row r="386" spans="24:29" ht="12.5">
      <c r="X386" s="254"/>
      <c r="Y386" s="166"/>
      <c r="Z386" s="166"/>
      <c r="AA386" s="166"/>
      <c r="AB386" s="166"/>
      <c r="AC386" s="166"/>
    </row>
    <row r="387" spans="24:29" ht="12.5">
      <c r="X387" s="254"/>
      <c r="Y387" s="166"/>
      <c r="Z387" s="166"/>
      <c r="AA387" s="166"/>
      <c r="AB387" s="166"/>
      <c r="AC387" s="166"/>
    </row>
    <row r="388" spans="24:29" ht="12.5">
      <c r="X388" s="254"/>
      <c r="Y388" s="166"/>
      <c r="Z388" s="166"/>
      <c r="AA388" s="166"/>
      <c r="AB388" s="166"/>
      <c r="AC388" s="166"/>
    </row>
    <row r="389" spans="24:29" ht="12.5">
      <c r="X389" s="254"/>
      <c r="Y389" s="166"/>
      <c r="Z389" s="166"/>
      <c r="AA389" s="166"/>
      <c r="AB389" s="166"/>
      <c r="AC389" s="166"/>
    </row>
    <row r="390" spans="24:29" ht="12.5">
      <c r="X390" s="254"/>
      <c r="Y390" s="166"/>
      <c r="Z390" s="166"/>
      <c r="AA390" s="166"/>
      <c r="AB390" s="166"/>
      <c r="AC390" s="166"/>
    </row>
    <row r="391" spans="24:29" ht="12.5">
      <c r="X391" s="254"/>
      <c r="Y391" s="166"/>
      <c r="Z391" s="166"/>
      <c r="AA391" s="166"/>
      <c r="AB391" s="166"/>
      <c r="AC391" s="166"/>
    </row>
    <row r="392" spans="24:29" ht="12.5">
      <c r="X392" s="254"/>
      <c r="Y392" s="166"/>
      <c r="Z392" s="166"/>
      <c r="AA392" s="166"/>
      <c r="AB392" s="166"/>
      <c r="AC392" s="166"/>
    </row>
    <row r="393" spans="24:29" ht="12.5">
      <c r="X393" s="254"/>
      <c r="Y393" s="166"/>
      <c r="Z393" s="166"/>
      <c r="AA393" s="166"/>
      <c r="AB393" s="166"/>
      <c r="AC393" s="166"/>
    </row>
    <row r="394" spans="24:29" ht="12.5">
      <c r="X394" s="254"/>
      <c r="Y394" s="166"/>
      <c r="Z394" s="166"/>
      <c r="AA394" s="166"/>
      <c r="AB394" s="166"/>
      <c r="AC394" s="166"/>
    </row>
    <row r="395" spans="24:29" ht="12.5">
      <c r="X395" s="254"/>
      <c r="Y395" s="166"/>
      <c r="Z395" s="166"/>
      <c r="AA395" s="166"/>
      <c r="AB395" s="166"/>
      <c r="AC395" s="166"/>
    </row>
    <row r="396" spans="24:29" ht="12.5">
      <c r="X396" s="254"/>
      <c r="Y396" s="166"/>
      <c r="Z396" s="166"/>
      <c r="AA396" s="166"/>
      <c r="AB396" s="166"/>
      <c r="AC396" s="166"/>
    </row>
    <row r="397" spans="24:29" ht="12.5">
      <c r="X397" s="254"/>
      <c r="Y397" s="166"/>
      <c r="Z397" s="166"/>
      <c r="AA397" s="166"/>
      <c r="AB397" s="166"/>
      <c r="AC397" s="166"/>
    </row>
    <row r="398" spans="24:29" ht="12.5">
      <c r="X398" s="254"/>
      <c r="Y398" s="166"/>
      <c r="Z398" s="166"/>
      <c r="AA398" s="166"/>
      <c r="AB398" s="166"/>
      <c r="AC398" s="166"/>
    </row>
    <row r="399" spans="24:29" ht="12.5">
      <c r="X399" s="254"/>
      <c r="Y399" s="166"/>
      <c r="Z399" s="166"/>
      <c r="AA399" s="166"/>
      <c r="AB399" s="166"/>
      <c r="AC399" s="166"/>
    </row>
    <row r="400" spans="24:29" ht="12.5">
      <c r="X400" s="254"/>
      <c r="Y400" s="166"/>
      <c r="Z400" s="166"/>
      <c r="AA400" s="166"/>
      <c r="AB400" s="166"/>
      <c r="AC400" s="166"/>
    </row>
    <row r="401" spans="24:29" ht="12.5">
      <c r="X401" s="254"/>
      <c r="Y401" s="166"/>
      <c r="Z401" s="166"/>
      <c r="AA401" s="166"/>
      <c r="AB401" s="166"/>
      <c r="AC401" s="166"/>
    </row>
    <row r="402" spans="24:29" ht="12.5">
      <c r="X402" s="254"/>
      <c r="Y402" s="166"/>
      <c r="Z402" s="166"/>
      <c r="AA402" s="166"/>
      <c r="AB402" s="166"/>
      <c r="AC402" s="166"/>
    </row>
    <row r="403" spans="24:29" ht="12.5">
      <c r="X403" s="254"/>
      <c r="Y403" s="166"/>
      <c r="Z403" s="166"/>
      <c r="AA403" s="166"/>
      <c r="AB403" s="166"/>
      <c r="AC403" s="166"/>
    </row>
    <row r="404" spans="24:29" ht="12.5">
      <c r="X404" s="254"/>
      <c r="Y404" s="166"/>
      <c r="Z404" s="166"/>
      <c r="AA404" s="166"/>
      <c r="AB404" s="166"/>
      <c r="AC404" s="166"/>
    </row>
    <row r="405" spans="24:29" ht="12.5">
      <c r="X405" s="254"/>
      <c r="Y405" s="166"/>
      <c r="Z405" s="166"/>
      <c r="AA405" s="166"/>
      <c r="AB405" s="166"/>
      <c r="AC405" s="166"/>
    </row>
    <row r="406" spans="24:29" ht="12.5">
      <c r="X406" s="254"/>
      <c r="Y406" s="166"/>
      <c r="Z406" s="166"/>
      <c r="AA406" s="166"/>
      <c r="AB406" s="166"/>
      <c r="AC406" s="166"/>
    </row>
    <row r="407" spans="24:29" ht="12.5">
      <c r="X407" s="254"/>
      <c r="Y407" s="166"/>
      <c r="Z407" s="166"/>
      <c r="AA407" s="166"/>
      <c r="AB407" s="166"/>
      <c r="AC407" s="166"/>
    </row>
    <row r="408" spans="24:29" ht="12.5">
      <c r="X408" s="254"/>
      <c r="Y408" s="166"/>
      <c r="Z408" s="166"/>
      <c r="AA408" s="166"/>
      <c r="AB408" s="166"/>
      <c r="AC408" s="166"/>
    </row>
    <row r="409" spans="24:29" ht="12.5">
      <c r="X409" s="254"/>
      <c r="Y409" s="166"/>
      <c r="Z409" s="166"/>
      <c r="AA409" s="166"/>
      <c r="AB409" s="166"/>
      <c r="AC409" s="166"/>
    </row>
    <row r="410" spans="24:29" ht="12.5">
      <c r="X410" s="254"/>
      <c r="Y410" s="166"/>
      <c r="Z410" s="166"/>
      <c r="AA410" s="166"/>
      <c r="AB410" s="166"/>
      <c r="AC410" s="166"/>
    </row>
    <row r="411" spans="24:29" ht="12.5">
      <c r="X411" s="254"/>
      <c r="Y411" s="166"/>
      <c r="Z411" s="166"/>
      <c r="AA411" s="166"/>
      <c r="AB411" s="166"/>
      <c r="AC411" s="166"/>
    </row>
    <row r="412" spans="24:29" ht="12.5">
      <c r="X412" s="254"/>
      <c r="Y412" s="166"/>
      <c r="Z412" s="166"/>
      <c r="AA412" s="166"/>
      <c r="AB412" s="166"/>
      <c r="AC412" s="166"/>
    </row>
    <row r="413" spans="24:29" ht="12.5">
      <c r="X413" s="254"/>
      <c r="Y413" s="166"/>
      <c r="Z413" s="166"/>
      <c r="AA413" s="166"/>
      <c r="AB413" s="166"/>
      <c r="AC413" s="166"/>
    </row>
    <row r="414" spans="24:29" ht="12.5">
      <c r="X414" s="254"/>
      <c r="Y414" s="166"/>
      <c r="Z414" s="166"/>
      <c r="AA414" s="166"/>
      <c r="AB414" s="166"/>
      <c r="AC414" s="166"/>
    </row>
    <row r="415" spans="24:29" ht="12.5">
      <c r="X415" s="254"/>
      <c r="Y415" s="166"/>
      <c r="Z415" s="166"/>
      <c r="AA415" s="166"/>
      <c r="AB415" s="166"/>
      <c r="AC415" s="166"/>
    </row>
    <row r="416" spans="24:29" ht="12.5">
      <c r="X416" s="254"/>
      <c r="Y416" s="166"/>
      <c r="Z416" s="166"/>
      <c r="AA416" s="166"/>
      <c r="AB416" s="166"/>
      <c r="AC416" s="166"/>
    </row>
    <row r="417" spans="24:29" ht="12.5">
      <c r="X417" s="254"/>
      <c r="Y417" s="166"/>
      <c r="Z417" s="166"/>
      <c r="AA417" s="166"/>
      <c r="AB417" s="166"/>
      <c r="AC417" s="166"/>
    </row>
    <row r="418" spans="24:29" ht="12.5">
      <c r="X418" s="254"/>
      <c r="Y418" s="166"/>
      <c r="Z418" s="166"/>
      <c r="AA418" s="166"/>
      <c r="AB418" s="166"/>
      <c r="AC418" s="166"/>
    </row>
    <row r="419" spans="24:29" ht="12.5">
      <c r="X419" s="254"/>
      <c r="Y419" s="166"/>
      <c r="Z419" s="166"/>
      <c r="AA419" s="166"/>
      <c r="AB419" s="166"/>
      <c r="AC419" s="166"/>
    </row>
    <row r="420" spans="24:29" ht="12.5">
      <c r="X420" s="254"/>
      <c r="Y420" s="166"/>
      <c r="Z420" s="166"/>
      <c r="AA420" s="166"/>
      <c r="AB420" s="166"/>
      <c r="AC420" s="166"/>
    </row>
    <row r="421" spans="24:29" ht="12.5">
      <c r="X421" s="254"/>
      <c r="Y421" s="166"/>
      <c r="Z421" s="166"/>
      <c r="AA421" s="166"/>
      <c r="AB421" s="166"/>
      <c r="AC421" s="166"/>
    </row>
    <row r="422" spans="24:29" ht="12.5">
      <c r="X422" s="254"/>
      <c r="Y422" s="166"/>
      <c r="Z422" s="166"/>
      <c r="AA422" s="166"/>
      <c r="AB422" s="166"/>
      <c r="AC422" s="166"/>
    </row>
    <row r="423" spans="24:29" ht="12.5">
      <c r="X423" s="254"/>
      <c r="Y423" s="166"/>
      <c r="Z423" s="166"/>
      <c r="AA423" s="166"/>
      <c r="AB423" s="166"/>
      <c r="AC423" s="166"/>
    </row>
    <row r="424" spans="24:29" ht="12.5">
      <c r="X424" s="254"/>
      <c r="Y424" s="166"/>
      <c r="Z424" s="166"/>
      <c r="AA424" s="166"/>
      <c r="AB424" s="166"/>
      <c r="AC424" s="166"/>
    </row>
    <row r="425" spans="24:29" ht="12.5">
      <c r="X425" s="254"/>
      <c r="Y425" s="166"/>
      <c r="Z425" s="166"/>
      <c r="AA425" s="166"/>
      <c r="AB425" s="166"/>
      <c r="AC425" s="166"/>
    </row>
    <row r="426" spans="24:29" ht="12.5">
      <c r="X426" s="254"/>
      <c r="Y426" s="166"/>
      <c r="Z426" s="166"/>
      <c r="AA426" s="166"/>
      <c r="AB426" s="166"/>
      <c r="AC426" s="166"/>
    </row>
    <row r="427" spans="24:29" ht="12.5">
      <c r="X427" s="254"/>
      <c r="Y427" s="166"/>
      <c r="Z427" s="166"/>
      <c r="AA427" s="166"/>
      <c r="AB427" s="166"/>
      <c r="AC427" s="166"/>
    </row>
    <row r="428" spans="24:29" ht="12.5">
      <c r="X428" s="254"/>
      <c r="Y428" s="166"/>
      <c r="Z428" s="166"/>
      <c r="AA428" s="166"/>
      <c r="AB428" s="166"/>
      <c r="AC428" s="166"/>
    </row>
    <row r="429" spans="24:29" ht="12.5">
      <c r="X429" s="254"/>
      <c r="Y429" s="166"/>
      <c r="Z429" s="166"/>
      <c r="AA429" s="166"/>
      <c r="AB429" s="166"/>
      <c r="AC429" s="166"/>
    </row>
    <row r="430" spans="24:29" ht="12.5">
      <c r="X430" s="254"/>
      <c r="Y430" s="166"/>
      <c r="Z430" s="166"/>
      <c r="AA430" s="166"/>
      <c r="AB430" s="166"/>
      <c r="AC430" s="166"/>
    </row>
    <row r="431" spans="24:29" ht="12.5">
      <c r="X431" s="254"/>
      <c r="Y431" s="166"/>
      <c r="Z431" s="166"/>
      <c r="AA431" s="166"/>
      <c r="AB431" s="166"/>
      <c r="AC431" s="166"/>
    </row>
    <row r="432" spans="24:29" ht="12.5">
      <c r="X432" s="254"/>
      <c r="Y432" s="166"/>
      <c r="Z432" s="166"/>
      <c r="AA432" s="166"/>
      <c r="AB432" s="166"/>
      <c r="AC432" s="166"/>
    </row>
    <row r="433" spans="24:29" ht="12.5">
      <c r="X433" s="254"/>
      <c r="Y433" s="166"/>
      <c r="Z433" s="166"/>
      <c r="AA433" s="166"/>
      <c r="AB433" s="166"/>
      <c r="AC433" s="166"/>
    </row>
    <row r="434" spans="24:29" ht="12.5">
      <c r="X434" s="254"/>
      <c r="Y434" s="166"/>
      <c r="Z434" s="166"/>
      <c r="AA434" s="166"/>
      <c r="AB434" s="166"/>
      <c r="AC434" s="166"/>
    </row>
    <row r="435" spans="24:29" ht="12.5">
      <c r="X435" s="254"/>
      <c r="Y435" s="166"/>
      <c r="Z435" s="166"/>
      <c r="AA435" s="166"/>
      <c r="AB435" s="166"/>
      <c r="AC435" s="166"/>
    </row>
    <row r="436" spans="24:29" ht="12.5">
      <c r="X436" s="254"/>
      <c r="Y436" s="166"/>
      <c r="Z436" s="166"/>
      <c r="AA436" s="166"/>
      <c r="AB436" s="166"/>
      <c r="AC436" s="166"/>
    </row>
    <row r="437" spans="24:29" ht="12.5">
      <c r="X437" s="254"/>
      <c r="Y437" s="166"/>
      <c r="Z437" s="166"/>
      <c r="AA437" s="166"/>
      <c r="AB437" s="166"/>
      <c r="AC437" s="166"/>
    </row>
    <row r="438" spans="24:29" ht="12.5">
      <c r="X438" s="254"/>
      <c r="Y438" s="166"/>
      <c r="Z438" s="166"/>
      <c r="AA438" s="166"/>
      <c r="AB438" s="166"/>
      <c r="AC438" s="166"/>
    </row>
    <row r="439" spans="24:29" ht="12.5">
      <c r="X439" s="254"/>
      <c r="Y439" s="166"/>
      <c r="Z439" s="166"/>
      <c r="AA439" s="166"/>
      <c r="AB439" s="166"/>
      <c r="AC439" s="166"/>
    </row>
    <row r="440" spans="24:29" ht="12.5">
      <c r="X440" s="254"/>
      <c r="Y440" s="166"/>
      <c r="Z440" s="166"/>
      <c r="AA440" s="166"/>
      <c r="AB440" s="166"/>
      <c r="AC440" s="166"/>
    </row>
    <row r="441" spans="24:29" ht="12.5">
      <c r="X441" s="254"/>
      <c r="Y441" s="166"/>
      <c r="Z441" s="166"/>
      <c r="AA441" s="166"/>
      <c r="AB441" s="166"/>
      <c r="AC441" s="166"/>
    </row>
    <row r="442" spans="24:29" ht="12.5">
      <c r="X442" s="254"/>
      <c r="Y442" s="166"/>
      <c r="Z442" s="166"/>
      <c r="AA442" s="166"/>
      <c r="AB442" s="166"/>
      <c r="AC442" s="166"/>
    </row>
    <row r="443" spans="24:29" ht="12.5">
      <c r="X443" s="254"/>
      <c r="Y443" s="166"/>
      <c r="Z443" s="166"/>
      <c r="AA443" s="166"/>
      <c r="AB443" s="166"/>
      <c r="AC443" s="166"/>
    </row>
    <row r="444" spans="24:29" ht="12.5">
      <c r="X444" s="254"/>
      <c r="Y444" s="166"/>
      <c r="Z444" s="166"/>
      <c r="AA444" s="166"/>
      <c r="AB444" s="166"/>
      <c r="AC444" s="166"/>
    </row>
    <row r="445" spans="24:29" ht="12.5">
      <c r="X445" s="254"/>
      <c r="Y445" s="166"/>
      <c r="Z445" s="166"/>
      <c r="AA445" s="166"/>
      <c r="AB445" s="166"/>
      <c r="AC445" s="166"/>
    </row>
    <row r="446" spans="24:29" ht="12.5">
      <c r="X446" s="254"/>
      <c r="Y446" s="166"/>
      <c r="Z446" s="166"/>
      <c r="AA446" s="166"/>
      <c r="AB446" s="166"/>
      <c r="AC446" s="166"/>
    </row>
    <row r="447" spans="24:29" ht="12.5">
      <c r="X447" s="254"/>
      <c r="Y447" s="166"/>
      <c r="Z447" s="166"/>
      <c r="AA447" s="166"/>
      <c r="AB447" s="166"/>
      <c r="AC447" s="166"/>
    </row>
    <row r="448" spans="24:29" ht="12.5">
      <c r="X448" s="254"/>
      <c r="Y448" s="166"/>
      <c r="Z448" s="166"/>
      <c r="AA448" s="166"/>
      <c r="AB448" s="166"/>
      <c r="AC448" s="166"/>
    </row>
    <row r="449" spans="24:29" ht="12.5">
      <c r="X449" s="254"/>
      <c r="Y449" s="166"/>
      <c r="Z449" s="166"/>
      <c r="AA449" s="166"/>
      <c r="AB449" s="166"/>
      <c r="AC449" s="166"/>
    </row>
    <row r="450" spans="24:29" ht="12.5">
      <c r="X450" s="254"/>
      <c r="Y450" s="166"/>
      <c r="Z450" s="166"/>
      <c r="AA450" s="166"/>
      <c r="AB450" s="166"/>
      <c r="AC450" s="166"/>
    </row>
    <row r="451" spans="24:29" ht="12.5">
      <c r="X451" s="254"/>
      <c r="Y451" s="166"/>
      <c r="Z451" s="166"/>
      <c r="AA451" s="166"/>
      <c r="AB451" s="166"/>
      <c r="AC451" s="166"/>
    </row>
    <row r="452" spans="24:29" ht="12.5">
      <c r="X452" s="254"/>
      <c r="Y452" s="166"/>
      <c r="Z452" s="166"/>
      <c r="AA452" s="166"/>
      <c r="AB452" s="166"/>
      <c r="AC452" s="166"/>
    </row>
    <row r="453" spans="24:29" ht="12.5">
      <c r="X453" s="254"/>
      <c r="Y453" s="166"/>
      <c r="Z453" s="166"/>
      <c r="AA453" s="166"/>
      <c r="AB453" s="166"/>
      <c r="AC453" s="166"/>
    </row>
    <row r="454" spans="24:29" ht="12.5">
      <c r="X454" s="254"/>
      <c r="Y454" s="166"/>
      <c r="Z454" s="166"/>
      <c r="AA454" s="166"/>
      <c r="AB454" s="166"/>
      <c r="AC454" s="166"/>
    </row>
    <row r="455" spans="24:29" ht="12.5">
      <c r="X455" s="254"/>
      <c r="Y455" s="166"/>
      <c r="Z455" s="166"/>
      <c r="AA455" s="166"/>
      <c r="AB455" s="166"/>
      <c r="AC455" s="166"/>
    </row>
    <row r="456" spans="24:29" ht="12.5">
      <c r="X456" s="254"/>
      <c r="Y456" s="166"/>
      <c r="Z456" s="166"/>
      <c r="AA456" s="166"/>
      <c r="AB456" s="166"/>
      <c r="AC456" s="166"/>
    </row>
    <row r="457" spans="24:29" ht="12.5">
      <c r="X457" s="254"/>
      <c r="Y457" s="166"/>
      <c r="Z457" s="166"/>
      <c r="AA457" s="166"/>
      <c r="AB457" s="166"/>
      <c r="AC457" s="166"/>
    </row>
    <row r="458" spans="24:29" ht="12.5">
      <c r="X458" s="254"/>
      <c r="Y458" s="166"/>
      <c r="Z458" s="166"/>
      <c r="AA458" s="166"/>
      <c r="AB458" s="166"/>
      <c r="AC458" s="166"/>
    </row>
    <row r="459" spans="24:29" ht="12.5">
      <c r="X459" s="254"/>
      <c r="Y459" s="166"/>
      <c r="Z459" s="166"/>
      <c r="AA459" s="166"/>
      <c r="AB459" s="166"/>
      <c r="AC459" s="166"/>
    </row>
    <row r="460" spans="24:29" ht="12.5">
      <c r="X460" s="254"/>
      <c r="Y460" s="166"/>
      <c r="Z460" s="166"/>
      <c r="AA460" s="166"/>
      <c r="AB460" s="166"/>
      <c r="AC460" s="166"/>
    </row>
    <row r="461" spans="24:29" ht="12.5">
      <c r="X461" s="254"/>
      <c r="Y461" s="166"/>
      <c r="Z461" s="166"/>
      <c r="AA461" s="166"/>
      <c r="AB461" s="166"/>
      <c r="AC461" s="166"/>
    </row>
    <row r="462" spans="24:29" ht="12.5">
      <c r="X462" s="254"/>
      <c r="Y462" s="166"/>
      <c r="Z462" s="166"/>
      <c r="AA462" s="166"/>
      <c r="AB462" s="166"/>
      <c r="AC462" s="166"/>
    </row>
    <row r="463" spans="24:29" ht="12.5">
      <c r="X463" s="254"/>
      <c r="Y463" s="166"/>
      <c r="Z463" s="166"/>
      <c r="AA463" s="166"/>
      <c r="AB463" s="166"/>
      <c r="AC463" s="166"/>
    </row>
    <row r="464" spans="24:29" ht="12.5">
      <c r="X464" s="254"/>
      <c r="Y464" s="166"/>
      <c r="Z464" s="166"/>
      <c r="AA464" s="166"/>
      <c r="AB464" s="166"/>
      <c r="AC464" s="166"/>
    </row>
    <row r="465" spans="24:29" ht="12.5">
      <c r="X465" s="254"/>
      <c r="Y465" s="166"/>
      <c r="Z465" s="166"/>
      <c r="AA465" s="166"/>
      <c r="AB465" s="166"/>
      <c r="AC465" s="166"/>
    </row>
    <row r="466" spans="24:29" ht="12.5">
      <c r="X466" s="254"/>
      <c r="Y466" s="166"/>
      <c r="Z466" s="166"/>
      <c r="AA466" s="166"/>
      <c r="AB466" s="166"/>
      <c r="AC466" s="166"/>
    </row>
    <row r="467" spans="24:29" ht="12.5">
      <c r="X467" s="254"/>
      <c r="Y467" s="166"/>
      <c r="Z467" s="166"/>
      <c r="AA467" s="166"/>
      <c r="AB467" s="166"/>
      <c r="AC467" s="166"/>
    </row>
    <row r="468" spans="24:29" ht="12.5">
      <c r="X468" s="254"/>
      <c r="Y468" s="166"/>
      <c r="Z468" s="166"/>
      <c r="AA468" s="166"/>
      <c r="AB468" s="166"/>
      <c r="AC468" s="166"/>
    </row>
    <row r="469" spans="24:29" ht="12.5">
      <c r="X469" s="254"/>
      <c r="Y469" s="166"/>
      <c r="Z469" s="166"/>
      <c r="AA469" s="166"/>
      <c r="AB469" s="166"/>
      <c r="AC469" s="166"/>
    </row>
    <row r="470" spans="24:29" ht="12.5">
      <c r="X470" s="254"/>
      <c r="Y470" s="166"/>
      <c r="Z470" s="166"/>
      <c r="AA470" s="166"/>
      <c r="AB470" s="166"/>
      <c r="AC470" s="166"/>
    </row>
    <row r="471" spans="24:29" ht="12.5">
      <c r="X471" s="254"/>
      <c r="Y471" s="166"/>
      <c r="Z471" s="166"/>
      <c r="AA471" s="166"/>
      <c r="AB471" s="166"/>
      <c r="AC471" s="166"/>
    </row>
    <row r="472" spans="24:29" ht="12.5">
      <c r="X472" s="254"/>
      <c r="Y472" s="166"/>
      <c r="Z472" s="166"/>
      <c r="AA472" s="166"/>
      <c r="AB472" s="166"/>
      <c r="AC472" s="166"/>
    </row>
    <row r="473" spans="24:29" ht="12.5">
      <c r="X473" s="254"/>
      <c r="Y473" s="166"/>
      <c r="Z473" s="166"/>
      <c r="AA473" s="166"/>
      <c r="AB473" s="166"/>
      <c r="AC473" s="166"/>
    </row>
    <row r="474" spans="24:29" ht="12.5">
      <c r="X474" s="254"/>
      <c r="Y474" s="166"/>
      <c r="Z474" s="166"/>
      <c r="AA474" s="166"/>
      <c r="AB474" s="166"/>
      <c r="AC474" s="166"/>
    </row>
    <row r="475" spans="24:29" ht="12.5">
      <c r="X475" s="254"/>
      <c r="Y475" s="166"/>
      <c r="Z475" s="166"/>
      <c r="AA475" s="166"/>
      <c r="AB475" s="166"/>
      <c r="AC475" s="166"/>
    </row>
    <row r="476" spans="24:29" ht="12.5">
      <c r="X476" s="254"/>
      <c r="Y476" s="166"/>
      <c r="Z476" s="166"/>
      <c r="AA476" s="166"/>
      <c r="AB476" s="166"/>
      <c r="AC476" s="166"/>
    </row>
    <row r="477" spans="24:29" ht="12.5">
      <c r="X477" s="254"/>
      <c r="Y477" s="166"/>
      <c r="Z477" s="166"/>
      <c r="AA477" s="166"/>
      <c r="AB477" s="166"/>
      <c r="AC477" s="166"/>
    </row>
    <row r="478" spans="24:29" ht="12.5">
      <c r="X478" s="254"/>
      <c r="Y478" s="166"/>
      <c r="Z478" s="166"/>
      <c r="AA478" s="166"/>
      <c r="AB478" s="166"/>
      <c r="AC478" s="166"/>
    </row>
    <row r="479" spans="24:29" ht="12.5">
      <c r="X479" s="254"/>
      <c r="Y479" s="166"/>
      <c r="Z479" s="166"/>
      <c r="AA479" s="166"/>
      <c r="AB479" s="166"/>
      <c r="AC479" s="166"/>
    </row>
    <row r="480" spans="24:29" ht="12.5">
      <c r="X480" s="254"/>
      <c r="Y480" s="166"/>
      <c r="Z480" s="166"/>
      <c r="AA480" s="166"/>
      <c r="AB480" s="166"/>
      <c r="AC480" s="166"/>
    </row>
    <row r="481" spans="24:29" ht="12.5">
      <c r="X481" s="254"/>
      <c r="Y481" s="166"/>
      <c r="Z481" s="166"/>
      <c r="AA481" s="166"/>
      <c r="AB481" s="166"/>
      <c r="AC481" s="166"/>
    </row>
    <row r="482" spans="24:29" ht="12.5">
      <c r="X482" s="254"/>
      <c r="Y482" s="166"/>
      <c r="Z482" s="166"/>
      <c r="AA482" s="166"/>
      <c r="AB482" s="166"/>
      <c r="AC482" s="166"/>
    </row>
    <row r="483" spans="24:29" ht="12.5">
      <c r="X483" s="254"/>
      <c r="Y483" s="166"/>
      <c r="Z483" s="166"/>
      <c r="AA483" s="166"/>
      <c r="AB483" s="166"/>
      <c r="AC483" s="166"/>
    </row>
    <row r="484" spans="24:29" ht="12.5">
      <c r="X484" s="254"/>
      <c r="Y484" s="166"/>
      <c r="Z484" s="166"/>
      <c r="AA484" s="166"/>
      <c r="AB484" s="166"/>
      <c r="AC484" s="166"/>
    </row>
    <row r="485" spans="24:29" ht="12.5">
      <c r="X485" s="254"/>
      <c r="Y485" s="166"/>
      <c r="Z485" s="166"/>
      <c r="AA485" s="166"/>
      <c r="AB485" s="166"/>
      <c r="AC485" s="166"/>
    </row>
    <row r="486" spans="24:29" ht="12.5">
      <c r="X486" s="254"/>
      <c r="Y486" s="166"/>
      <c r="Z486" s="166"/>
      <c r="AA486" s="166"/>
      <c r="AB486" s="166"/>
      <c r="AC486" s="166"/>
    </row>
    <row r="487" spans="24:29" ht="12.5">
      <c r="X487" s="254"/>
      <c r="Y487" s="166"/>
      <c r="Z487" s="166"/>
      <c r="AA487" s="166"/>
      <c r="AB487" s="166"/>
      <c r="AC487" s="166"/>
    </row>
    <row r="488" spans="24:29" ht="12.5">
      <c r="X488" s="254"/>
      <c r="Y488" s="166"/>
      <c r="Z488" s="166"/>
      <c r="AA488" s="166"/>
      <c r="AB488" s="166"/>
      <c r="AC488" s="166"/>
    </row>
    <row r="489" spans="24:29" ht="12.5">
      <c r="X489" s="254"/>
      <c r="Y489" s="166"/>
      <c r="Z489" s="166"/>
      <c r="AA489" s="166"/>
      <c r="AB489" s="166"/>
      <c r="AC489" s="166"/>
    </row>
    <row r="490" spans="24:29" ht="12.5">
      <c r="X490" s="254"/>
      <c r="Y490" s="166"/>
      <c r="Z490" s="166"/>
      <c r="AA490" s="166"/>
      <c r="AB490" s="166"/>
      <c r="AC490" s="166"/>
    </row>
    <row r="491" spans="24:29" ht="12.5">
      <c r="X491" s="254"/>
      <c r="Y491" s="166"/>
      <c r="Z491" s="166"/>
      <c r="AA491" s="166"/>
      <c r="AB491" s="166"/>
      <c r="AC491" s="166"/>
    </row>
    <row r="492" spans="24:29" ht="12.5">
      <c r="X492" s="254"/>
      <c r="Y492" s="166"/>
      <c r="Z492" s="166"/>
      <c r="AA492" s="166"/>
      <c r="AB492" s="166"/>
      <c r="AC492" s="166"/>
    </row>
    <row r="493" spans="24:29" ht="12.5">
      <c r="X493" s="254"/>
      <c r="Y493" s="166"/>
      <c r="Z493" s="166"/>
      <c r="AA493" s="166"/>
      <c r="AB493" s="166"/>
      <c r="AC493" s="166"/>
    </row>
    <row r="494" spans="24:29" ht="12.5">
      <c r="X494" s="254"/>
      <c r="Y494" s="166"/>
      <c r="Z494" s="166"/>
      <c r="AA494" s="166"/>
      <c r="AB494" s="166"/>
      <c r="AC494" s="166"/>
    </row>
    <row r="495" spans="24:29" ht="12.5">
      <c r="X495" s="254"/>
      <c r="Y495" s="166"/>
      <c r="Z495" s="166"/>
      <c r="AA495" s="166"/>
      <c r="AB495" s="166"/>
      <c r="AC495" s="166"/>
    </row>
    <row r="496" spans="24:29" ht="12.5">
      <c r="X496" s="254"/>
      <c r="Y496" s="166"/>
      <c r="Z496" s="166"/>
      <c r="AA496" s="166"/>
      <c r="AB496" s="166"/>
      <c r="AC496" s="166"/>
    </row>
    <row r="497" spans="24:29" ht="12.5">
      <c r="X497" s="254"/>
      <c r="Y497" s="166"/>
      <c r="Z497" s="166"/>
      <c r="AA497" s="166"/>
      <c r="AB497" s="166"/>
      <c r="AC497" s="166"/>
    </row>
    <row r="498" spans="24:29" ht="12.5">
      <c r="X498" s="254"/>
      <c r="Y498" s="166"/>
      <c r="Z498" s="166"/>
      <c r="AA498" s="166"/>
      <c r="AB498" s="166"/>
      <c r="AC498" s="166"/>
    </row>
    <row r="499" spans="24:29" ht="12.5">
      <c r="X499" s="254"/>
      <c r="Y499" s="166"/>
      <c r="Z499" s="166"/>
      <c r="AA499" s="166"/>
      <c r="AB499" s="166"/>
      <c r="AC499" s="166"/>
    </row>
    <row r="500" spans="24:29" ht="12.5">
      <c r="X500" s="254"/>
      <c r="Y500" s="166"/>
      <c r="Z500" s="166"/>
      <c r="AA500" s="166"/>
      <c r="AB500" s="166"/>
      <c r="AC500" s="166"/>
    </row>
    <row r="501" spans="24:29" ht="12.5">
      <c r="X501" s="254"/>
      <c r="Y501" s="166"/>
      <c r="Z501" s="166"/>
      <c r="AA501" s="166"/>
      <c r="AB501" s="166"/>
      <c r="AC501" s="166"/>
    </row>
    <row r="502" spans="24:29" ht="12.5">
      <c r="X502" s="254"/>
      <c r="Y502" s="166"/>
      <c r="Z502" s="166"/>
      <c r="AA502" s="166"/>
      <c r="AB502" s="166"/>
      <c r="AC502" s="166"/>
    </row>
    <row r="503" spans="24:29" ht="12.5">
      <c r="X503" s="254"/>
      <c r="Y503" s="166"/>
      <c r="Z503" s="166"/>
      <c r="AA503" s="166"/>
      <c r="AB503" s="166"/>
      <c r="AC503" s="166"/>
    </row>
    <row r="504" spans="24:29" ht="12.5">
      <c r="X504" s="254"/>
      <c r="Y504" s="166"/>
      <c r="Z504" s="166"/>
      <c r="AA504" s="166"/>
      <c r="AB504" s="166"/>
      <c r="AC504" s="166"/>
    </row>
    <row r="505" spans="24:29" ht="12.5">
      <c r="X505" s="254"/>
      <c r="Y505" s="166"/>
      <c r="Z505" s="166"/>
      <c r="AA505" s="166"/>
      <c r="AB505" s="166"/>
      <c r="AC505" s="166"/>
    </row>
    <row r="506" spans="24:29" ht="12.5">
      <c r="X506" s="254"/>
      <c r="Y506" s="166"/>
      <c r="Z506" s="166"/>
      <c r="AA506" s="166"/>
      <c r="AB506" s="166"/>
      <c r="AC506" s="166"/>
    </row>
    <row r="507" spans="24:29" ht="12.5">
      <c r="X507" s="254"/>
      <c r="Y507" s="166"/>
      <c r="Z507" s="166"/>
      <c r="AA507" s="166"/>
      <c r="AB507" s="166"/>
      <c r="AC507" s="166"/>
    </row>
    <row r="508" spans="24:29" ht="12.5">
      <c r="X508" s="254"/>
      <c r="Y508" s="166"/>
      <c r="Z508" s="166"/>
      <c r="AA508" s="166"/>
      <c r="AB508" s="166"/>
      <c r="AC508" s="166"/>
    </row>
    <row r="509" spans="24:29" ht="12.5">
      <c r="X509" s="254"/>
      <c r="Y509" s="166"/>
      <c r="Z509" s="166"/>
      <c r="AA509" s="166"/>
      <c r="AB509" s="166"/>
      <c r="AC509" s="166"/>
    </row>
    <row r="510" spans="24:29" ht="12.5">
      <c r="X510" s="254"/>
      <c r="Y510" s="166"/>
      <c r="Z510" s="166"/>
      <c r="AA510" s="166"/>
      <c r="AB510" s="166"/>
      <c r="AC510" s="166"/>
    </row>
    <row r="511" spans="24:29" ht="12.5">
      <c r="X511" s="254"/>
      <c r="Y511" s="166"/>
      <c r="Z511" s="166"/>
      <c r="AA511" s="166"/>
      <c r="AB511" s="166"/>
      <c r="AC511" s="166"/>
    </row>
    <row r="512" spans="24:29" ht="12.5">
      <c r="X512" s="254"/>
      <c r="Y512" s="166"/>
      <c r="Z512" s="166"/>
      <c r="AA512" s="166"/>
      <c r="AB512" s="166"/>
      <c r="AC512" s="166"/>
    </row>
    <row r="513" spans="24:29" ht="12.5">
      <c r="X513" s="254"/>
      <c r="Y513" s="166"/>
      <c r="Z513" s="166"/>
      <c r="AA513" s="166"/>
      <c r="AB513" s="166"/>
      <c r="AC513" s="166"/>
    </row>
    <row r="514" spans="24:29" ht="12.5">
      <c r="X514" s="254"/>
      <c r="Y514" s="166"/>
      <c r="Z514" s="166"/>
      <c r="AA514" s="166"/>
      <c r="AB514" s="166"/>
      <c r="AC514" s="166"/>
    </row>
    <row r="515" spans="24:29" ht="12.5">
      <c r="X515" s="254"/>
      <c r="Y515" s="166"/>
      <c r="Z515" s="166"/>
      <c r="AA515" s="166"/>
      <c r="AB515" s="166"/>
      <c r="AC515" s="166"/>
    </row>
    <row r="516" spans="24:29" ht="12.5">
      <c r="X516" s="254"/>
      <c r="Y516" s="166"/>
      <c r="Z516" s="166"/>
      <c r="AA516" s="166"/>
      <c r="AB516" s="166"/>
      <c r="AC516" s="166"/>
    </row>
    <row r="517" spans="24:29" ht="12.5">
      <c r="X517" s="254"/>
      <c r="Y517" s="166"/>
      <c r="Z517" s="166"/>
      <c r="AA517" s="166"/>
      <c r="AB517" s="166"/>
      <c r="AC517" s="166"/>
    </row>
    <row r="518" spans="24:29" ht="12.5">
      <c r="X518" s="254"/>
      <c r="Y518" s="166"/>
      <c r="Z518" s="166"/>
      <c r="AA518" s="166"/>
      <c r="AB518" s="166"/>
      <c r="AC518" s="166"/>
    </row>
    <row r="519" spans="24:29" ht="12.5">
      <c r="X519" s="254"/>
      <c r="Y519" s="166"/>
      <c r="Z519" s="166"/>
      <c r="AA519" s="166"/>
      <c r="AB519" s="166"/>
      <c r="AC519" s="166"/>
    </row>
    <row r="520" spans="24:29" ht="12.5">
      <c r="X520" s="254"/>
      <c r="Y520" s="166"/>
      <c r="Z520" s="166"/>
      <c r="AA520" s="166"/>
      <c r="AB520" s="166"/>
      <c r="AC520" s="166"/>
    </row>
    <row r="521" spans="24:29" ht="12.5">
      <c r="X521" s="254"/>
      <c r="Y521" s="166"/>
      <c r="Z521" s="166"/>
      <c r="AA521" s="166"/>
      <c r="AB521" s="166"/>
      <c r="AC521" s="166"/>
    </row>
    <row r="522" spans="24:29" ht="12.5">
      <c r="X522" s="254"/>
      <c r="Y522" s="166"/>
      <c r="Z522" s="166"/>
      <c r="AA522" s="166"/>
      <c r="AB522" s="166"/>
      <c r="AC522" s="166"/>
    </row>
    <row r="523" spans="24:29" ht="12.5">
      <c r="X523" s="254"/>
      <c r="Y523" s="166"/>
      <c r="Z523" s="166"/>
      <c r="AA523" s="166"/>
      <c r="AB523" s="166"/>
      <c r="AC523" s="166"/>
    </row>
    <row r="524" spans="24:29" ht="12.5">
      <c r="X524" s="254"/>
      <c r="Y524" s="166"/>
      <c r="Z524" s="166"/>
      <c r="AA524" s="166"/>
      <c r="AB524" s="166"/>
      <c r="AC524" s="166"/>
    </row>
    <row r="525" spans="24:29" ht="12.5">
      <c r="X525" s="254"/>
      <c r="Y525" s="166"/>
      <c r="Z525" s="166"/>
      <c r="AA525" s="166"/>
      <c r="AB525" s="166"/>
      <c r="AC525" s="166"/>
    </row>
    <row r="526" spans="24:29" ht="12.5">
      <c r="X526" s="254"/>
      <c r="Y526" s="166"/>
      <c r="Z526" s="166"/>
      <c r="AA526" s="166"/>
      <c r="AB526" s="166"/>
      <c r="AC526" s="166"/>
    </row>
    <row r="527" spans="24:29" ht="12.5">
      <c r="X527" s="254"/>
      <c r="Y527" s="166"/>
      <c r="Z527" s="166"/>
      <c r="AA527" s="166"/>
      <c r="AB527" s="166"/>
      <c r="AC527" s="166"/>
    </row>
    <row r="528" spans="24:29" ht="12.5">
      <c r="X528" s="254"/>
      <c r="Y528" s="166"/>
      <c r="Z528" s="166"/>
      <c r="AA528" s="166"/>
      <c r="AB528" s="166"/>
      <c r="AC528" s="166"/>
    </row>
    <row r="529" spans="24:29" ht="12.5">
      <c r="X529" s="254"/>
      <c r="Y529" s="166"/>
      <c r="Z529" s="166"/>
      <c r="AA529" s="166"/>
      <c r="AB529" s="166"/>
      <c r="AC529" s="166"/>
    </row>
    <row r="530" spans="24:29" ht="12.5">
      <c r="X530" s="254"/>
      <c r="Y530" s="166"/>
      <c r="Z530" s="166"/>
      <c r="AA530" s="166"/>
      <c r="AB530" s="166"/>
      <c r="AC530" s="166"/>
    </row>
    <row r="531" spans="24:29" ht="12.5">
      <c r="X531" s="254"/>
      <c r="Y531" s="166"/>
      <c r="Z531" s="166"/>
      <c r="AA531" s="166"/>
      <c r="AB531" s="166"/>
      <c r="AC531" s="166"/>
    </row>
    <row r="532" spans="24:29" ht="12.5">
      <c r="X532" s="254"/>
      <c r="Y532" s="166"/>
      <c r="Z532" s="166"/>
      <c r="AA532" s="166"/>
      <c r="AB532" s="166"/>
      <c r="AC532" s="166"/>
    </row>
    <row r="533" spans="24:29" ht="12.5">
      <c r="X533" s="254"/>
      <c r="Y533" s="166"/>
      <c r="Z533" s="166"/>
      <c r="AA533" s="166"/>
      <c r="AB533" s="166"/>
      <c r="AC533" s="166"/>
    </row>
    <row r="534" spans="24:29" ht="12.5">
      <c r="X534" s="254"/>
      <c r="Y534" s="166"/>
      <c r="Z534" s="166"/>
      <c r="AA534" s="166"/>
      <c r="AB534" s="166"/>
      <c r="AC534" s="166"/>
    </row>
    <row r="535" spans="24:29" ht="12.5">
      <c r="X535" s="254"/>
      <c r="Y535" s="166"/>
      <c r="Z535" s="166"/>
      <c r="AA535" s="166"/>
      <c r="AB535" s="166"/>
      <c r="AC535" s="166"/>
    </row>
    <row r="536" spans="24:29" ht="12.5">
      <c r="X536" s="254"/>
      <c r="Y536" s="166"/>
      <c r="Z536" s="166"/>
      <c r="AA536" s="166"/>
      <c r="AB536" s="166"/>
      <c r="AC536" s="166"/>
    </row>
    <row r="537" spans="24:29" ht="12.5">
      <c r="X537" s="254"/>
      <c r="Y537" s="166"/>
      <c r="Z537" s="166"/>
      <c r="AA537" s="166"/>
      <c r="AB537" s="166"/>
      <c r="AC537" s="166"/>
    </row>
    <row r="538" spans="24:29" ht="12.5">
      <c r="X538" s="254"/>
      <c r="Y538" s="166"/>
      <c r="Z538" s="166"/>
      <c r="AA538" s="166"/>
      <c r="AB538" s="166"/>
      <c r="AC538" s="166"/>
    </row>
    <row r="539" spans="24:29" ht="12.5">
      <c r="X539" s="254"/>
      <c r="Y539" s="166"/>
      <c r="Z539" s="166"/>
      <c r="AA539" s="166"/>
      <c r="AB539" s="166"/>
      <c r="AC539" s="166"/>
    </row>
    <row r="540" spans="24:29" ht="12.5">
      <c r="X540" s="254"/>
      <c r="Y540" s="166"/>
      <c r="Z540" s="166"/>
      <c r="AA540" s="166"/>
      <c r="AB540" s="166"/>
      <c r="AC540" s="166"/>
    </row>
    <row r="541" spans="24:29" ht="12.5">
      <c r="X541" s="254"/>
      <c r="Y541" s="166"/>
      <c r="Z541" s="166"/>
      <c r="AA541" s="166"/>
      <c r="AB541" s="166"/>
      <c r="AC541" s="166"/>
    </row>
    <row r="542" spans="24:29" ht="12.5">
      <c r="X542" s="254"/>
      <c r="Y542" s="166"/>
      <c r="Z542" s="166"/>
      <c r="AA542" s="166"/>
      <c r="AB542" s="166"/>
      <c r="AC542" s="166"/>
    </row>
    <row r="543" spans="24:29" ht="12.5">
      <c r="X543" s="254"/>
      <c r="Y543" s="166"/>
      <c r="Z543" s="166"/>
      <c r="AA543" s="166"/>
      <c r="AB543" s="166"/>
      <c r="AC543" s="166"/>
    </row>
    <row r="544" spans="24:29" ht="12.5">
      <c r="X544" s="254"/>
      <c r="Y544" s="166"/>
      <c r="Z544" s="166"/>
      <c r="AA544" s="166"/>
      <c r="AB544" s="166"/>
      <c r="AC544" s="166"/>
    </row>
    <row r="545" spans="24:29" ht="12.5">
      <c r="X545" s="254"/>
      <c r="Y545" s="166"/>
      <c r="Z545" s="166"/>
      <c r="AA545" s="166"/>
      <c r="AB545" s="166"/>
      <c r="AC545" s="166"/>
    </row>
    <row r="546" spans="24:29" ht="12.5">
      <c r="X546" s="254"/>
      <c r="Y546" s="166"/>
      <c r="Z546" s="166"/>
      <c r="AA546" s="166"/>
      <c r="AB546" s="166"/>
      <c r="AC546" s="166"/>
    </row>
    <row r="547" spans="24:29" ht="12.5">
      <c r="X547" s="254"/>
      <c r="Y547" s="166"/>
      <c r="Z547" s="166"/>
      <c r="AA547" s="166"/>
      <c r="AB547" s="166"/>
      <c r="AC547" s="166"/>
    </row>
    <row r="548" spans="24:29" ht="12.5">
      <c r="X548" s="254"/>
      <c r="Y548" s="166"/>
      <c r="Z548" s="166"/>
      <c r="AA548" s="166"/>
      <c r="AB548" s="166"/>
      <c r="AC548" s="166"/>
    </row>
    <row r="549" spans="24:29" ht="12.5">
      <c r="X549" s="254"/>
      <c r="Y549" s="166"/>
      <c r="Z549" s="166"/>
      <c r="AA549" s="166"/>
      <c r="AB549" s="166"/>
      <c r="AC549" s="166"/>
    </row>
    <row r="550" spans="24:29" ht="12.5">
      <c r="X550" s="254"/>
      <c r="Y550" s="166"/>
      <c r="Z550" s="166"/>
      <c r="AA550" s="166"/>
      <c r="AB550" s="166"/>
      <c r="AC550" s="166"/>
    </row>
    <row r="551" spans="24:29" ht="12.5">
      <c r="X551" s="254"/>
      <c r="Y551" s="166"/>
      <c r="Z551" s="166"/>
      <c r="AA551" s="166"/>
      <c r="AB551" s="166"/>
      <c r="AC551" s="166"/>
    </row>
    <row r="552" spans="24:29" ht="12.5">
      <c r="X552" s="254"/>
      <c r="Y552" s="166"/>
      <c r="Z552" s="166"/>
      <c r="AA552" s="166"/>
      <c r="AB552" s="166"/>
      <c r="AC552" s="166"/>
    </row>
    <row r="553" spans="24:29" ht="12.5">
      <c r="X553" s="254"/>
      <c r="Y553" s="166"/>
      <c r="Z553" s="166"/>
      <c r="AA553" s="166"/>
      <c r="AB553" s="166"/>
      <c r="AC553" s="166"/>
    </row>
    <row r="554" spans="24:29" ht="12.5">
      <c r="X554" s="254"/>
      <c r="Y554" s="166"/>
      <c r="Z554" s="166"/>
      <c r="AA554" s="166"/>
      <c r="AB554" s="166"/>
      <c r="AC554" s="166"/>
    </row>
    <row r="555" spans="24:29" ht="12.5">
      <c r="X555" s="254"/>
      <c r="Y555" s="166"/>
      <c r="Z555" s="166"/>
      <c r="AA555" s="166"/>
      <c r="AB555" s="166"/>
      <c r="AC555" s="166"/>
    </row>
    <row r="556" spans="24:29" ht="12.5">
      <c r="X556" s="254"/>
      <c r="Y556" s="166"/>
      <c r="Z556" s="166"/>
      <c r="AA556" s="166"/>
      <c r="AB556" s="166"/>
      <c r="AC556" s="166"/>
    </row>
    <row r="557" spans="24:29" ht="12.5">
      <c r="X557" s="254"/>
      <c r="Y557" s="166"/>
      <c r="Z557" s="166"/>
      <c r="AA557" s="166"/>
      <c r="AB557" s="166"/>
      <c r="AC557" s="166"/>
    </row>
    <row r="558" spans="24:29" ht="12.5">
      <c r="X558" s="254"/>
      <c r="Y558" s="166"/>
      <c r="Z558" s="166"/>
      <c r="AA558" s="166"/>
      <c r="AB558" s="166"/>
      <c r="AC558" s="166"/>
    </row>
    <row r="559" spans="24:29" ht="12.5">
      <c r="X559" s="254"/>
      <c r="Y559" s="166"/>
      <c r="Z559" s="166"/>
      <c r="AA559" s="166"/>
      <c r="AB559" s="166"/>
      <c r="AC559" s="166"/>
    </row>
    <row r="560" spans="24:29" ht="12.5">
      <c r="X560" s="254"/>
      <c r="Y560" s="166"/>
      <c r="Z560" s="166"/>
      <c r="AA560" s="166"/>
      <c r="AB560" s="166"/>
      <c r="AC560" s="166"/>
    </row>
    <row r="561" spans="24:29" ht="12.5">
      <c r="X561" s="254"/>
      <c r="Y561" s="166"/>
      <c r="Z561" s="166"/>
      <c r="AA561" s="166"/>
      <c r="AB561" s="166"/>
      <c r="AC561" s="166"/>
    </row>
    <row r="562" spans="24:29" ht="12.5">
      <c r="X562" s="254"/>
      <c r="Y562" s="166"/>
      <c r="Z562" s="166"/>
      <c r="AA562" s="166"/>
      <c r="AB562" s="166"/>
      <c r="AC562" s="166"/>
    </row>
    <row r="563" spans="24:29" ht="12.5">
      <c r="X563" s="254"/>
      <c r="Y563" s="166"/>
      <c r="Z563" s="166"/>
      <c r="AA563" s="166"/>
      <c r="AB563" s="166"/>
      <c r="AC563" s="166"/>
    </row>
    <row r="564" spans="24:29" ht="12.5">
      <c r="X564" s="254"/>
      <c r="Y564" s="166"/>
      <c r="Z564" s="166"/>
      <c r="AA564" s="166"/>
      <c r="AB564" s="166"/>
      <c r="AC564" s="166"/>
    </row>
    <row r="565" spans="24:29" ht="12.5">
      <c r="X565" s="254"/>
      <c r="Y565" s="166"/>
      <c r="Z565" s="166"/>
      <c r="AA565" s="166"/>
      <c r="AB565" s="166"/>
      <c r="AC565" s="166"/>
    </row>
    <row r="566" spans="24:29" ht="12.5">
      <c r="X566" s="254"/>
      <c r="Y566" s="166"/>
      <c r="Z566" s="166"/>
      <c r="AA566" s="166"/>
      <c r="AB566" s="166"/>
      <c r="AC566" s="166"/>
    </row>
    <row r="567" spans="24:29" ht="12.5">
      <c r="X567" s="254"/>
      <c r="Y567" s="166"/>
      <c r="Z567" s="166"/>
      <c r="AA567" s="166"/>
      <c r="AB567" s="166"/>
      <c r="AC567" s="166"/>
    </row>
    <row r="568" spans="24:29" ht="12.5">
      <c r="X568" s="254"/>
      <c r="Y568" s="166"/>
      <c r="Z568" s="166"/>
      <c r="AA568" s="166"/>
      <c r="AB568" s="166"/>
      <c r="AC568" s="166"/>
    </row>
    <row r="569" spans="24:29" ht="12.5">
      <c r="X569" s="254"/>
      <c r="Y569" s="166"/>
      <c r="Z569" s="166"/>
      <c r="AA569" s="166"/>
      <c r="AB569" s="166"/>
      <c r="AC569" s="166"/>
    </row>
    <row r="570" spans="24:29" ht="12.5">
      <c r="X570" s="254"/>
      <c r="Y570" s="166"/>
      <c r="Z570" s="166"/>
      <c r="AA570" s="166"/>
      <c r="AB570" s="166"/>
      <c r="AC570" s="166"/>
    </row>
    <row r="571" spans="24:29" ht="12.5">
      <c r="X571" s="254"/>
      <c r="Y571" s="166"/>
      <c r="Z571" s="166"/>
      <c r="AA571" s="166"/>
      <c r="AB571" s="166"/>
      <c r="AC571" s="166"/>
    </row>
    <row r="572" spans="24:29" ht="12.5">
      <c r="X572" s="254"/>
      <c r="Y572" s="166"/>
      <c r="Z572" s="166"/>
      <c r="AA572" s="166"/>
      <c r="AB572" s="166"/>
      <c r="AC572" s="166"/>
    </row>
    <row r="573" spans="24:29" ht="12.5">
      <c r="X573" s="254"/>
      <c r="Y573" s="166"/>
      <c r="Z573" s="166"/>
      <c r="AA573" s="166"/>
      <c r="AB573" s="166"/>
      <c r="AC573" s="166"/>
    </row>
    <row r="574" spans="24:29" ht="12.5">
      <c r="X574" s="254"/>
      <c r="Y574" s="166"/>
      <c r="Z574" s="166"/>
      <c r="AA574" s="166"/>
      <c r="AB574" s="166"/>
      <c r="AC574" s="166"/>
    </row>
    <row r="575" spans="24:29" ht="12.5">
      <c r="X575" s="254"/>
      <c r="Y575" s="166"/>
      <c r="Z575" s="166"/>
      <c r="AA575" s="166"/>
      <c r="AB575" s="166"/>
      <c r="AC575" s="166"/>
    </row>
    <row r="576" spans="24:29" ht="12.5">
      <c r="X576" s="254"/>
      <c r="Y576" s="166"/>
      <c r="Z576" s="166"/>
      <c r="AA576" s="166"/>
      <c r="AB576" s="166"/>
      <c r="AC576" s="166"/>
    </row>
    <row r="577" spans="24:29" ht="12.5">
      <c r="X577" s="254"/>
      <c r="Y577" s="166"/>
      <c r="Z577" s="166"/>
      <c r="AA577" s="166"/>
      <c r="AB577" s="166"/>
      <c r="AC577" s="166"/>
    </row>
    <row r="578" spans="24:29" ht="12.5">
      <c r="X578" s="254"/>
      <c r="Y578" s="166"/>
      <c r="Z578" s="166"/>
      <c r="AA578" s="166"/>
      <c r="AB578" s="166"/>
      <c r="AC578" s="166"/>
    </row>
    <row r="579" spans="24:29" ht="12.5">
      <c r="X579" s="254"/>
      <c r="Y579" s="166"/>
      <c r="Z579" s="166"/>
      <c r="AA579" s="166"/>
      <c r="AB579" s="166"/>
      <c r="AC579" s="166"/>
    </row>
    <row r="580" spans="24:29" ht="12.5">
      <c r="X580" s="254"/>
      <c r="Y580" s="166"/>
      <c r="Z580" s="166"/>
      <c r="AA580" s="166"/>
      <c r="AB580" s="166"/>
      <c r="AC580" s="166"/>
    </row>
    <row r="581" spans="24:29" ht="12.5">
      <c r="X581" s="254"/>
      <c r="Y581" s="166"/>
      <c r="Z581" s="166"/>
      <c r="AA581" s="166"/>
      <c r="AB581" s="166"/>
      <c r="AC581" s="166"/>
    </row>
    <row r="582" spans="24:29" ht="12.5">
      <c r="X582" s="254"/>
      <c r="Y582" s="166"/>
      <c r="Z582" s="166"/>
      <c r="AA582" s="166"/>
      <c r="AB582" s="166"/>
      <c r="AC582" s="166"/>
    </row>
    <row r="583" spans="24:29" ht="12.5">
      <c r="X583" s="254"/>
      <c r="Y583" s="166"/>
      <c r="Z583" s="166"/>
      <c r="AA583" s="166"/>
      <c r="AB583" s="166"/>
      <c r="AC583" s="166"/>
    </row>
    <row r="584" spans="24:29" ht="12.5">
      <c r="X584" s="254"/>
      <c r="Y584" s="166"/>
      <c r="Z584" s="166"/>
      <c r="AA584" s="166"/>
      <c r="AB584" s="166"/>
      <c r="AC584" s="166"/>
    </row>
    <row r="585" spans="24:29" ht="12.5">
      <c r="X585" s="254"/>
      <c r="Y585" s="166"/>
      <c r="Z585" s="166"/>
      <c r="AA585" s="166"/>
      <c r="AB585" s="166"/>
      <c r="AC585" s="166"/>
    </row>
    <row r="586" spans="24:29" ht="12.5">
      <c r="X586" s="254"/>
      <c r="Y586" s="166"/>
      <c r="Z586" s="166"/>
      <c r="AA586" s="166"/>
      <c r="AB586" s="166"/>
      <c r="AC586" s="166"/>
    </row>
    <row r="587" spans="24:29" ht="12.5">
      <c r="X587" s="254"/>
      <c r="Y587" s="166"/>
      <c r="Z587" s="166"/>
      <c r="AA587" s="166"/>
      <c r="AB587" s="166"/>
      <c r="AC587" s="166"/>
    </row>
    <row r="588" spans="24:29" ht="12.5">
      <c r="X588" s="254"/>
      <c r="Y588" s="166"/>
      <c r="Z588" s="166"/>
      <c r="AA588" s="166"/>
      <c r="AB588" s="166"/>
      <c r="AC588" s="166"/>
    </row>
    <row r="589" spans="24:29" ht="12.5">
      <c r="X589" s="254"/>
      <c r="Y589" s="166"/>
      <c r="Z589" s="166"/>
      <c r="AA589" s="166"/>
      <c r="AB589" s="166"/>
      <c r="AC589" s="166"/>
    </row>
    <row r="590" spans="24:29" ht="12.5">
      <c r="X590" s="254"/>
      <c r="Y590" s="166"/>
      <c r="Z590" s="166"/>
      <c r="AA590" s="166"/>
      <c r="AB590" s="166"/>
      <c r="AC590" s="166"/>
    </row>
    <row r="591" spans="24:29" ht="12.5">
      <c r="X591" s="254"/>
      <c r="Y591" s="166"/>
      <c r="Z591" s="166"/>
      <c r="AA591" s="166"/>
      <c r="AB591" s="166"/>
      <c r="AC591" s="166"/>
    </row>
    <row r="592" spans="24:29" ht="12.5">
      <c r="X592" s="254"/>
      <c r="Y592" s="166"/>
      <c r="Z592" s="166"/>
      <c r="AA592" s="166"/>
      <c r="AB592" s="166"/>
      <c r="AC592" s="166"/>
    </row>
    <row r="593" spans="24:29" ht="12.5">
      <c r="X593" s="254"/>
      <c r="Y593" s="166"/>
      <c r="Z593" s="166"/>
      <c r="AA593" s="166"/>
      <c r="AB593" s="166"/>
      <c r="AC593" s="166"/>
    </row>
    <row r="594" spans="24:29" ht="12.5">
      <c r="X594" s="254"/>
      <c r="Y594" s="166"/>
      <c r="Z594" s="166"/>
      <c r="AA594" s="166"/>
      <c r="AB594" s="166"/>
      <c r="AC594" s="166"/>
    </row>
    <row r="595" spans="24:29" ht="12.5">
      <c r="X595" s="254"/>
      <c r="Y595" s="166"/>
      <c r="Z595" s="166"/>
      <c r="AA595" s="166"/>
      <c r="AB595" s="166"/>
      <c r="AC595" s="166"/>
    </row>
    <row r="596" spans="24:29" ht="12.5">
      <c r="X596" s="254"/>
      <c r="Y596" s="166"/>
      <c r="Z596" s="166"/>
      <c r="AA596" s="166"/>
      <c r="AB596" s="166"/>
      <c r="AC596" s="166"/>
    </row>
    <row r="597" spans="24:29" ht="12.5">
      <c r="X597" s="254"/>
      <c r="Y597" s="166"/>
      <c r="Z597" s="166"/>
      <c r="AA597" s="166"/>
      <c r="AB597" s="166"/>
      <c r="AC597" s="166"/>
    </row>
    <row r="598" spans="24:29" ht="12.5">
      <c r="X598" s="254"/>
      <c r="Y598" s="166"/>
      <c r="Z598" s="166"/>
      <c r="AA598" s="166"/>
      <c r="AB598" s="166"/>
      <c r="AC598" s="166"/>
    </row>
    <row r="599" spans="24:29" ht="12.5">
      <c r="X599" s="254"/>
      <c r="Y599" s="166"/>
      <c r="Z599" s="166"/>
      <c r="AA599" s="166"/>
      <c r="AB599" s="166"/>
      <c r="AC599" s="166"/>
    </row>
    <row r="600" spans="24:29" ht="12.5">
      <c r="X600" s="254"/>
      <c r="Y600" s="166"/>
      <c r="Z600" s="166"/>
      <c r="AA600" s="166"/>
      <c r="AB600" s="166"/>
      <c r="AC600" s="166"/>
    </row>
    <row r="601" spans="24:29" ht="12.5">
      <c r="X601" s="254"/>
      <c r="Y601" s="166"/>
      <c r="Z601" s="166"/>
      <c r="AA601" s="166"/>
      <c r="AB601" s="166"/>
      <c r="AC601" s="166"/>
    </row>
    <row r="602" spans="24:29" ht="12.5">
      <c r="X602" s="254"/>
      <c r="Y602" s="166"/>
      <c r="Z602" s="166"/>
      <c r="AA602" s="166"/>
      <c r="AB602" s="166"/>
      <c r="AC602" s="166"/>
    </row>
    <row r="603" spans="24:29" ht="12.5">
      <c r="X603" s="254"/>
      <c r="Y603" s="166"/>
      <c r="Z603" s="166"/>
      <c r="AA603" s="166"/>
      <c r="AB603" s="166"/>
      <c r="AC603" s="166"/>
    </row>
    <row r="604" spans="24:29" ht="12.5">
      <c r="X604" s="254"/>
      <c r="Y604" s="166"/>
      <c r="Z604" s="166"/>
      <c r="AA604" s="166"/>
      <c r="AB604" s="166"/>
      <c r="AC604" s="166"/>
    </row>
    <row r="605" spans="24:29" ht="12.5">
      <c r="X605" s="254"/>
      <c r="Y605" s="166"/>
      <c r="Z605" s="166"/>
      <c r="AA605" s="166"/>
      <c r="AB605" s="166"/>
      <c r="AC605" s="166"/>
    </row>
    <row r="606" spans="24:29" ht="12.5">
      <c r="X606" s="254"/>
      <c r="Y606" s="166"/>
      <c r="Z606" s="166"/>
      <c r="AA606" s="166"/>
      <c r="AB606" s="166"/>
      <c r="AC606" s="166"/>
    </row>
    <row r="607" spans="24:29" ht="12.5">
      <c r="X607" s="254"/>
      <c r="Y607" s="166"/>
      <c r="Z607" s="166"/>
      <c r="AA607" s="166"/>
      <c r="AB607" s="166"/>
      <c r="AC607" s="166"/>
    </row>
    <row r="608" spans="24:29" ht="12.5">
      <c r="X608" s="254"/>
      <c r="Y608" s="166"/>
      <c r="Z608" s="166"/>
      <c r="AA608" s="166"/>
      <c r="AB608" s="166"/>
      <c r="AC608" s="166"/>
    </row>
    <row r="609" spans="24:29" ht="12.5">
      <c r="X609" s="254"/>
      <c r="Y609" s="166"/>
      <c r="Z609" s="166"/>
      <c r="AA609" s="166"/>
      <c r="AB609" s="166"/>
      <c r="AC609" s="166"/>
    </row>
    <row r="610" spans="24:29" ht="12.5">
      <c r="X610" s="254"/>
      <c r="Y610" s="166"/>
      <c r="Z610" s="166"/>
      <c r="AA610" s="166"/>
      <c r="AB610" s="166"/>
      <c r="AC610" s="166"/>
    </row>
    <row r="611" spans="24:29" ht="12.5">
      <c r="X611" s="254"/>
      <c r="Y611" s="166"/>
      <c r="Z611" s="166"/>
      <c r="AA611" s="166"/>
      <c r="AB611" s="166"/>
      <c r="AC611" s="166"/>
    </row>
    <row r="612" spans="24:29" ht="12.5">
      <c r="X612" s="254"/>
      <c r="Y612" s="166"/>
      <c r="Z612" s="166"/>
      <c r="AA612" s="166"/>
      <c r="AB612" s="166"/>
      <c r="AC612" s="166"/>
    </row>
    <row r="613" spans="24:29" ht="12.5">
      <c r="X613" s="254"/>
      <c r="Y613" s="166"/>
      <c r="Z613" s="166"/>
      <c r="AA613" s="166"/>
      <c r="AB613" s="166"/>
      <c r="AC613" s="166"/>
    </row>
    <row r="614" spans="24:29" ht="12.5">
      <c r="X614" s="254"/>
      <c r="Y614" s="166"/>
      <c r="Z614" s="166"/>
      <c r="AA614" s="166"/>
      <c r="AB614" s="166"/>
      <c r="AC614" s="166"/>
    </row>
    <row r="615" spans="24:29" ht="12.5">
      <c r="X615" s="254"/>
      <c r="Y615" s="166"/>
      <c r="Z615" s="166"/>
      <c r="AA615" s="166"/>
      <c r="AB615" s="166"/>
      <c r="AC615" s="166"/>
    </row>
    <row r="616" spans="24:29" ht="12.5">
      <c r="X616" s="254"/>
      <c r="Y616" s="166"/>
      <c r="Z616" s="166"/>
      <c r="AA616" s="166"/>
      <c r="AB616" s="166"/>
      <c r="AC616" s="166"/>
    </row>
    <row r="617" spans="24:29" ht="12.5">
      <c r="X617" s="254"/>
      <c r="Y617" s="166"/>
      <c r="Z617" s="166"/>
      <c r="AA617" s="166"/>
      <c r="AB617" s="166"/>
      <c r="AC617" s="166"/>
    </row>
    <row r="618" spans="24:29" ht="12.5">
      <c r="X618" s="254"/>
      <c r="Y618" s="166"/>
      <c r="Z618" s="166"/>
      <c r="AA618" s="166"/>
      <c r="AB618" s="166"/>
      <c r="AC618" s="166"/>
    </row>
    <row r="619" spans="24:29" ht="12.5">
      <c r="X619" s="254"/>
      <c r="Y619" s="166"/>
      <c r="Z619" s="166"/>
      <c r="AA619" s="166"/>
      <c r="AB619" s="166"/>
      <c r="AC619" s="166"/>
    </row>
    <row r="620" spans="24:29" ht="12.5">
      <c r="X620" s="254"/>
      <c r="Y620" s="166"/>
      <c r="Z620" s="166"/>
      <c r="AA620" s="166"/>
      <c r="AB620" s="166"/>
      <c r="AC620" s="166"/>
    </row>
    <row r="621" spans="24:29" ht="12.5">
      <c r="X621" s="254"/>
      <c r="Y621" s="166"/>
      <c r="Z621" s="166"/>
      <c r="AA621" s="166"/>
      <c r="AB621" s="166"/>
      <c r="AC621" s="166"/>
    </row>
    <row r="622" spans="24:29" ht="12.5">
      <c r="X622" s="254"/>
      <c r="Y622" s="166"/>
      <c r="Z622" s="166"/>
      <c r="AA622" s="166"/>
      <c r="AB622" s="166"/>
      <c r="AC622" s="166"/>
    </row>
    <row r="623" spans="24:29" ht="12.5">
      <c r="X623" s="254"/>
      <c r="Y623" s="166"/>
      <c r="Z623" s="166"/>
      <c r="AA623" s="166"/>
      <c r="AB623" s="166"/>
      <c r="AC623" s="166"/>
    </row>
    <row r="624" spans="24:29" ht="12.5">
      <c r="X624" s="254"/>
      <c r="Y624" s="166"/>
      <c r="Z624" s="166"/>
      <c r="AA624" s="166"/>
      <c r="AB624" s="166"/>
      <c r="AC624" s="166"/>
    </row>
    <row r="625" spans="24:29" ht="12.5">
      <c r="X625" s="254"/>
      <c r="Y625" s="166"/>
      <c r="Z625" s="166"/>
      <c r="AA625" s="166"/>
      <c r="AB625" s="166"/>
      <c r="AC625" s="166"/>
    </row>
    <row r="626" spans="24:29" ht="12.5">
      <c r="X626" s="254"/>
      <c r="Y626" s="166"/>
      <c r="Z626" s="166"/>
      <c r="AA626" s="166"/>
      <c r="AB626" s="166"/>
      <c r="AC626" s="166"/>
    </row>
    <row r="627" spans="24:29" ht="12.5">
      <c r="X627" s="254"/>
      <c r="Y627" s="166"/>
      <c r="Z627" s="166"/>
      <c r="AA627" s="166"/>
      <c r="AB627" s="166"/>
      <c r="AC627" s="166"/>
    </row>
    <row r="628" spans="24:29" ht="12.5">
      <c r="X628" s="254"/>
      <c r="Y628" s="166"/>
      <c r="Z628" s="166"/>
      <c r="AA628" s="166"/>
      <c r="AB628" s="166"/>
      <c r="AC628" s="166"/>
    </row>
    <row r="629" spans="24:29" ht="12.5">
      <c r="X629" s="254"/>
      <c r="Y629" s="166"/>
      <c r="Z629" s="166"/>
      <c r="AA629" s="166"/>
      <c r="AB629" s="166"/>
      <c r="AC629" s="166"/>
    </row>
    <row r="630" spans="24:29" ht="12.5">
      <c r="X630" s="254"/>
      <c r="Y630" s="166"/>
      <c r="Z630" s="166"/>
      <c r="AA630" s="166"/>
      <c r="AB630" s="166"/>
      <c r="AC630" s="166"/>
    </row>
    <row r="631" spans="24:29" ht="12.5">
      <c r="X631" s="254"/>
      <c r="Y631" s="166"/>
      <c r="Z631" s="166"/>
      <c r="AA631" s="166"/>
      <c r="AB631" s="166"/>
      <c r="AC631" s="166"/>
    </row>
    <row r="632" spans="24:29" ht="12.5">
      <c r="X632" s="254"/>
      <c r="Y632" s="166"/>
      <c r="Z632" s="166"/>
      <c r="AA632" s="166"/>
      <c r="AB632" s="166"/>
      <c r="AC632" s="166"/>
    </row>
    <row r="633" spans="24:29" ht="12.5">
      <c r="X633" s="254"/>
      <c r="Y633" s="166"/>
      <c r="Z633" s="166"/>
      <c r="AA633" s="166"/>
      <c r="AB633" s="166"/>
      <c r="AC633" s="166"/>
    </row>
    <row r="634" spans="24:29" ht="12.5">
      <c r="X634" s="254"/>
      <c r="Y634" s="166"/>
      <c r="Z634" s="166"/>
      <c r="AA634" s="166"/>
      <c r="AB634" s="166"/>
      <c r="AC634" s="166"/>
    </row>
    <row r="635" spans="24:29" ht="12.5">
      <c r="X635" s="254"/>
      <c r="Y635" s="166"/>
      <c r="Z635" s="166"/>
      <c r="AA635" s="166"/>
      <c r="AB635" s="166"/>
      <c r="AC635" s="166"/>
    </row>
    <row r="636" spans="24:29" ht="12.5">
      <c r="X636" s="254"/>
      <c r="Y636" s="166"/>
      <c r="Z636" s="166"/>
      <c r="AA636" s="166"/>
      <c r="AB636" s="166"/>
      <c r="AC636" s="166"/>
    </row>
    <row r="637" spans="24:29" ht="12.5">
      <c r="X637" s="254"/>
      <c r="Y637" s="166"/>
      <c r="Z637" s="166"/>
      <c r="AA637" s="166"/>
      <c r="AB637" s="166"/>
      <c r="AC637" s="166"/>
    </row>
    <row r="638" spans="24:29" ht="12.5">
      <c r="X638" s="254"/>
      <c r="Y638" s="166"/>
      <c r="Z638" s="166"/>
      <c r="AA638" s="166"/>
      <c r="AB638" s="166"/>
      <c r="AC638" s="166"/>
    </row>
    <row r="639" spans="24:29" ht="12.5">
      <c r="X639" s="254"/>
      <c r="Y639" s="166"/>
      <c r="Z639" s="166"/>
      <c r="AA639" s="166"/>
      <c r="AB639" s="166"/>
      <c r="AC639" s="166"/>
    </row>
    <row r="640" spans="24:29" ht="12.5">
      <c r="X640" s="254"/>
      <c r="Y640" s="166"/>
      <c r="Z640" s="166"/>
      <c r="AA640" s="166"/>
      <c r="AB640" s="166"/>
      <c r="AC640" s="166"/>
    </row>
    <row r="641" spans="24:29" ht="12.5">
      <c r="X641" s="254"/>
      <c r="Y641" s="166"/>
      <c r="Z641" s="166"/>
      <c r="AA641" s="166"/>
      <c r="AB641" s="166"/>
      <c r="AC641" s="166"/>
    </row>
    <row r="642" spans="24:29" ht="12.5">
      <c r="X642" s="254"/>
      <c r="Y642" s="166"/>
      <c r="Z642" s="166"/>
      <c r="AA642" s="166"/>
      <c r="AB642" s="166"/>
      <c r="AC642" s="166"/>
    </row>
    <row r="643" spans="24:29" ht="12.5">
      <c r="X643" s="254"/>
      <c r="Y643" s="166"/>
      <c r="Z643" s="166"/>
      <c r="AA643" s="166"/>
      <c r="AB643" s="166"/>
      <c r="AC643" s="166"/>
    </row>
    <row r="644" spans="24:29" ht="12.5">
      <c r="X644" s="254"/>
      <c r="Y644" s="166"/>
      <c r="Z644" s="166"/>
      <c r="AA644" s="166"/>
      <c r="AB644" s="166"/>
      <c r="AC644" s="166"/>
    </row>
    <row r="645" spans="24:29" ht="12.5">
      <c r="X645" s="254"/>
      <c r="Y645" s="166"/>
      <c r="Z645" s="166"/>
      <c r="AA645" s="166"/>
      <c r="AB645" s="166"/>
      <c r="AC645" s="166"/>
    </row>
    <row r="646" spans="24:29" ht="12.5">
      <c r="X646" s="254"/>
      <c r="Y646" s="166"/>
      <c r="Z646" s="166"/>
      <c r="AA646" s="166"/>
      <c r="AB646" s="166"/>
      <c r="AC646" s="166"/>
    </row>
    <row r="647" spans="24:29" ht="12.5">
      <c r="X647" s="254"/>
      <c r="Y647" s="166"/>
      <c r="Z647" s="166"/>
      <c r="AA647" s="166"/>
      <c r="AB647" s="166"/>
      <c r="AC647" s="166"/>
    </row>
    <row r="648" spans="24:29" ht="12.5">
      <c r="X648" s="254"/>
      <c r="Y648" s="166"/>
      <c r="Z648" s="166"/>
      <c r="AA648" s="166"/>
      <c r="AB648" s="166"/>
      <c r="AC648" s="166"/>
    </row>
    <row r="649" spans="24:29" ht="12.5">
      <c r="X649" s="254"/>
      <c r="Y649" s="166"/>
      <c r="Z649" s="166"/>
      <c r="AA649" s="166"/>
      <c r="AB649" s="166"/>
      <c r="AC649" s="166"/>
    </row>
    <row r="650" spans="24:29" ht="12.5">
      <c r="X650" s="254"/>
      <c r="Y650" s="166"/>
      <c r="Z650" s="166"/>
      <c r="AA650" s="166"/>
      <c r="AB650" s="166"/>
      <c r="AC650" s="166"/>
    </row>
    <row r="651" spans="24:29" ht="12.5">
      <c r="X651" s="254"/>
      <c r="Y651" s="166"/>
      <c r="Z651" s="166"/>
      <c r="AA651" s="166"/>
      <c r="AB651" s="166"/>
      <c r="AC651" s="166"/>
    </row>
    <row r="652" spans="24:29" ht="12.5">
      <c r="X652" s="254"/>
      <c r="Y652" s="166"/>
      <c r="Z652" s="166"/>
      <c r="AA652" s="166"/>
      <c r="AB652" s="166"/>
      <c r="AC652" s="166"/>
    </row>
    <row r="653" spans="24:29" ht="12.5">
      <c r="X653" s="254"/>
      <c r="Y653" s="166"/>
      <c r="Z653" s="166"/>
      <c r="AA653" s="166"/>
      <c r="AB653" s="166"/>
      <c r="AC653" s="166"/>
    </row>
    <row r="654" spans="24:29" ht="12.5">
      <c r="X654" s="254"/>
      <c r="Y654" s="166"/>
      <c r="Z654" s="166"/>
      <c r="AA654" s="166"/>
      <c r="AB654" s="166"/>
      <c r="AC654" s="166"/>
    </row>
    <row r="655" spans="24:29" ht="12.5">
      <c r="X655" s="254"/>
      <c r="Y655" s="166"/>
      <c r="Z655" s="166"/>
      <c r="AA655" s="166"/>
      <c r="AB655" s="166"/>
      <c r="AC655" s="166"/>
    </row>
    <row r="656" spans="24:29" ht="12.5">
      <c r="X656" s="254"/>
      <c r="Y656" s="166"/>
      <c r="Z656" s="166"/>
      <c r="AA656" s="166"/>
      <c r="AB656" s="166"/>
      <c r="AC656" s="166"/>
    </row>
    <row r="657" spans="24:29" ht="12.5">
      <c r="X657" s="254"/>
      <c r="Y657" s="166"/>
      <c r="Z657" s="166"/>
      <c r="AA657" s="166"/>
      <c r="AB657" s="166"/>
      <c r="AC657" s="166"/>
    </row>
    <row r="658" spans="24:29" ht="12.5">
      <c r="X658" s="254"/>
      <c r="Y658" s="166"/>
      <c r="Z658" s="166"/>
      <c r="AA658" s="166"/>
      <c r="AB658" s="166"/>
      <c r="AC658" s="166"/>
    </row>
    <row r="659" spans="24:29" ht="12.5">
      <c r="X659" s="254"/>
      <c r="Y659" s="166"/>
      <c r="Z659" s="166"/>
      <c r="AA659" s="166"/>
      <c r="AB659" s="166"/>
      <c r="AC659" s="166"/>
    </row>
    <row r="660" spans="24:29" ht="12.5">
      <c r="X660" s="254"/>
      <c r="Y660" s="166"/>
      <c r="Z660" s="166"/>
      <c r="AA660" s="166"/>
      <c r="AB660" s="166"/>
      <c r="AC660" s="166"/>
    </row>
    <row r="661" spans="24:29" ht="12.5">
      <c r="X661" s="254"/>
      <c r="Y661" s="166"/>
      <c r="Z661" s="166"/>
      <c r="AA661" s="166"/>
      <c r="AB661" s="166"/>
      <c r="AC661" s="166"/>
    </row>
    <row r="662" spans="24:29" ht="12.5">
      <c r="X662" s="254"/>
      <c r="Y662" s="166"/>
      <c r="Z662" s="166"/>
      <c r="AA662" s="166"/>
      <c r="AB662" s="166"/>
      <c r="AC662" s="166"/>
    </row>
    <row r="663" spans="24:29" ht="12.5">
      <c r="X663" s="254"/>
      <c r="Y663" s="166"/>
      <c r="Z663" s="166"/>
      <c r="AA663" s="166"/>
      <c r="AB663" s="166"/>
      <c r="AC663" s="166"/>
    </row>
    <row r="664" spans="24:29" ht="12.5">
      <c r="X664" s="254"/>
      <c r="Y664" s="166"/>
      <c r="Z664" s="166"/>
      <c r="AA664" s="166"/>
      <c r="AB664" s="166"/>
      <c r="AC664" s="166"/>
    </row>
    <row r="665" spans="24:29" ht="12.5">
      <c r="X665" s="254"/>
      <c r="Y665" s="166"/>
      <c r="Z665" s="166"/>
      <c r="AA665" s="166"/>
      <c r="AB665" s="166"/>
      <c r="AC665" s="166"/>
    </row>
    <row r="666" spans="24:29" ht="12.5">
      <c r="X666" s="254"/>
      <c r="Y666" s="166"/>
      <c r="Z666" s="166"/>
      <c r="AA666" s="166"/>
      <c r="AB666" s="166"/>
      <c r="AC666" s="166"/>
    </row>
    <row r="667" spans="24:29" ht="12.5">
      <c r="X667" s="254"/>
      <c r="Y667" s="166"/>
      <c r="Z667" s="166"/>
      <c r="AA667" s="166"/>
      <c r="AB667" s="166"/>
      <c r="AC667" s="166"/>
    </row>
    <row r="668" spans="24:29" ht="12.5">
      <c r="X668" s="254"/>
      <c r="Y668" s="166"/>
      <c r="Z668" s="166"/>
      <c r="AA668" s="166"/>
      <c r="AB668" s="166"/>
      <c r="AC668" s="166"/>
    </row>
    <row r="669" spans="24:29" ht="12.5">
      <c r="X669" s="254"/>
      <c r="Y669" s="166"/>
      <c r="Z669" s="166"/>
      <c r="AA669" s="166"/>
      <c r="AB669" s="166"/>
      <c r="AC669" s="166"/>
    </row>
    <row r="670" spans="24:29" ht="12.5">
      <c r="X670" s="254"/>
      <c r="Y670" s="166"/>
      <c r="Z670" s="166"/>
      <c r="AA670" s="166"/>
      <c r="AB670" s="166"/>
      <c r="AC670" s="166"/>
    </row>
    <row r="671" spans="24:29" ht="12.5">
      <c r="X671" s="254"/>
      <c r="Y671" s="166"/>
      <c r="Z671" s="166"/>
      <c r="AA671" s="166"/>
      <c r="AB671" s="166"/>
      <c r="AC671" s="166"/>
    </row>
    <row r="672" spans="24:29" ht="12.5">
      <c r="X672" s="254"/>
      <c r="Y672" s="166"/>
      <c r="Z672" s="166"/>
      <c r="AA672" s="166"/>
      <c r="AB672" s="166"/>
      <c r="AC672" s="166"/>
    </row>
    <row r="673" spans="24:29" ht="12.5">
      <c r="X673" s="254"/>
      <c r="Y673" s="166"/>
      <c r="Z673" s="166"/>
      <c r="AA673" s="166"/>
      <c r="AB673" s="166"/>
      <c r="AC673" s="166"/>
    </row>
    <row r="674" spans="24:29" ht="12.5">
      <c r="X674" s="254"/>
      <c r="Y674" s="166"/>
      <c r="Z674" s="166"/>
      <c r="AA674" s="166"/>
      <c r="AB674" s="166"/>
      <c r="AC674" s="166"/>
    </row>
    <row r="675" spans="24:29" ht="12.5">
      <c r="X675" s="254"/>
      <c r="Y675" s="166"/>
      <c r="Z675" s="166"/>
      <c r="AA675" s="166"/>
      <c r="AB675" s="166"/>
      <c r="AC675" s="166"/>
    </row>
    <row r="676" spans="24:29" ht="12.5">
      <c r="X676" s="254"/>
      <c r="Y676" s="166"/>
      <c r="Z676" s="166"/>
      <c r="AA676" s="166"/>
      <c r="AB676" s="166"/>
      <c r="AC676" s="166"/>
    </row>
    <row r="677" spans="24:29" ht="12.5">
      <c r="X677" s="254"/>
      <c r="Y677" s="166"/>
      <c r="Z677" s="166"/>
      <c r="AA677" s="166"/>
      <c r="AB677" s="166"/>
      <c r="AC677" s="166"/>
    </row>
    <row r="678" spans="24:29" ht="12.5">
      <c r="X678" s="254"/>
      <c r="Y678" s="166"/>
      <c r="Z678" s="166"/>
      <c r="AA678" s="166"/>
      <c r="AB678" s="166"/>
      <c r="AC678" s="166"/>
    </row>
    <row r="679" spans="24:29" ht="12.5">
      <c r="X679" s="254"/>
      <c r="Y679" s="166"/>
      <c r="Z679" s="166"/>
      <c r="AA679" s="166"/>
      <c r="AB679" s="166"/>
      <c r="AC679" s="166"/>
    </row>
    <row r="680" spans="24:29" ht="12.5">
      <c r="X680" s="254"/>
      <c r="Y680" s="166"/>
      <c r="Z680" s="166"/>
      <c r="AA680" s="166"/>
      <c r="AB680" s="166"/>
      <c r="AC680" s="166"/>
    </row>
    <row r="681" spans="24:29" ht="12.5">
      <c r="X681" s="254"/>
      <c r="Y681" s="166"/>
      <c r="Z681" s="166"/>
      <c r="AA681" s="166"/>
      <c r="AB681" s="166"/>
      <c r="AC681" s="166"/>
    </row>
    <row r="682" spans="24:29" ht="12.5">
      <c r="X682" s="254"/>
      <c r="Y682" s="166"/>
      <c r="Z682" s="166"/>
      <c r="AA682" s="166"/>
      <c r="AB682" s="166"/>
      <c r="AC682" s="166"/>
    </row>
    <row r="683" spans="24:29" ht="12.5">
      <c r="X683" s="254"/>
      <c r="Y683" s="166"/>
      <c r="Z683" s="166"/>
      <c r="AA683" s="166"/>
      <c r="AB683" s="166"/>
      <c r="AC683" s="166"/>
    </row>
    <row r="684" spans="24:29" ht="12.5">
      <c r="X684" s="254"/>
      <c r="Y684" s="166"/>
      <c r="Z684" s="166"/>
      <c r="AA684" s="166"/>
      <c r="AB684" s="166"/>
      <c r="AC684" s="166"/>
    </row>
    <row r="685" spans="24:29" ht="12.5">
      <c r="X685" s="254"/>
      <c r="Y685" s="166"/>
      <c r="Z685" s="166"/>
      <c r="AA685" s="166"/>
      <c r="AB685" s="166"/>
      <c r="AC685" s="166"/>
    </row>
    <row r="686" spans="24:29" ht="12.5">
      <c r="X686" s="254"/>
      <c r="Y686" s="166"/>
      <c r="Z686" s="166"/>
      <c r="AA686" s="166"/>
      <c r="AB686" s="166"/>
      <c r="AC686" s="166"/>
    </row>
    <row r="687" spans="24:29" ht="12.5">
      <c r="X687" s="254"/>
      <c r="Y687" s="166"/>
      <c r="Z687" s="166"/>
      <c r="AA687" s="166"/>
      <c r="AB687" s="166"/>
      <c r="AC687" s="166"/>
    </row>
    <row r="688" spans="24:29" ht="12.5">
      <c r="X688" s="254"/>
      <c r="Y688" s="166"/>
      <c r="Z688" s="166"/>
      <c r="AA688" s="166"/>
      <c r="AB688" s="166"/>
      <c r="AC688" s="166"/>
    </row>
    <row r="689" spans="24:29" ht="12.5">
      <c r="X689" s="254"/>
      <c r="Y689" s="166"/>
      <c r="Z689" s="166"/>
      <c r="AA689" s="166"/>
      <c r="AB689" s="166"/>
      <c r="AC689" s="166"/>
    </row>
    <row r="690" spans="24:29" ht="12.5">
      <c r="X690" s="254"/>
      <c r="Y690" s="166"/>
      <c r="Z690" s="166"/>
      <c r="AA690" s="166"/>
      <c r="AB690" s="166"/>
      <c r="AC690" s="166"/>
    </row>
    <row r="691" spans="24:29" ht="12.5">
      <c r="X691" s="254"/>
      <c r="Y691" s="166"/>
      <c r="Z691" s="166"/>
      <c r="AA691" s="166"/>
      <c r="AB691" s="166"/>
      <c r="AC691" s="166"/>
    </row>
    <row r="692" spans="24:29" ht="12.5">
      <c r="X692" s="254"/>
      <c r="Y692" s="166"/>
      <c r="Z692" s="166"/>
      <c r="AA692" s="166"/>
      <c r="AB692" s="166"/>
      <c r="AC692" s="166"/>
    </row>
    <row r="693" spans="24:29" ht="12.5">
      <c r="X693" s="254"/>
      <c r="Y693" s="166"/>
      <c r="Z693" s="166"/>
      <c r="AA693" s="166"/>
      <c r="AB693" s="166"/>
      <c r="AC693" s="166"/>
    </row>
    <row r="694" spans="24:29" ht="12.5">
      <c r="X694" s="254"/>
      <c r="Y694" s="166"/>
      <c r="Z694" s="166"/>
      <c r="AA694" s="166"/>
      <c r="AB694" s="166"/>
      <c r="AC694" s="166"/>
    </row>
    <row r="695" spans="24:29" ht="12.5">
      <c r="X695" s="254"/>
      <c r="Y695" s="166"/>
      <c r="Z695" s="166"/>
      <c r="AA695" s="166"/>
      <c r="AB695" s="166"/>
      <c r="AC695" s="166"/>
    </row>
    <row r="696" spans="24:29" ht="12.5">
      <c r="X696" s="254"/>
      <c r="Y696" s="166"/>
      <c r="Z696" s="166"/>
      <c r="AA696" s="166"/>
      <c r="AB696" s="166"/>
      <c r="AC696" s="166"/>
    </row>
    <row r="697" spans="24:29" ht="12.5">
      <c r="X697" s="254"/>
      <c r="Y697" s="166"/>
      <c r="Z697" s="166"/>
      <c r="AA697" s="166"/>
      <c r="AB697" s="166"/>
      <c r="AC697" s="166"/>
    </row>
    <row r="698" spans="24:29" ht="12.5">
      <c r="X698" s="254"/>
      <c r="Y698" s="166"/>
      <c r="Z698" s="166"/>
      <c r="AA698" s="166"/>
      <c r="AB698" s="166"/>
      <c r="AC698" s="166"/>
    </row>
    <row r="699" spans="24:29" ht="12.5">
      <c r="X699" s="254"/>
      <c r="Y699" s="166"/>
      <c r="Z699" s="166"/>
      <c r="AA699" s="166"/>
      <c r="AB699" s="166"/>
      <c r="AC699" s="166"/>
    </row>
    <row r="700" spans="24:29" ht="12.5">
      <c r="X700" s="254"/>
      <c r="Y700" s="166"/>
      <c r="Z700" s="166"/>
      <c r="AA700" s="166"/>
      <c r="AB700" s="166"/>
      <c r="AC700" s="166"/>
    </row>
    <row r="701" spans="24:29" ht="12.5">
      <c r="X701" s="254"/>
      <c r="Y701" s="166"/>
      <c r="Z701" s="166"/>
      <c r="AA701" s="166"/>
      <c r="AB701" s="166"/>
      <c r="AC701" s="166"/>
    </row>
    <row r="702" spans="24:29" ht="12.5">
      <c r="X702" s="254"/>
      <c r="Y702" s="166"/>
      <c r="Z702" s="166"/>
      <c r="AA702" s="166"/>
      <c r="AB702" s="166"/>
      <c r="AC702" s="166"/>
    </row>
    <row r="703" spans="24:29" ht="12.5">
      <c r="X703" s="254"/>
      <c r="Y703" s="166"/>
      <c r="Z703" s="166"/>
      <c r="AA703" s="166"/>
      <c r="AB703" s="166"/>
      <c r="AC703" s="166"/>
    </row>
    <row r="704" spans="24:29" ht="12.5">
      <c r="X704" s="254"/>
      <c r="Y704" s="166"/>
      <c r="Z704" s="166"/>
      <c r="AA704" s="166"/>
      <c r="AB704" s="166"/>
      <c r="AC704" s="166"/>
    </row>
    <row r="705" spans="24:29" ht="12.5">
      <c r="X705" s="254"/>
      <c r="Y705" s="166"/>
      <c r="Z705" s="166"/>
      <c r="AA705" s="166"/>
      <c r="AB705" s="166"/>
      <c r="AC705" s="166"/>
    </row>
    <row r="706" spans="24:29" ht="12.5">
      <c r="X706" s="254"/>
      <c r="Y706" s="166"/>
      <c r="Z706" s="166"/>
      <c r="AA706" s="166"/>
      <c r="AB706" s="166"/>
      <c r="AC706" s="166"/>
    </row>
    <row r="707" spans="24:29" ht="12.5">
      <c r="X707" s="254"/>
      <c r="Y707" s="166"/>
      <c r="Z707" s="166"/>
      <c r="AA707" s="166"/>
      <c r="AB707" s="166"/>
      <c r="AC707" s="166"/>
    </row>
    <row r="708" spans="24:29" ht="12.5">
      <c r="X708" s="254"/>
      <c r="Y708" s="166"/>
      <c r="Z708" s="166"/>
      <c r="AA708" s="166"/>
      <c r="AB708" s="166"/>
      <c r="AC708" s="166"/>
    </row>
    <row r="709" spans="24:29" ht="12.5">
      <c r="X709" s="254"/>
      <c r="Y709" s="166"/>
      <c r="Z709" s="166"/>
      <c r="AA709" s="166"/>
      <c r="AB709" s="166"/>
      <c r="AC709" s="166"/>
    </row>
    <row r="710" spans="24:29" ht="12.5">
      <c r="X710" s="254"/>
      <c r="Y710" s="166"/>
      <c r="Z710" s="166"/>
      <c r="AA710" s="166"/>
      <c r="AB710" s="166"/>
      <c r="AC710" s="166"/>
    </row>
    <row r="711" spans="24:29" ht="12.5">
      <c r="X711" s="254"/>
      <c r="Y711" s="166"/>
      <c r="Z711" s="166"/>
      <c r="AA711" s="166"/>
      <c r="AB711" s="166"/>
      <c r="AC711" s="166"/>
    </row>
    <row r="712" spans="24:29" ht="12.5">
      <c r="X712" s="254"/>
      <c r="Y712" s="166"/>
      <c r="Z712" s="166"/>
      <c r="AA712" s="166"/>
      <c r="AB712" s="166"/>
      <c r="AC712" s="166"/>
    </row>
    <row r="713" spans="24:29" ht="12.5">
      <c r="X713" s="254"/>
      <c r="Y713" s="166"/>
      <c r="Z713" s="166"/>
      <c r="AA713" s="166"/>
      <c r="AB713" s="166"/>
      <c r="AC713" s="166"/>
    </row>
    <row r="714" spans="24:29" ht="12.5">
      <c r="X714" s="254"/>
      <c r="Y714" s="166"/>
      <c r="Z714" s="166"/>
      <c r="AA714" s="166"/>
      <c r="AB714" s="166"/>
      <c r="AC714" s="166"/>
    </row>
    <row r="715" spans="24:29" ht="12.5">
      <c r="X715" s="254"/>
      <c r="Y715" s="166"/>
      <c r="Z715" s="166"/>
      <c r="AA715" s="166"/>
      <c r="AB715" s="166"/>
      <c r="AC715" s="166"/>
    </row>
    <row r="716" spans="24:29" ht="12.5">
      <c r="X716" s="254"/>
      <c r="Y716" s="166"/>
      <c r="Z716" s="166"/>
      <c r="AA716" s="166"/>
      <c r="AB716" s="166"/>
      <c r="AC716" s="166"/>
    </row>
    <row r="717" spans="24:29" ht="12.5">
      <c r="X717" s="254"/>
      <c r="Y717" s="166"/>
      <c r="Z717" s="166"/>
      <c r="AA717" s="166"/>
      <c r="AB717" s="166"/>
      <c r="AC717" s="166"/>
    </row>
    <row r="718" spans="24:29" ht="12.5">
      <c r="X718" s="254"/>
      <c r="Y718" s="166"/>
      <c r="Z718" s="166"/>
      <c r="AA718" s="166"/>
      <c r="AB718" s="166"/>
      <c r="AC718" s="166"/>
    </row>
    <row r="719" spans="24:29" ht="12.5">
      <c r="X719" s="254"/>
      <c r="Y719" s="166"/>
      <c r="Z719" s="166"/>
      <c r="AA719" s="166"/>
      <c r="AB719" s="166"/>
      <c r="AC719" s="166"/>
    </row>
    <row r="720" spans="24:29" ht="12.5">
      <c r="X720" s="254"/>
      <c r="Y720" s="166"/>
      <c r="Z720" s="166"/>
      <c r="AA720" s="166"/>
      <c r="AB720" s="166"/>
      <c r="AC720" s="166"/>
    </row>
    <row r="721" spans="24:29" ht="12.5">
      <c r="X721" s="254"/>
      <c r="Y721" s="166"/>
      <c r="Z721" s="166"/>
      <c r="AA721" s="166"/>
      <c r="AB721" s="166"/>
      <c r="AC721" s="166"/>
    </row>
    <row r="722" spans="24:29" ht="12.5">
      <c r="X722" s="254"/>
      <c r="Y722" s="166"/>
      <c r="Z722" s="166"/>
      <c r="AA722" s="166"/>
      <c r="AB722" s="166"/>
      <c r="AC722" s="166"/>
    </row>
    <row r="723" spans="24:29" ht="12.5">
      <c r="X723" s="254"/>
      <c r="Y723" s="166"/>
      <c r="Z723" s="166"/>
      <c r="AA723" s="166"/>
      <c r="AB723" s="166"/>
      <c r="AC723" s="166"/>
    </row>
    <row r="724" spans="24:29" ht="12.5">
      <c r="X724" s="254"/>
      <c r="Y724" s="166"/>
      <c r="Z724" s="166"/>
      <c r="AA724" s="166"/>
      <c r="AB724" s="166"/>
      <c r="AC724" s="166"/>
    </row>
    <row r="725" spans="24:29" ht="12.5">
      <c r="X725" s="254"/>
      <c r="Y725" s="166"/>
      <c r="Z725" s="166"/>
      <c r="AA725" s="166"/>
      <c r="AB725" s="166"/>
      <c r="AC725" s="166"/>
    </row>
    <row r="726" spans="24:29" ht="12.5">
      <c r="X726" s="254"/>
      <c r="Y726" s="166"/>
      <c r="Z726" s="166"/>
      <c r="AA726" s="166"/>
      <c r="AB726" s="166"/>
      <c r="AC726" s="166"/>
    </row>
    <row r="727" spans="24:29" ht="12.5">
      <c r="X727" s="254"/>
      <c r="Y727" s="166"/>
      <c r="Z727" s="166"/>
      <c r="AA727" s="166"/>
      <c r="AB727" s="166"/>
      <c r="AC727" s="166"/>
    </row>
    <row r="728" spans="24:29" ht="12.5">
      <c r="X728" s="254"/>
      <c r="Y728" s="166"/>
      <c r="Z728" s="166"/>
      <c r="AA728" s="166"/>
      <c r="AB728" s="166"/>
      <c r="AC728" s="166"/>
    </row>
    <row r="729" spans="24:29" ht="12.5">
      <c r="X729" s="254"/>
      <c r="Y729" s="166"/>
      <c r="Z729" s="166"/>
      <c r="AA729" s="166"/>
      <c r="AB729" s="166"/>
      <c r="AC729" s="166"/>
    </row>
    <row r="730" spans="24:29" ht="12.5">
      <c r="X730" s="254"/>
      <c r="Y730" s="166"/>
      <c r="Z730" s="166"/>
      <c r="AA730" s="166"/>
      <c r="AB730" s="166"/>
      <c r="AC730" s="166"/>
    </row>
    <row r="731" spans="24:29" ht="12.5">
      <c r="X731" s="254"/>
      <c r="Y731" s="166"/>
      <c r="Z731" s="166"/>
      <c r="AA731" s="166"/>
      <c r="AB731" s="166"/>
      <c r="AC731" s="166"/>
    </row>
    <row r="732" spans="24:29" ht="12.5">
      <c r="X732" s="254"/>
      <c r="Y732" s="166"/>
      <c r="Z732" s="166"/>
      <c r="AA732" s="166"/>
      <c r="AB732" s="166"/>
      <c r="AC732" s="166"/>
    </row>
    <row r="733" spans="24:29" ht="12.5">
      <c r="X733" s="254"/>
      <c r="Y733" s="166"/>
      <c r="Z733" s="166"/>
      <c r="AA733" s="166"/>
      <c r="AB733" s="166"/>
      <c r="AC733" s="166"/>
    </row>
    <row r="734" spans="24:29" ht="12.5">
      <c r="X734" s="254"/>
      <c r="Y734" s="166"/>
      <c r="Z734" s="166"/>
      <c r="AA734" s="166"/>
      <c r="AB734" s="166"/>
      <c r="AC734" s="166"/>
    </row>
    <row r="735" spans="24:29" ht="12.5">
      <c r="X735" s="254"/>
      <c r="Y735" s="166"/>
      <c r="Z735" s="166"/>
      <c r="AA735" s="166"/>
      <c r="AB735" s="166"/>
      <c r="AC735" s="166"/>
    </row>
    <row r="736" spans="24:29" ht="12.5">
      <c r="X736" s="254"/>
      <c r="Y736" s="166"/>
      <c r="Z736" s="166"/>
      <c r="AA736" s="166"/>
      <c r="AB736" s="166"/>
      <c r="AC736" s="166"/>
    </row>
    <row r="737" spans="24:29" ht="12.5">
      <c r="X737" s="254"/>
      <c r="Y737" s="166"/>
      <c r="Z737" s="166"/>
      <c r="AA737" s="166"/>
      <c r="AB737" s="166"/>
      <c r="AC737" s="166"/>
    </row>
    <row r="738" spans="24:29" ht="12.5">
      <c r="X738" s="254"/>
      <c r="Y738" s="166"/>
      <c r="Z738" s="166"/>
      <c r="AA738" s="166"/>
      <c r="AB738" s="166"/>
      <c r="AC738" s="166"/>
    </row>
    <row r="739" spans="24:29" ht="12.5">
      <c r="X739" s="254"/>
      <c r="Y739" s="166"/>
      <c r="Z739" s="166"/>
      <c r="AA739" s="166"/>
      <c r="AB739" s="166"/>
      <c r="AC739" s="166"/>
    </row>
    <row r="740" spans="24:29" ht="12.5">
      <c r="X740" s="254"/>
      <c r="Y740" s="166"/>
      <c r="Z740" s="166"/>
      <c r="AA740" s="166"/>
      <c r="AB740" s="166"/>
      <c r="AC740" s="166"/>
    </row>
    <row r="741" spans="24:29" ht="12.5">
      <c r="X741" s="254"/>
      <c r="Y741" s="166"/>
      <c r="Z741" s="166"/>
      <c r="AA741" s="166"/>
      <c r="AB741" s="166"/>
      <c r="AC741" s="166"/>
    </row>
    <row r="742" spans="24:29" ht="12.5">
      <c r="X742" s="254"/>
      <c r="Y742" s="166"/>
      <c r="Z742" s="166"/>
      <c r="AA742" s="166"/>
      <c r="AB742" s="166"/>
      <c r="AC742" s="166"/>
    </row>
    <row r="743" spans="24:29" ht="12.5">
      <c r="X743" s="254"/>
      <c r="Y743" s="166"/>
      <c r="Z743" s="166"/>
      <c r="AA743" s="166"/>
      <c r="AB743" s="166"/>
      <c r="AC743" s="166"/>
    </row>
    <row r="744" spans="24:29" ht="12.5">
      <c r="X744" s="254"/>
      <c r="Y744" s="166"/>
      <c r="Z744" s="166"/>
      <c r="AA744" s="166"/>
      <c r="AB744" s="166"/>
      <c r="AC744" s="166"/>
    </row>
    <row r="745" spans="24:29" ht="12.5">
      <c r="X745" s="254"/>
      <c r="Y745" s="166"/>
      <c r="Z745" s="166"/>
      <c r="AA745" s="166"/>
      <c r="AB745" s="166"/>
      <c r="AC745" s="166"/>
    </row>
    <row r="746" spans="24:29" ht="12.5">
      <c r="X746" s="254"/>
      <c r="Y746" s="166"/>
      <c r="Z746" s="166"/>
      <c r="AA746" s="166"/>
      <c r="AB746" s="166"/>
      <c r="AC746" s="166"/>
    </row>
    <row r="747" spans="24:29" ht="12.5">
      <c r="X747" s="254"/>
      <c r="Y747" s="166"/>
      <c r="Z747" s="166"/>
      <c r="AA747" s="166"/>
      <c r="AB747" s="166"/>
      <c r="AC747" s="166"/>
    </row>
    <row r="748" spans="24:29" ht="12.5">
      <c r="X748" s="254"/>
      <c r="Y748" s="166"/>
      <c r="Z748" s="166"/>
      <c r="AA748" s="166"/>
      <c r="AB748" s="166"/>
      <c r="AC748" s="166"/>
    </row>
    <row r="749" spans="24:29" ht="12.5">
      <c r="X749" s="254"/>
      <c r="Y749" s="166"/>
      <c r="Z749" s="166"/>
      <c r="AA749" s="166"/>
      <c r="AB749" s="166"/>
      <c r="AC749" s="166"/>
    </row>
    <row r="750" spans="24:29" ht="12.5">
      <c r="X750" s="254"/>
      <c r="Y750" s="166"/>
      <c r="Z750" s="166"/>
      <c r="AA750" s="166"/>
      <c r="AB750" s="166"/>
      <c r="AC750" s="166"/>
    </row>
    <row r="751" spans="24:29" ht="12.5">
      <c r="X751" s="254"/>
      <c r="Y751" s="166"/>
      <c r="Z751" s="166"/>
      <c r="AA751" s="166"/>
      <c r="AB751" s="166"/>
      <c r="AC751" s="166"/>
    </row>
    <row r="752" spans="24:29" ht="12.5">
      <c r="X752" s="254"/>
      <c r="Y752" s="166"/>
      <c r="Z752" s="166"/>
      <c r="AA752" s="166"/>
      <c r="AB752" s="166"/>
      <c r="AC752" s="166"/>
    </row>
    <row r="753" spans="24:29" ht="12.5">
      <c r="X753" s="254"/>
      <c r="Y753" s="166"/>
      <c r="Z753" s="166"/>
      <c r="AA753" s="166"/>
      <c r="AB753" s="166"/>
      <c r="AC753" s="166"/>
    </row>
    <row r="754" spans="24:29" ht="12.5">
      <c r="X754" s="254"/>
      <c r="Y754" s="166"/>
      <c r="Z754" s="166"/>
      <c r="AA754" s="166"/>
      <c r="AB754" s="166"/>
      <c r="AC754" s="166"/>
    </row>
    <row r="755" spans="24:29" ht="12.5">
      <c r="X755" s="254"/>
      <c r="Y755" s="166"/>
      <c r="Z755" s="166"/>
      <c r="AA755" s="166"/>
      <c r="AB755" s="166"/>
      <c r="AC755" s="166"/>
    </row>
    <row r="756" spans="24:29" ht="12.5">
      <c r="X756" s="254"/>
      <c r="Y756" s="166"/>
      <c r="Z756" s="166"/>
      <c r="AA756" s="166"/>
      <c r="AB756" s="166"/>
      <c r="AC756" s="166"/>
    </row>
    <row r="757" spans="24:29" ht="12.5">
      <c r="X757" s="254"/>
      <c r="Y757" s="166"/>
      <c r="Z757" s="166"/>
      <c r="AA757" s="166"/>
      <c r="AB757" s="166"/>
      <c r="AC757" s="166"/>
    </row>
    <row r="758" spans="24:29" ht="12.5">
      <c r="X758" s="254"/>
      <c r="Y758" s="166"/>
      <c r="Z758" s="166"/>
      <c r="AA758" s="166"/>
      <c r="AB758" s="166"/>
      <c r="AC758" s="166"/>
    </row>
    <row r="759" spans="24:29" ht="12.5">
      <c r="X759" s="254"/>
      <c r="Y759" s="166"/>
      <c r="Z759" s="166"/>
      <c r="AA759" s="166"/>
      <c r="AB759" s="166"/>
      <c r="AC759" s="166"/>
    </row>
    <row r="760" spans="24:29" ht="12.5">
      <c r="X760" s="254"/>
      <c r="Y760" s="166"/>
      <c r="Z760" s="166"/>
      <c r="AA760" s="166"/>
      <c r="AB760" s="166"/>
      <c r="AC760" s="166"/>
    </row>
    <row r="761" spans="24:29" ht="12.5">
      <c r="X761" s="254"/>
      <c r="Y761" s="166"/>
      <c r="Z761" s="166"/>
      <c r="AA761" s="166"/>
      <c r="AB761" s="166"/>
      <c r="AC761" s="166"/>
    </row>
    <row r="762" spans="24:29" ht="12.5">
      <c r="X762" s="254"/>
      <c r="Y762" s="166"/>
      <c r="Z762" s="166"/>
      <c r="AA762" s="166"/>
      <c r="AB762" s="166"/>
      <c r="AC762" s="166"/>
    </row>
    <row r="763" spans="24:29" ht="12.5">
      <c r="X763" s="254"/>
      <c r="Y763" s="166"/>
      <c r="Z763" s="166"/>
      <c r="AA763" s="166"/>
      <c r="AB763" s="166"/>
      <c r="AC763" s="166"/>
    </row>
    <row r="764" spans="24:29" ht="12.5">
      <c r="X764" s="254"/>
      <c r="Y764" s="166"/>
      <c r="Z764" s="166"/>
      <c r="AA764" s="166"/>
      <c r="AB764" s="166"/>
      <c r="AC764" s="166"/>
    </row>
    <row r="765" spans="24:29" ht="12.5">
      <c r="X765" s="254"/>
      <c r="Y765" s="166"/>
      <c r="Z765" s="166"/>
      <c r="AA765" s="166"/>
      <c r="AB765" s="166"/>
      <c r="AC765" s="166"/>
    </row>
    <row r="766" spans="24:29" ht="12.5">
      <c r="X766" s="254"/>
      <c r="Y766" s="166"/>
      <c r="Z766" s="166"/>
      <c r="AA766" s="166"/>
      <c r="AB766" s="166"/>
      <c r="AC766" s="166"/>
    </row>
    <row r="767" spans="24:29" ht="12.5">
      <c r="X767" s="254"/>
      <c r="Y767" s="166"/>
      <c r="Z767" s="166"/>
      <c r="AA767" s="166"/>
      <c r="AB767" s="166"/>
      <c r="AC767" s="166"/>
    </row>
    <row r="768" spans="24:29" ht="12.5">
      <c r="X768" s="254"/>
      <c r="Y768" s="166"/>
      <c r="Z768" s="166"/>
      <c r="AA768" s="166"/>
      <c r="AB768" s="166"/>
      <c r="AC768" s="166"/>
    </row>
    <row r="769" spans="24:29" ht="12.5">
      <c r="X769" s="254"/>
      <c r="Y769" s="166"/>
      <c r="Z769" s="166"/>
      <c r="AA769" s="166"/>
      <c r="AB769" s="166"/>
      <c r="AC769" s="166"/>
    </row>
    <row r="770" spans="24:29" ht="12.5">
      <c r="X770" s="254"/>
      <c r="Y770" s="166"/>
      <c r="Z770" s="166"/>
      <c r="AA770" s="166"/>
      <c r="AB770" s="166"/>
      <c r="AC770" s="166"/>
    </row>
    <row r="771" spans="24:29" ht="12.5">
      <c r="X771" s="254"/>
      <c r="Y771" s="166"/>
      <c r="Z771" s="166"/>
      <c r="AA771" s="166"/>
      <c r="AB771" s="166"/>
      <c r="AC771" s="166"/>
    </row>
    <row r="772" spans="24:29" ht="12.5">
      <c r="X772" s="254"/>
      <c r="Y772" s="166"/>
      <c r="Z772" s="166"/>
      <c r="AA772" s="166"/>
      <c r="AB772" s="166"/>
      <c r="AC772" s="166"/>
    </row>
    <row r="773" spans="24:29" ht="12.5">
      <c r="X773" s="254"/>
      <c r="Y773" s="166"/>
      <c r="Z773" s="166"/>
      <c r="AA773" s="166"/>
      <c r="AB773" s="166"/>
      <c r="AC773" s="166"/>
    </row>
    <row r="774" spans="24:29" ht="12.5">
      <c r="X774" s="254"/>
      <c r="Y774" s="166"/>
      <c r="Z774" s="166"/>
      <c r="AA774" s="166"/>
      <c r="AB774" s="166"/>
      <c r="AC774" s="166"/>
    </row>
    <row r="775" spans="24:29" ht="12.5">
      <c r="X775" s="254"/>
      <c r="Y775" s="166"/>
      <c r="Z775" s="166"/>
      <c r="AA775" s="166"/>
      <c r="AB775" s="166"/>
      <c r="AC775" s="166"/>
    </row>
    <row r="776" spans="24:29" ht="12.5">
      <c r="X776" s="254"/>
      <c r="Y776" s="166"/>
      <c r="Z776" s="166"/>
      <c r="AA776" s="166"/>
      <c r="AB776" s="166"/>
      <c r="AC776" s="166"/>
    </row>
    <row r="777" spans="24:29" ht="12.5">
      <c r="X777" s="254"/>
      <c r="Y777" s="166"/>
      <c r="Z777" s="166"/>
      <c r="AA777" s="166"/>
      <c r="AB777" s="166"/>
      <c r="AC777" s="166"/>
    </row>
    <row r="778" spans="24:29" ht="12.5">
      <c r="X778" s="254"/>
      <c r="Y778" s="166"/>
      <c r="Z778" s="166"/>
      <c r="AA778" s="166"/>
      <c r="AB778" s="166"/>
      <c r="AC778" s="166"/>
    </row>
    <row r="779" spans="24:29" ht="12.5">
      <c r="X779" s="254"/>
      <c r="Y779" s="166"/>
      <c r="Z779" s="166"/>
      <c r="AA779" s="166"/>
      <c r="AB779" s="166"/>
      <c r="AC779" s="166"/>
    </row>
    <row r="780" spans="24:29" ht="12.5">
      <c r="X780" s="254"/>
      <c r="Y780" s="166"/>
      <c r="Z780" s="166"/>
      <c r="AA780" s="166"/>
      <c r="AB780" s="166"/>
      <c r="AC780" s="166"/>
    </row>
    <row r="781" spans="24:29" ht="12.5">
      <c r="X781" s="254"/>
      <c r="Y781" s="166"/>
      <c r="Z781" s="166"/>
      <c r="AA781" s="166"/>
      <c r="AB781" s="166"/>
      <c r="AC781" s="166"/>
    </row>
    <row r="782" spans="24:29" ht="12.5">
      <c r="X782" s="254"/>
      <c r="Y782" s="166"/>
      <c r="Z782" s="166"/>
      <c r="AA782" s="166"/>
      <c r="AB782" s="166"/>
      <c r="AC782" s="166"/>
    </row>
    <row r="783" spans="24:29" ht="12.5">
      <c r="X783" s="254"/>
      <c r="Y783" s="166"/>
      <c r="Z783" s="166"/>
      <c r="AA783" s="166"/>
      <c r="AB783" s="166"/>
      <c r="AC783" s="166"/>
    </row>
    <row r="784" spans="24:29" ht="12.5">
      <c r="X784" s="254"/>
      <c r="Y784" s="166"/>
      <c r="Z784" s="166"/>
      <c r="AA784" s="166"/>
      <c r="AB784" s="166"/>
      <c r="AC784" s="166"/>
    </row>
    <row r="785" spans="24:29" ht="12.5">
      <c r="X785" s="254"/>
      <c r="Y785" s="166"/>
      <c r="Z785" s="166"/>
      <c r="AA785" s="166"/>
      <c r="AB785" s="166"/>
      <c r="AC785" s="166"/>
    </row>
    <row r="786" spans="24:29" ht="12.5">
      <c r="X786" s="254"/>
      <c r="Y786" s="166"/>
      <c r="Z786" s="166"/>
      <c r="AA786" s="166"/>
      <c r="AB786" s="166"/>
      <c r="AC786" s="166"/>
    </row>
    <row r="787" spans="24:29" ht="12.5">
      <c r="X787" s="254"/>
      <c r="Y787" s="166"/>
      <c r="Z787" s="166"/>
      <c r="AA787" s="166"/>
      <c r="AB787" s="166"/>
      <c r="AC787" s="166"/>
    </row>
    <row r="788" spans="24:29" ht="12.5">
      <c r="X788" s="254"/>
      <c r="Y788" s="166"/>
      <c r="Z788" s="166"/>
      <c r="AA788" s="166"/>
      <c r="AB788" s="166"/>
      <c r="AC788" s="166"/>
    </row>
    <row r="789" spans="24:29" ht="12.5">
      <c r="X789" s="254"/>
      <c r="Y789" s="166"/>
      <c r="Z789" s="166"/>
      <c r="AA789" s="166"/>
      <c r="AB789" s="166"/>
      <c r="AC789" s="166"/>
    </row>
    <row r="790" spans="24:29" ht="12.5">
      <c r="X790" s="254"/>
      <c r="Y790" s="166"/>
      <c r="Z790" s="166"/>
      <c r="AA790" s="166"/>
      <c r="AB790" s="166"/>
      <c r="AC790" s="166"/>
    </row>
    <row r="791" spans="24:29" ht="12.5">
      <c r="X791" s="254"/>
      <c r="Y791" s="166"/>
      <c r="Z791" s="166"/>
      <c r="AA791" s="166"/>
      <c r="AB791" s="166"/>
      <c r="AC791" s="166"/>
    </row>
    <row r="792" spans="24:29" ht="12.5">
      <c r="X792" s="254"/>
      <c r="Y792" s="166"/>
      <c r="Z792" s="166"/>
      <c r="AA792" s="166"/>
      <c r="AB792" s="166"/>
      <c r="AC792" s="166"/>
    </row>
    <row r="793" spans="24:29" ht="12.5">
      <c r="X793" s="254"/>
      <c r="Y793" s="166"/>
      <c r="Z793" s="166"/>
      <c r="AA793" s="166"/>
      <c r="AB793" s="166"/>
      <c r="AC793" s="166"/>
    </row>
    <row r="794" spans="24:29" ht="12.5">
      <c r="X794" s="254"/>
      <c r="Y794" s="166"/>
      <c r="Z794" s="166"/>
      <c r="AA794" s="166"/>
      <c r="AB794" s="166"/>
      <c r="AC794" s="166"/>
    </row>
    <row r="795" spans="24:29" ht="12.5">
      <c r="X795" s="254"/>
      <c r="Y795" s="166"/>
      <c r="Z795" s="166"/>
      <c r="AA795" s="166"/>
      <c r="AB795" s="166"/>
      <c r="AC795" s="166"/>
    </row>
    <row r="796" spans="24:29" ht="12.5">
      <c r="X796" s="254"/>
      <c r="Y796" s="166"/>
      <c r="Z796" s="166"/>
      <c r="AA796" s="166"/>
      <c r="AB796" s="166"/>
      <c r="AC796" s="166"/>
    </row>
    <row r="797" spans="24:29" ht="12.5">
      <c r="X797" s="254"/>
      <c r="Y797" s="166"/>
      <c r="Z797" s="166"/>
      <c r="AA797" s="166"/>
      <c r="AB797" s="166"/>
      <c r="AC797" s="166"/>
    </row>
    <row r="798" spans="24:29" ht="12.5">
      <c r="X798" s="254"/>
      <c r="Y798" s="166"/>
      <c r="Z798" s="166"/>
      <c r="AA798" s="166"/>
      <c r="AB798" s="166"/>
      <c r="AC798" s="166"/>
    </row>
    <row r="799" spans="24:29" ht="12.5">
      <c r="X799" s="254"/>
      <c r="Y799" s="166"/>
      <c r="Z799" s="166"/>
      <c r="AA799" s="166"/>
      <c r="AB799" s="166"/>
      <c r="AC799" s="166"/>
    </row>
    <row r="800" spans="24:29" ht="12.5">
      <c r="X800" s="254"/>
      <c r="Y800" s="166"/>
      <c r="Z800" s="166"/>
      <c r="AA800" s="166"/>
      <c r="AB800" s="166"/>
      <c r="AC800" s="166"/>
    </row>
    <row r="801" spans="24:29" ht="12.5">
      <c r="X801" s="254"/>
      <c r="Y801" s="166"/>
      <c r="Z801" s="166"/>
      <c r="AA801" s="166"/>
      <c r="AB801" s="166"/>
      <c r="AC801" s="166"/>
    </row>
    <row r="802" spans="24:29" ht="12.5">
      <c r="X802" s="254"/>
      <c r="Y802" s="166"/>
      <c r="Z802" s="166"/>
      <c r="AA802" s="166"/>
      <c r="AB802" s="166"/>
      <c r="AC802" s="166"/>
    </row>
    <row r="803" spans="24:29" ht="12.5">
      <c r="X803" s="254"/>
      <c r="Y803" s="166"/>
      <c r="Z803" s="166"/>
      <c r="AA803" s="166"/>
      <c r="AB803" s="166"/>
      <c r="AC803" s="166"/>
    </row>
    <row r="804" spans="24:29" ht="12.5">
      <c r="X804" s="254"/>
      <c r="Y804" s="166"/>
      <c r="Z804" s="166"/>
      <c r="AA804" s="166"/>
      <c r="AB804" s="166"/>
      <c r="AC804" s="166"/>
    </row>
    <row r="805" spans="24:29" ht="12.5">
      <c r="X805" s="254"/>
      <c r="Y805" s="166"/>
      <c r="Z805" s="166"/>
      <c r="AA805" s="166"/>
      <c r="AB805" s="166"/>
      <c r="AC805" s="166"/>
    </row>
    <row r="806" spans="24:29" ht="12.5">
      <c r="X806" s="254"/>
      <c r="Y806" s="166"/>
      <c r="Z806" s="166"/>
      <c r="AA806" s="166"/>
      <c r="AB806" s="166"/>
      <c r="AC806" s="166"/>
    </row>
    <row r="807" spans="24:29" ht="12.5">
      <c r="X807" s="254"/>
      <c r="Y807" s="166"/>
      <c r="Z807" s="166"/>
      <c r="AA807" s="166"/>
      <c r="AB807" s="166"/>
      <c r="AC807" s="166"/>
    </row>
    <row r="808" spans="24:29" ht="12.5">
      <c r="X808" s="254"/>
      <c r="Y808" s="166"/>
      <c r="Z808" s="166"/>
      <c r="AA808" s="166"/>
      <c r="AB808" s="166"/>
      <c r="AC808" s="166"/>
    </row>
    <row r="809" spans="24:29" ht="12.5">
      <c r="X809" s="254"/>
      <c r="Y809" s="166"/>
      <c r="Z809" s="166"/>
      <c r="AA809" s="166"/>
      <c r="AB809" s="166"/>
      <c r="AC809" s="166"/>
    </row>
    <row r="810" spans="24:29" ht="12.5">
      <c r="X810" s="254"/>
      <c r="Y810" s="166"/>
      <c r="Z810" s="166"/>
      <c r="AA810" s="166"/>
      <c r="AB810" s="166"/>
      <c r="AC810" s="166"/>
    </row>
    <row r="811" spans="24:29" ht="12.5">
      <c r="X811" s="254"/>
      <c r="Y811" s="166"/>
      <c r="Z811" s="166"/>
      <c r="AA811" s="166"/>
      <c r="AB811" s="166"/>
      <c r="AC811" s="166"/>
    </row>
    <row r="812" spans="24:29" ht="12.5">
      <c r="X812" s="254"/>
      <c r="Y812" s="166"/>
      <c r="Z812" s="166"/>
      <c r="AA812" s="166"/>
      <c r="AB812" s="166"/>
      <c r="AC812" s="166"/>
    </row>
    <row r="813" spans="24:29" ht="12.5">
      <c r="X813" s="254"/>
      <c r="Y813" s="166"/>
      <c r="Z813" s="166"/>
      <c r="AA813" s="166"/>
      <c r="AB813" s="166"/>
      <c r="AC813" s="166"/>
    </row>
    <row r="814" spans="24:29" ht="12.5">
      <c r="X814" s="254"/>
      <c r="Y814" s="166"/>
      <c r="Z814" s="166"/>
      <c r="AA814" s="166"/>
      <c r="AB814" s="166"/>
      <c r="AC814" s="166"/>
    </row>
    <row r="815" spans="24:29" ht="12.5">
      <c r="X815" s="254"/>
      <c r="Y815" s="166"/>
      <c r="Z815" s="166"/>
      <c r="AA815" s="166"/>
      <c r="AB815" s="166"/>
      <c r="AC815" s="166"/>
    </row>
    <row r="816" spans="24:29" ht="12.5">
      <c r="X816" s="254"/>
      <c r="Y816" s="166"/>
      <c r="Z816" s="166"/>
      <c r="AA816" s="166"/>
      <c r="AB816" s="166"/>
      <c r="AC816" s="166"/>
    </row>
    <row r="817" spans="24:29" ht="12.5">
      <c r="X817" s="254"/>
      <c r="Y817" s="166"/>
      <c r="Z817" s="166"/>
      <c r="AA817" s="166"/>
      <c r="AB817" s="166"/>
      <c r="AC817" s="166"/>
    </row>
    <row r="818" spans="24:29" ht="12.5">
      <c r="X818" s="254"/>
      <c r="Y818" s="166"/>
      <c r="Z818" s="166"/>
      <c r="AA818" s="166"/>
      <c r="AB818" s="166"/>
      <c r="AC818" s="166"/>
    </row>
    <row r="819" spans="24:29" ht="12.5">
      <c r="X819" s="254"/>
      <c r="Y819" s="166"/>
      <c r="Z819" s="166"/>
      <c r="AA819" s="166"/>
      <c r="AB819" s="166"/>
      <c r="AC819" s="166"/>
    </row>
    <row r="820" spans="24:29" ht="12.5">
      <c r="X820" s="254"/>
      <c r="Y820" s="166"/>
      <c r="Z820" s="166"/>
      <c r="AA820" s="166"/>
      <c r="AB820" s="166"/>
      <c r="AC820" s="166"/>
    </row>
    <row r="821" spans="24:29" ht="12.5">
      <c r="X821" s="254"/>
      <c r="Y821" s="166"/>
      <c r="Z821" s="166"/>
      <c r="AA821" s="166"/>
      <c r="AB821" s="166"/>
      <c r="AC821" s="166"/>
    </row>
    <row r="822" spans="24:29" ht="12.5">
      <c r="X822" s="254"/>
      <c r="Y822" s="166"/>
      <c r="Z822" s="166"/>
      <c r="AA822" s="166"/>
      <c r="AB822" s="166"/>
      <c r="AC822" s="166"/>
    </row>
    <row r="823" spans="24:29" ht="12.5">
      <c r="X823" s="254"/>
      <c r="Y823" s="166"/>
      <c r="Z823" s="166"/>
      <c r="AA823" s="166"/>
      <c r="AB823" s="166"/>
      <c r="AC823" s="166"/>
    </row>
    <row r="824" spans="24:29" ht="12.5">
      <c r="X824" s="254"/>
      <c r="Y824" s="166"/>
      <c r="Z824" s="166"/>
      <c r="AA824" s="166"/>
      <c r="AB824" s="166"/>
      <c r="AC824" s="166"/>
    </row>
    <row r="825" spans="24:29" ht="12.5">
      <c r="X825" s="254"/>
      <c r="Y825" s="166"/>
      <c r="Z825" s="166"/>
      <c r="AA825" s="166"/>
      <c r="AB825" s="166"/>
      <c r="AC825" s="166"/>
    </row>
    <row r="826" spans="24:29" ht="12.5">
      <c r="X826" s="254"/>
      <c r="Y826" s="166"/>
      <c r="Z826" s="166"/>
      <c r="AA826" s="166"/>
      <c r="AB826" s="166"/>
      <c r="AC826" s="166"/>
    </row>
    <row r="827" spans="24:29" ht="12.5">
      <c r="X827" s="254"/>
      <c r="Y827" s="166"/>
      <c r="Z827" s="166"/>
      <c r="AA827" s="166"/>
      <c r="AB827" s="166"/>
      <c r="AC827" s="166"/>
    </row>
    <row r="828" spans="24:29" ht="12.5">
      <c r="X828" s="254"/>
      <c r="Y828" s="166"/>
      <c r="Z828" s="166"/>
      <c r="AA828" s="166"/>
      <c r="AB828" s="166"/>
      <c r="AC828" s="166"/>
    </row>
    <row r="829" spans="24:29" ht="12.5">
      <c r="X829" s="254"/>
      <c r="Y829" s="166"/>
      <c r="Z829" s="166"/>
      <c r="AA829" s="166"/>
      <c r="AB829" s="166"/>
      <c r="AC829" s="166"/>
    </row>
    <row r="830" spans="24:29" ht="12.5">
      <c r="X830" s="254"/>
      <c r="Y830" s="166"/>
      <c r="Z830" s="166"/>
      <c r="AA830" s="166"/>
      <c r="AB830" s="166"/>
      <c r="AC830" s="166"/>
    </row>
    <row r="831" spans="24:29" ht="12.5">
      <c r="X831" s="254"/>
      <c r="Y831" s="166"/>
      <c r="Z831" s="166"/>
      <c r="AA831" s="166"/>
      <c r="AB831" s="166"/>
      <c r="AC831" s="166"/>
    </row>
    <row r="832" spans="24:29" ht="12.5">
      <c r="X832" s="254"/>
      <c r="Y832" s="166"/>
      <c r="Z832" s="166"/>
      <c r="AA832" s="166"/>
      <c r="AB832" s="166"/>
      <c r="AC832" s="166"/>
    </row>
    <row r="833" spans="24:29" ht="12.5">
      <c r="X833" s="254"/>
      <c r="Y833" s="166"/>
      <c r="Z833" s="166"/>
      <c r="AA833" s="166"/>
      <c r="AB833" s="166"/>
      <c r="AC833" s="166"/>
    </row>
    <row r="834" spans="24:29" ht="12.5">
      <c r="X834" s="254"/>
      <c r="Y834" s="166"/>
      <c r="Z834" s="166"/>
      <c r="AA834" s="166"/>
      <c r="AB834" s="166"/>
      <c r="AC834" s="166"/>
    </row>
    <row r="835" spans="24:29" ht="12.5">
      <c r="X835" s="254"/>
      <c r="Y835" s="166"/>
      <c r="Z835" s="166"/>
      <c r="AA835" s="166"/>
      <c r="AB835" s="166"/>
      <c r="AC835" s="166"/>
    </row>
    <row r="836" spans="24:29" ht="12.5">
      <c r="X836" s="254"/>
      <c r="Y836" s="166"/>
      <c r="Z836" s="166"/>
      <c r="AA836" s="166"/>
      <c r="AB836" s="166"/>
      <c r="AC836" s="166"/>
    </row>
    <row r="837" spans="24:29" ht="12.5">
      <c r="X837" s="254"/>
      <c r="Y837" s="166"/>
      <c r="Z837" s="166"/>
      <c r="AA837" s="166"/>
      <c r="AB837" s="166"/>
      <c r="AC837" s="166"/>
    </row>
    <row r="838" spans="24:29" ht="12.5">
      <c r="X838" s="254"/>
      <c r="Y838" s="166"/>
      <c r="Z838" s="166"/>
      <c r="AA838" s="166"/>
      <c r="AB838" s="166"/>
      <c r="AC838" s="166"/>
    </row>
    <row r="839" spans="24:29" ht="12.5">
      <c r="X839" s="254"/>
      <c r="Y839" s="166"/>
      <c r="Z839" s="166"/>
      <c r="AA839" s="166"/>
      <c r="AB839" s="166"/>
      <c r="AC839" s="166"/>
    </row>
    <row r="840" spans="24:29" ht="12.5">
      <c r="X840" s="254"/>
      <c r="Y840" s="166"/>
      <c r="Z840" s="166"/>
      <c r="AA840" s="166"/>
      <c r="AB840" s="166"/>
      <c r="AC840" s="166"/>
    </row>
    <row r="841" spans="24:29" ht="12.5">
      <c r="X841" s="254"/>
      <c r="Y841" s="166"/>
      <c r="Z841" s="166"/>
      <c r="AA841" s="166"/>
      <c r="AB841" s="166"/>
      <c r="AC841" s="166"/>
    </row>
    <row r="842" spans="24:29" ht="12.5">
      <c r="X842" s="254"/>
      <c r="Y842" s="166"/>
      <c r="Z842" s="166"/>
      <c r="AA842" s="166"/>
      <c r="AB842" s="166"/>
      <c r="AC842" s="166"/>
    </row>
    <row r="843" spans="24:29" ht="12.5">
      <c r="X843" s="254"/>
      <c r="Y843" s="166"/>
      <c r="Z843" s="166"/>
      <c r="AA843" s="166"/>
      <c r="AB843" s="166"/>
      <c r="AC843" s="166"/>
    </row>
    <row r="844" spans="24:29" ht="12.5">
      <c r="X844" s="254"/>
      <c r="Y844" s="166"/>
      <c r="Z844" s="166"/>
      <c r="AA844" s="166"/>
      <c r="AB844" s="166"/>
      <c r="AC844" s="166"/>
    </row>
    <row r="845" spans="24:29" ht="12.5">
      <c r="X845" s="254"/>
      <c r="Y845" s="166"/>
      <c r="Z845" s="166"/>
      <c r="AA845" s="166"/>
      <c r="AB845" s="166"/>
      <c r="AC845" s="166"/>
    </row>
    <row r="846" spans="24:29" ht="12.5">
      <c r="X846" s="254"/>
      <c r="Y846" s="166"/>
      <c r="Z846" s="166"/>
      <c r="AA846" s="166"/>
      <c r="AB846" s="166"/>
      <c r="AC846" s="166"/>
    </row>
    <row r="847" spans="24:29" ht="12.5">
      <c r="X847" s="254"/>
      <c r="Y847" s="166"/>
      <c r="Z847" s="166"/>
      <c r="AA847" s="166"/>
      <c r="AB847" s="166"/>
      <c r="AC847" s="166"/>
    </row>
    <row r="848" spans="24:29" ht="12.5">
      <c r="X848" s="254"/>
      <c r="Y848" s="166"/>
      <c r="Z848" s="166"/>
      <c r="AA848" s="166"/>
      <c r="AB848" s="166"/>
      <c r="AC848" s="166"/>
    </row>
    <row r="849" spans="24:29" ht="12.5">
      <c r="X849" s="254"/>
      <c r="Y849" s="166"/>
      <c r="Z849" s="166"/>
      <c r="AA849" s="166"/>
      <c r="AB849" s="166"/>
      <c r="AC849" s="166"/>
    </row>
    <row r="850" spans="24:29" ht="12.5">
      <c r="X850" s="254"/>
      <c r="Y850" s="166"/>
      <c r="Z850" s="166"/>
      <c r="AA850" s="166"/>
      <c r="AB850" s="166"/>
      <c r="AC850" s="166"/>
    </row>
    <row r="851" spans="24:29" ht="12.5">
      <c r="X851" s="254"/>
      <c r="Y851" s="166"/>
      <c r="Z851" s="166"/>
      <c r="AA851" s="166"/>
      <c r="AB851" s="166"/>
      <c r="AC851" s="166"/>
    </row>
    <row r="852" spans="24:29" ht="12.5">
      <c r="X852" s="254"/>
      <c r="Y852" s="166"/>
      <c r="Z852" s="166"/>
      <c r="AA852" s="166"/>
      <c r="AB852" s="166"/>
      <c r="AC852" s="166"/>
    </row>
    <row r="853" spans="24:29" ht="12.5">
      <c r="X853" s="254"/>
      <c r="Y853" s="166"/>
      <c r="Z853" s="166"/>
      <c r="AA853" s="166"/>
      <c r="AB853" s="166"/>
      <c r="AC853" s="166"/>
    </row>
    <row r="854" spans="24:29" ht="12.5">
      <c r="X854" s="254"/>
      <c r="Y854" s="166"/>
      <c r="Z854" s="166"/>
      <c r="AA854" s="166"/>
      <c r="AB854" s="166"/>
      <c r="AC854" s="166"/>
    </row>
    <row r="855" spans="24:29" ht="12.5">
      <c r="X855" s="254"/>
      <c r="Y855" s="166"/>
      <c r="Z855" s="166"/>
      <c r="AA855" s="166"/>
      <c r="AB855" s="166"/>
      <c r="AC855" s="166"/>
    </row>
    <row r="856" spans="24:29" ht="12.5">
      <c r="X856" s="254"/>
      <c r="Y856" s="166"/>
      <c r="Z856" s="166"/>
      <c r="AA856" s="166"/>
      <c r="AB856" s="166"/>
      <c r="AC856" s="166"/>
    </row>
    <row r="857" spans="24:29" ht="12.5">
      <c r="X857" s="254"/>
      <c r="Y857" s="166"/>
      <c r="Z857" s="166"/>
      <c r="AA857" s="166"/>
      <c r="AB857" s="166"/>
      <c r="AC857" s="166"/>
    </row>
    <row r="858" spans="24:29" ht="12.5">
      <c r="X858" s="254"/>
      <c r="Y858" s="166"/>
      <c r="Z858" s="166"/>
      <c r="AA858" s="166"/>
      <c r="AB858" s="166"/>
      <c r="AC858" s="166"/>
    </row>
    <row r="859" spans="24:29" ht="12.5">
      <c r="X859" s="254"/>
      <c r="Y859" s="166"/>
      <c r="Z859" s="166"/>
      <c r="AA859" s="166"/>
      <c r="AB859" s="166"/>
      <c r="AC859" s="166"/>
    </row>
    <row r="860" spans="24:29" ht="12.5">
      <c r="X860" s="254"/>
      <c r="Y860" s="166"/>
      <c r="Z860" s="166"/>
      <c r="AA860" s="166"/>
      <c r="AB860" s="166"/>
      <c r="AC860" s="166"/>
    </row>
    <row r="861" spans="24:29" ht="12.5">
      <c r="X861" s="254"/>
      <c r="Y861" s="166"/>
      <c r="Z861" s="166"/>
      <c r="AA861" s="166"/>
      <c r="AB861" s="166"/>
      <c r="AC861" s="166"/>
    </row>
    <row r="862" spans="24:29" ht="12.5">
      <c r="X862" s="254"/>
      <c r="Y862" s="166"/>
      <c r="Z862" s="166"/>
      <c r="AA862" s="166"/>
      <c r="AB862" s="166"/>
      <c r="AC862" s="166"/>
    </row>
    <row r="863" spans="24:29" ht="12.5">
      <c r="X863" s="254"/>
      <c r="Y863" s="166"/>
      <c r="Z863" s="166"/>
      <c r="AA863" s="166"/>
      <c r="AB863" s="166"/>
      <c r="AC863" s="166"/>
    </row>
    <row r="864" spans="24:29" ht="12.5">
      <c r="X864" s="254"/>
      <c r="Y864" s="166"/>
      <c r="Z864" s="166"/>
      <c r="AA864" s="166"/>
      <c r="AB864" s="166"/>
      <c r="AC864" s="166"/>
    </row>
    <row r="865" spans="24:29" ht="12.5">
      <c r="X865" s="254"/>
      <c r="Y865" s="166"/>
      <c r="Z865" s="166"/>
      <c r="AA865" s="166"/>
      <c r="AB865" s="166"/>
      <c r="AC865" s="166"/>
    </row>
    <row r="866" spans="24:29" ht="12.5">
      <c r="X866" s="254"/>
      <c r="Y866" s="166"/>
      <c r="Z866" s="166"/>
      <c r="AA866" s="166"/>
      <c r="AB866" s="166"/>
      <c r="AC866" s="166"/>
    </row>
    <row r="867" spans="24:29" ht="12.5">
      <c r="X867" s="254"/>
      <c r="Y867" s="166"/>
      <c r="Z867" s="166"/>
      <c r="AA867" s="166"/>
      <c r="AB867" s="166"/>
      <c r="AC867" s="166"/>
    </row>
    <row r="868" spans="24:29" ht="12.5">
      <c r="X868" s="254"/>
      <c r="Y868" s="166"/>
      <c r="Z868" s="166"/>
      <c r="AA868" s="166"/>
      <c r="AB868" s="166"/>
      <c r="AC868" s="166"/>
    </row>
    <row r="869" spans="24:29" ht="12.5">
      <c r="X869" s="254"/>
      <c r="Y869" s="166"/>
      <c r="Z869" s="166"/>
      <c r="AA869" s="166"/>
      <c r="AB869" s="166"/>
      <c r="AC869" s="166"/>
    </row>
    <row r="870" spans="24:29" ht="12.5">
      <c r="X870" s="254"/>
      <c r="Y870" s="166"/>
      <c r="Z870" s="166"/>
      <c r="AA870" s="166"/>
      <c r="AB870" s="166"/>
      <c r="AC870" s="166"/>
    </row>
    <row r="871" spans="24:29" ht="12.5">
      <c r="X871" s="254"/>
      <c r="Y871" s="166"/>
      <c r="Z871" s="166"/>
      <c r="AA871" s="166"/>
      <c r="AB871" s="166"/>
      <c r="AC871" s="166"/>
    </row>
    <row r="872" spans="24:29" ht="12.5">
      <c r="X872" s="254"/>
      <c r="Y872" s="166"/>
      <c r="Z872" s="166"/>
      <c r="AA872" s="166"/>
      <c r="AB872" s="166"/>
      <c r="AC872" s="166"/>
    </row>
    <row r="873" spans="24:29" ht="12.5">
      <c r="X873" s="254"/>
      <c r="Y873" s="166"/>
      <c r="Z873" s="166"/>
      <c r="AA873" s="166"/>
      <c r="AB873" s="166"/>
      <c r="AC873" s="166"/>
    </row>
    <row r="874" spans="24:29" ht="12.5">
      <c r="X874" s="254"/>
      <c r="Y874" s="166"/>
      <c r="Z874" s="166"/>
      <c r="AA874" s="166"/>
      <c r="AB874" s="166"/>
      <c r="AC874" s="166"/>
    </row>
    <row r="875" spans="24:29" ht="12.5">
      <c r="X875" s="254"/>
      <c r="Y875" s="166"/>
      <c r="Z875" s="166"/>
      <c r="AA875" s="166"/>
      <c r="AB875" s="166"/>
      <c r="AC875" s="166"/>
    </row>
    <row r="876" spans="24:29" ht="12.5">
      <c r="X876" s="254"/>
      <c r="Y876" s="166"/>
      <c r="Z876" s="166"/>
      <c r="AA876" s="166"/>
      <c r="AB876" s="166"/>
      <c r="AC876" s="166"/>
    </row>
    <row r="877" spans="24:29" ht="12.5">
      <c r="X877" s="254"/>
      <c r="Y877" s="166"/>
      <c r="Z877" s="166"/>
      <c r="AA877" s="166"/>
      <c r="AB877" s="166"/>
      <c r="AC877" s="166"/>
    </row>
    <row r="878" spans="24:29" ht="12.5">
      <c r="X878" s="254"/>
      <c r="Y878" s="166"/>
      <c r="Z878" s="166"/>
      <c r="AA878" s="166"/>
      <c r="AB878" s="166"/>
      <c r="AC878" s="166"/>
    </row>
    <row r="879" spans="24:29" ht="12.5">
      <c r="X879" s="254"/>
      <c r="Y879" s="166"/>
      <c r="Z879" s="166"/>
      <c r="AA879" s="166"/>
      <c r="AB879" s="166"/>
      <c r="AC879" s="166"/>
    </row>
    <row r="880" spans="24:29" ht="12.5">
      <c r="X880" s="254"/>
      <c r="Y880" s="166"/>
      <c r="Z880" s="166"/>
      <c r="AA880" s="166"/>
      <c r="AB880" s="166"/>
      <c r="AC880" s="166"/>
    </row>
    <row r="881" spans="24:29" ht="12.5">
      <c r="X881" s="254"/>
      <c r="Y881" s="166"/>
      <c r="Z881" s="166"/>
      <c r="AA881" s="166"/>
      <c r="AB881" s="166"/>
      <c r="AC881" s="166"/>
    </row>
    <row r="882" spans="24:29" ht="12.5">
      <c r="X882" s="254"/>
      <c r="Y882" s="166"/>
      <c r="Z882" s="166"/>
      <c r="AA882" s="166"/>
      <c r="AB882" s="166"/>
      <c r="AC882" s="166"/>
    </row>
    <row r="883" spans="24:29" ht="12.5">
      <c r="X883" s="254"/>
      <c r="Y883" s="166"/>
      <c r="Z883" s="166"/>
      <c r="AA883" s="166"/>
      <c r="AB883" s="166"/>
      <c r="AC883" s="166"/>
    </row>
    <row r="884" spans="24:29" ht="12.5">
      <c r="X884" s="254"/>
      <c r="Y884" s="166"/>
      <c r="Z884" s="166"/>
      <c r="AA884" s="166"/>
      <c r="AB884" s="166"/>
      <c r="AC884" s="166"/>
    </row>
    <row r="885" spans="24:29" ht="12.5">
      <c r="X885" s="254"/>
      <c r="Y885" s="166"/>
      <c r="Z885" s="166"/>
      <c r="AA885" s="166"/>
      <c r="AB885" s="166"/>
      <c r="AC885" s="166"/>
    </row>
    <row r="886" spans="24:29" ht="12.5">
      <c r="X886" s="254"/>
      <c r="Y886" s="166"/>
      <c r="Z886" s="166"/>
      <c r="AA886" s="166"/>
      <c r="AB886" s="166"/>
      <c r="AC886" s="166"/>
    </row>
    <row r="887" spans="24:29" ht="12.5">
      <c r="X887" s="254"/>
      <c r="Y887" s="166"/>
      <c r="Z887" s="166"/>
      <c r="AA887" s="166"/>
      <c r="AB887" s="166"/>
      <c r="AC887" s="166"/>
    </row>
    <row r="888" spans="24:29" ht="12.5">
      <c r="X888" s="254"/>
      <c r="Y888" s="166"/>
      <c r="Z888" s="166"/>
      <c r="AA888" s="166"/>
      <c r="AB888" s="166"/>
      <c r="AC888" s="166"/>
    </row>
    <row r="889" spans="24:29" ht="12.5">
      <c r="X889" s="254"/>
      <c r="Y889" s="166"/>
      <c r="Z889" s="166"/>
      <c r="AA889" s="166"/>
      <c r="AB889" s="166"/>
      <c r="AC889" s="166"/>
    </row>
    <row r="890" spans="24:29" ht="12.5">
      <c r="X890" s="254"/>
      <c r="Y890" s="166"/>
      <c r="Z890" s="166"/>
      <c r="AA890" s="166"/>
      <c r="AB890" s="166"/>
      <c r="AC890" s="166"/>
    </row>
    <row r="891" spans="24:29" ht="12.5">
      <c r="X891" s="254"/>
      <c r="Y891" s="166"/>
      <c r="Z891" s="166"/>
      <c r="AA891" s="166"/>
      <c r="AB891" s="166"/>
      <c r="AC891" s="166"/>
    </row>
    <row r="892" spans="24:29" ht="12.5">
      <c r="X892" s="254"/>
      <c r="Y892" s="166"/>
      <c r="Z892" s="166"/>
      <c r="AA892" s="166"/>
      <c r="AB892" s="166"/>
      <c r="AC892" s="166"/>
    </row>
    <row r="893" spans="24:29" ht="12.5">
      <c r="X893" s="254"/>
      <c r="Y893" s="166"/>
      <c r="Z893" s="166"/>
      <c r="AA893" s="166"/>
      <c r="AB893" s="166"/>
      <c r="AC893" s="166"/>
    </row>
    <row r="894" spans="24:29" ht="12.5">
      <c r="X894" s="254"/>
      <c r="Y894" s="166"/>
      <c r="Z894" s="166"/>
      <c r="AA894" s="166"/>
      <c r="AB894" s="166"/>
      <c r="AC894" s="166"/>
    </row>
    <row r="895" spans="24:29" ht="12.5">
      <c r="X895" s="254"/>
      <c r="Y895" s="166"/>
      <c r="Z895" s="166"/>
      <c r="AA895" s="166"/>
      <c r="AB895" s="166"/>
      <c r="AC895" s="166"/>
    </row>
    <row r="896" spans="24:29" ht="12.5">
      <c r="X896" s="254"/>
      <c r="Y896" s="166"/>
      <c r="Z896" s="166"/>
      <c r="AA896" s="166"/>
      <c r="AB896" s="166"/>
      <c r="AC896" s="166"/>
    </row>
    <row r="897" spans="24:29" ht="12.5">
      <c r="X897" s="254"/>
      <c r="Y897" s="166"/>
      <c r="Z897" s="166"/>
      <c r="AA897" s="166"/>
      <c r="AB897" s="166"/>
      <c r="AC897" s="166"/>
    </row>
    <row r="898" spans="24:29" ht="12.5">
      <c r="X898" s="254"/>
      <c r="Y898" s="166"/>
      <c r="Z898" s="166"/>
      <c r="AA898" s="166"/>
      <c r="AB898" s="166"/>
      <c r="AC898" s="166"/>
    </row>
    <row r="899" spans="24:29" ht="12.5">
      <c r="X899" s="254"/>
      <c r="Y899" s="166"/>
      <c r="Z899" s="166"/>
      <c r="AA899" s="166"/>
      <c r="AB899" s="166"/>
      <c r="AC899" s="166"/>
    </row>
    <row r="900" spans="24:29" ht="12.5">
      <c r="X900" s="254"/>
      <c r="Y900" s="166"/>
      <c r="Z900" s="166"/>
      <c r="AA900" s="166"/>
      <c r="AB900" s="166"/>
      <c r="AC900" s="166"/>
    </row>
    <row r="901" spans="24:29" ht="12.5">
      <c r="X901" s="254"/>
      <c r="Y901" s="166"/>
      <c r="Z901" s="166"/>
      <c r="AA901" s="166"/>
      <c r="AB901" s="166"/>
      <c r="AC901" s="166"/>
    </row>
    <row r="902" spans="24:29" ht="12.5">
      <c r="X902" s="254"/>
      <c r="Y902" s="166"/>
      <c r="Z902" s="166"/>
      <c r="AA902" s="166"/>
      <c r="AB902" s="166"/>
      <c r="AC902" s="166"/>
    </row>
    <row r="903" spans="24:29" ht="12.5">
      <c r="X903" s="254"/>
      <c r="Y903" s="166"/>
      <c r="Z903" s="166"/>
      <c r="AA903" s="166"/>
      <c r="AB903" s="166"/>
      <c r="AC903" s="166"/>
    </row>
    <row r="904" spans="24:29" ht="12.5">
      <c r="X904" s="254"/>
      <c r="Y904" s="166"/>
      <c r="Z904" s="166"/>
      <c r="AA904" s="166"/>
      <c r="AB904" s="166"/>
      <c r="AC904" s="166"/>
    </row>
    <row r="905" spans="24:29" ht="12.5">
      <c r="X905" s="254"/>
      <c r="Y905" s="166"/>
      <c r="Z905" s="166"/>
      <c r="AA905" s="166"/>
      <c r="AB905" s="166"/>
      <c r="AC905" s="166"/>
    </row>
    <row r="906" spans="24:29" ht="12.5">
      <c r="X906" s="254"/>
      <c r="Y906" s="166"/>
      <c r="Z906" s="166"/>
      <c r="AA906" s="166"/>
      <c r="AB906" s="166"/>
      <c r="AC906" s="166"/>
    </row>
    <row r="907" spans="24:29" ht="12.5">
      <c r="X907" s="254"/>
      <c r="Y907" s="166"/>
      <c r="Z907" s="166"/>
      <c r="AA907" s="166"/>
      <c r="AB907" s="166"/>
      <c r="AC907" s="166"/>
    </row>
    <row r="908" spans="24:29" ht="12.5">
      <c r="X908" s="254"/>
      <c r="Y908" s="166"/>
      <c r="Z908" s="166"/>
      <c r="AA908" s="166"/>
      <c r="AB908" s="166"/>
      <c r="AC908" s="166"/>
    </row>
    <row r="909" spans="24:29" ht="12.5">
      <c r="X909" s="254"/>
      <c r="Y909" s="166"/>
      <c r="Z909" s="166"/>
      <c r="AA909" s="166"/>
      <c r="AB909" s="166"/>
      <c r="AC909" s="166"/>
    </row>
    <row r="910" spans="24:29" ht="12.5">
      <c r="X910" s="254"/>
      <c r="Y910" s="166"/>
      <c r="Z910" s="166"/>
      <c r="AA910" s="166"/>
      <c r="AB910" s="166"/>
      <c r="AC910" s="166"/>
    </row>
    <row r="911" spans="24:29" ht="12.5">
      <c r="X911" s="254"/>
      <c r="Y911" s="166"/>
      <c r="Z911" s="166"/>
      <c r="AA911" s="166"/>
      <c r="AB911" s="166"/>
      <c r="AC911" s="166"/>
    </row>
    <row r="912" spans="24:29" ht="12.5">
      <c r="X912" s="254"/>
      <c r="Y912" s="166"/>
      <c r="Z912" s="166"/>
      <c r="AA912" s="166"/>
      <c r="AB912" s="166"/>
      <c r="AC912" s="166"/>
    </row>
    <row r="913" spans="24:29" ht="12.5">
      <c r="X913" s="254"/>
      <c r="Y913" s="166"/>
      <c r="Z913" s="166"/>
      <c r="AA913" s="166"/>
      <c r="AB913" s="166"/>
      <c r="AC913" s="166"/>
    </row>
    <row r="914" spans="24:29" ht="12.5">
      <c r="X914" s="254"/>
      <c r="Y914" s="166"/>
      <c r="Z914" s="166"/>
      <c r="AA914" s="166"/>
      <c r="AB914" s="166"/>
      <c r="AC914" s="166"/>
    </row>
    <row r="915" spans="24:29" ht="12.5">
      <c r="X915" s="254"/>
      <c r="Y915" s="166"/>
      <c r="Z915" s="166"/>
      <c r="AA915" s="166"/>
      <c r="AB915" s="166"/>
      <c r="AC915" s="166"/>
    </row>
    <row r="916" spans="24:29" ht="12.5">
      <c r="X916" s="254"/>
      <c r="Y916" s="166"/>
      <c r="Z916" s="166"/>
      <c r="AA916" s="166"/>
      <c r="AB916" s="166"/>
      <c r="AC916" s="166"/>
    </row>
    <row r="917" spans="24:29" ht="12.5">
      <c r="X917" s="254"/>
      <c r="Y917" s="166"/>
      <c r="Z917" s="166"/>
      <c r="AA917" s="166"/>
      <c r="AB917" s="166"/>
      <c r="AC917" s="166"/>
    </row>
    <row r="918" spans="24:29" ht="12.5">
      <c r="X918" s="254"/>
      <c r="Y918" s="166"/>
      <c r="Z918" s="166"/>
      <c r="AA918" s="166"/>
      <c r="AB918" s="166"/>
      <c r="AC918" s="166"/>
    </row>
    <row r="919" spans="24:29" ht="12.5">
      <c r="X919" s="254"/>
      <c r="Y919" s="166"/>
      <c r="Z919" s="166"/>
      <c r="AA919" s="166"/>
      <c r="AB919" s="166"/>
      <c r="AC919" s="166"/>
    </row>
    <row r="920" spans="24:29" ht="12.5">
      <c r="X920" s="254"/>
      <c r="Y920" s="166"/>
      <c r="Z920" s="166"/>
      <c r="AA920" s="166"/>
      <c r="AB920" s="166"/>
      <c r="AC920" s="166"/>
    </row>
    <row r="921" spans="24:29" ht="12.5">
      <c r="X921" s="254"/>
      <c r="Y921" s="166"/>
      <c r="Z921" s="166"/>
      <c r="AA921" s="166"/>
      <c r="AB921" s="166"/>
      <c r="AC921" s="166"/>
    </row>
    <row r="922" spans="24:29" ht="12.5">
      <c r="X922" s="254"/>
      <c r="Y922" s="166"/>
      <c r="Z922" s="166"/>
      <c r="AA922" s="166"/>
      <c r="AB922" s="166"/>
      <c r="AC922" s="166"/>
    </row>
    <row r="923" spans="24:29" ht="12.5">
      <c r="X923" s="254"/>
      <c r="Y923" s="166"/>
      <c r="Z923" s="166"/>
      <c r="AA923" s="166"/>
      <c r="AB923" s="166"/>
      <c r="AC923" s="166"/>
    </row>
    <row r="924" spans="24:29" ht="12.5">
      <c r="X924" s="254"/>
      <c r="Y924" s="166"/>
      <c r="Z924" s="166"/>
      <c r="AA924" s="166"/>
      <c r="AB924" s="166"/>
      <c r="AC924" s="166"/>
    </row>
    <row r="925" spans="24:29" ht="12.5">
      <c r="X925" s="254"/>
      <c r="Y925" s="166"/>
      <c r="Z925" s="166"/>
      <c r="AA925" s="166"/>
      <c r="AB925" s="166"/>
      <c r="AC925" s="166"/>
    </row>
    <row r="926" spans="24:29" ht="12.5">
      <c r="X926" s="254"/>
      <c r="Y926" s="166"/>
      <c r="Z926" s="166"/>
      <c r="AA926" s="166"/>
      <c r="AB926" s="166"/>
      <c r="AC926" s="166"/>
    </row>
    <row r="927" spans="24:29" ht="12.5">
      <c r="X927" s="254"/>
      <c r="Y927" s="166"/>
      <c r="Z927" s="166"/>
      <c r="AA927" s="166"/>
      <c r="AB927" s="166"/>
      <c r="AC927" s="166"/>
    </row>
    <row r="928" spans="24:29" ht="12.5">
      <c r="X928" s="254"/>
      <c r="Y928" s="166"/>
      <c r="Z928" s="166"/>
      <c r="AA928" s="166"/>
      <c r="AB928" s="166"/>
      <c r="AC928" s="166"/>
    </row>
    <row r="929" spans="24:29" ht="12.5">
      <c r="X929" s="254"/>
      <c r="Y929" s="166"/>
      <c r="Z929" s="166"/>
      <c r="AA929" s="166"/>
      <c r="AB929" s="166"/>
      <c r="AC929" s="166"/>
    </row>
    <row r="930" spans="24:29" ht="12.5">
      <c r="X930" s="254"/>
      <c r="Y930" s="166"/>
      <c r="Z930" s="166"/>
      <c r="AA930" s="166"/>
      <c r="AB930" s="166"/>
      <c r="AC930" s="166"/>
    </row>
    <row r="931" spans="24:29" ht="12.5">
      <c r="X931" s="254"/>
      <c r="Y931" s="166"/>
      <c r="Z931" s="166"/>
      <c r="AA931" s="166"/>
      <c r="AB931" s="166"/>
      <c r="AC931" s="166"/>
    </row>
    <row r="932" spans="24:29" ht="12.5">
      <c r="X932" s="254"/>
      <c r="Y932" s="166"/>
      <c r="Z932" s="166"/>
      <c r="AA932" s="166"/>
      <c r="AB932" s="166"/>
      <c r="AC932" s="166"/>
    </row>
    <row r="933" spans="24:29" ht="12.5">
      <c r="X933" s="254"/>
      <c r="Y933" s="166"/>
      <c r="Z933" s="166"/>
      <c r="AA933" s="166"/>
      <c r="AB933" s="166"/>
      <c r="AC933" s="166"/>
    </row>
    <row r="934" spans="24:29" ht="12.5">
      <c r="X934" s="254"/>
      <c r="Y934" s="166"/>
      <c r="Z934" s="166"/>
      <c r="AA934" s="166"/>
      <c r="AB934" s="166"/>
      <c r="AC934" s="166"/>
    </row>
    <row r="935" spans="24:29" ht="12.5">
      <c r="X935" s="254"/>
      <c r="Y935" s="166"/>
      <c r="Z935" s="166"/>
      <c r="AA935" s="166"/>
      <c r="AB935" s="166"/>
      <c r="AC935" s="166"/>
    </row>
    <row r="936" spans="24:29" ht="12.5">
      <c r="X936" s="254"/>
      <c r="Y936" s="166"/>
      <c r="Z936" s="166"/>
      <c r="AA936" s="166"/>
      <c r="AB936" s="166"/>
      <c r="AC936" s="166"/>
    </row>
    <row r="937" spans="24:29" ht="12.5">
      <c r="X937" s="254"/>
      <c r="Y937" s="166"/>
      <c r="Z937" s="166"/>
      <c r="AA937" s="166"/>
      <c r="AB937" s="166"/>
      <c r="AC937" s="166"/>
    </row>
    <row r="938" spans="24:29" ht="12.5">
      <c r="X938" s="254"/>
      <c r="Y938" s="166"/>
      <c r="Z938" s="166"/>
      <c r="AA938" s="166"/>
      <c r="AB938" s="166"/>
      <c r="AC938" s="166"/>
    </row>
    <row r="939" spans="24:29" ht="12.5">
      <c r="X939" s="254"/>
      <c r="Y939" s="166"/>
      <c r="Z939" s="166"/>
      <c r="AA939" s="166"/>
      <c r="AB939" s="166"/>
      <c r="AC939" s="166"/>
    </row>
    <row r="940" spans="24:29" ht="12.5">
      <c r="X940" s="254"/>
      <c r="Y940" s="166"/>
      <c r="Z940" s="166"/>
      <c r="AA940" s="166"/>
      <c r="AB940" s="166"/>
      <c r="AC940" s="166"/>
    </row>
    <row r="941" spans="24:29" ht="12.5">
      <c r="X941" s="254"/>
      <c r="Y941" s="166"/>
      <c r="Z941" s="166"/>
      <c r="AA941" s="166"/>
      <c r="AB941" s="166"/>
      <c r="AC941" s="166"/>
    </row>
    <row r="942" spans="24:29" ht="12.5">
      <c r="X942" s="254"/>
      <c r="Y942" s="166"/>
      <c r="Z942" s="166"/>
      <c r="AA942" s="166"/>
      <c r="AB942" s="166"/>
      <c r="AC942" s="166"/>
    </row>
    <row r="943" spans="24:29" ht="12.5">
      <c r="X943" s="254"/>
      <c r="Y943" s="166"/>
      <c r="Z943" s="166"/>
      <c r="AA943" s="166"/>
      <c r="AB943" s="166"/>
      <c r="AC943" s="166"/>
    </row>
    <row r="944" spans="24:29" ht="12.5">
      <c r="X944" s="254"/>
      <c r="Y944" s="166"/>
      <c r="Z944" s="166"/>
      <c r="AA944" s="166"/>
      <c r="AB944" s="166"/>
      <c r="AC944" s="166"/>
    </row>
    <row r="945" spans="24:29" ht="12.5">
      <c r="X945" s="254"/>
      <c r="Y945" s="166"/>
      <c r="Z945" s="166"/>
      <c r="AA945" s="166"/>
      <c r="AB945" s="166"/>
      <c r="AC945" s="166"/>
    </row>
    <row r="946" spans="24:29" ht="12.5">
      <c r="X946" s="254"/>
      <c r="Y946" s="166"/>
      <c r="Z946" s="166"/>
      <c r="AA946" s="166"/>
      <c r="AB946" s="166"/>
      <c r="AC946" s="166"/>
    </row>
    <row r="947" spans="24:29" ht="12.5">
      <c r="X947" s="254"/>
      <c r="Y947" s="166"/>
      <c r="Z947" s="166"/>
      <c r="AA947" s="166"/>
      <c r="AB947" s="166"/>
      <c r="AC947" s="166"/>
    </row>
    <row r="948" spans="24:29" ht="12.5">
      <c r="X948" s="254"/>
      <c r="Y948" s="166"/>
      <c r="Z948" s="166"/>
      <c r="AA948" s="166"/>
      <c r="AB948" s="166"/>
      <c r="AC948" s="166"/>
    </row>
    <row r="949" spans="24:29" ht="12.5">
      <c r="X949" s="254"/>
      <c r="Y949" s="166"/>
      <c r="Z949" s="166"/>
      <c r="AA949" s="166"/>
      <c r="AB949" s="166"/>
      <c r="AC949" s="166"/>
    </row>
    <row r="950" spans="24:29" ht="12.5">
      <c r="X950" s="254"/>
      <c r="Y950" s="166"/>
      <c r="Z950" s="166"/>
      <c r="AA950" s="166"/>
      <c r="AB950" s="166"/>
      <c r="AC950" s="166"/>
    </row>
    <row r="951" spans="24:29" ht="12.5">
      <c r="X951" s="254"/>
      <c r="Y951" s="166"/>
      <c r="Z951" s="166"/>
      <c r="AA951" s="166"/>
      <c r="AB951" s="166"/>
      <c r="AC951" s="166"/>
    </row>
    <row r="952" spans="24:29" ht="12.5">
      <c r="X952" s="254"/>
      <c r="Y952" s="166"/>
      <c r="Z952" s="166"/>
      <c r="AA952" s="166"/>
      <c r="AB952" s="166"/>
      <c r="AC952" s="166"/>
    </row>
    <row r="953" spans="24:29" ht="12.5">
      <c r="X953" s="254"/>
      <c r="Y953" s="166"/>
      <c r="Z953" s="166"/>
      <c r="AA953" s="166"/>
      <c r="AB953" s="166"/>
      <c r="AC953" s="166"/>
    </row>
    <row r="954" spans="24:29" ht="12.5">
      <c r="X954" s="254"/>
      <c r="Y954" s="166"/>
      <c r="Z954" s="166"/>
      <c r="AA954" s="166"/>
      <c r="AB954" s="166"/>
      <c r="AC954" s="166"/>
    </row>
    <row r="955" spans="24:29" ht="12.5">
      <c r="X955" s="254"/>
      <c r="Y955" s="166"/>
      <c r="Z955" s="166"/>
      <c r="AA955" s="166"/>
      <c r="AB955" s="166"/>
      <c r="AC955" s="166"/>
    </row>
    <row r="956" spans="24:29" ht="12.5">
      <c r="X956" s="254"/>
      <c r="Y956" s="166"/>
      <c r="Z956" s="166"/>
      <c r="AA956" s="166"/>
      <c r="AB956" s="166"/>
      <c r="AC956" s="166"/>
    </row>
    <row r="957" spans="24:29" ht="12.5">
      <c r="X957" s="254"/>
      <c r="Y957" s="166"/>
      <c r="Z957" s="166"/>
      <c r="AA957" s="166"/>
      <c r="AB957" s="166"/>
      <c r="AC957" s="166"/>
    </row>
    <row r="958" spans="24:29" ht="12.5">
      <c r="X958" s="254"/>
      <c r="Y958" s="166"/>
      <c r="Z958" s="166"/>
      <c r="AA958" s="166"/>
      <c r="AB958" s="166"/>
      <c r="AC958" s="166"/>
    </row>
    <row r="959" spans="24:29" ht="12.5">
      <c r="X959" s="254"/>
      <c r="Y959" s="166"/>
      <c r="Z959" s="166"/>
      <c r="AA959" s="166"/>
      <c r="AB959" s="166"/>
      <c r="AC959" s="166"/>
    </row>
    <row r="960" spans="24:29" ht="12.5">
      <c r="X960" s="254"/>
      <c r="Y960" s="166"/>
      <c r="Z960" s="166"/>
      <c r="AA960" s="166"/>
      <c r="AB960" s="166"/>
      <c r="AC960" s="166"/>
    </row>
    <row r="961" spans="24:29" ht="12.5">
      <c r="X961" s="254"/>
      <c r="Y961" s="166"/>
      <c r="Z961" s="166"/>
      <c r="AA961" s="166"/>
      <c r="AB961" s="166"/>
      <c r="AC961" s="166"/>
    </row>
    <row r="962" spans="24:29" ht="12.5">
      <c r="X962" s="254"/>
      <c r="Y962" s="166"/>
      <c r="Z962" s="166"/>
      <c r="AA962" s="166"/>
      <c r="AB962" s="166"/>
      <c r="AC962" s="166"/>
    </row>
    <row r="963" spans="24:29" ht="12.5">
      <c r="X963" s="254"/>
      <c r="Y963" s="166"/>
      <c r="Z963" s="166"/>
      <c r="AA963" s="166"/>
      <c r="AB963" s="166"/>
      <c r="AC963" s="166"/>
    </row>
    <row r="964" spans="24:29" ht="12.5">
      <c r="X964" s="254"/>
      <c r="Y964" s="166"/>
      <c r="Z964" s="166"/>
      <c r="AA964" s="166"/>
      <c r="AB964" s="166"/>
      <c r="AC964" s="166"/>
    </row>
    <row r="965" spans="24:29" ht="12.5">
      <c r="X965" s="254"/>
      <c r="Y965" s="166"/>
      <c r="Z965" s="166"/>
      <c r="AA965" s="166"/>
      <c r="AB965" s="166"/>
      <c r="AC965" s="166"/>
    </row>
    <row r="966" spans="24:29" ht="12.5">
      <c r="X966" s="254"/>
      <c r="Y966" s="166"/>
      <c r="Z966" s="166"/>
      <c r="AA966" s="166"/>
      <c r="AB966" s="166"/>
      <c r="AC966" s="166"/>
    </row>
    <row r="967" spans="24:29" ht="12.5">
      <c r="X967" s="254"/>
      <c r="Y967" s="166"/>
      <c r="Z967" s="166"/>
      <c r="AA967" s="166"/>
      <c r="AB967" s="166"/>
      <c r="AC967" s="166"/>
    </row>
    <row r="968" spans="24:29" ht="12.5">
      <c r="X968" s="254"/>
      <c r="Y968" s="166"/>
      <c r="Z968" s="166"/>
      <c r="AA968" s="166"/>
      <c r="AB968" s="166"/>
      <c r="AC968" s="166"/>
    </row>
    <row r="969" spans="24:29" ht="12.5">
      <c r="X969" s="254"/>
      <c r="Y969" s="166"/>
      <c r="Z969" s="166"/>
      <c r="AA969" s="166"/>
      <c r="AB969" s="166"/>
      <c r="AC969" s="166"/>
    </row>
    <row r="970" spans="24:29" ht="12.5">
      <c r="X970" s="254"/>
      <c r="Y970" s="166"/>
      <c r="Z970" s="166"/>
      <c r="AA970" s="166"/>
      <c r="AB970" s="166"/>
      <c r="AC970" s="166"/>
    </row>
    <row r="971" spans="24:29" ht="12.5">
      <c r="X971" s="254"/>
      <c r="Y971" s="166"/>
      <c r="Z971" s="166"/>
      <c r="AA971" s="166"/>
      <c r="AB971" s="166"/>
      <c r="AC971" s="166"/>
    </row>
    <row r="972" spans="24:29" ht="12.5">
      <c r="X972" s="254"/>
      <c r="Y972" s="166"/>
      <c r="Z972" s="166"/>
      <c r="AA972" s="166"/>
      <c r="AB972" s="166"/>
      <c r="AC972" s="166"/>
    </row>
    <row r="973" spans="24:29" ht="12.5">
      <c r="X973" s="254"/>
      <c r="Y973" s="166"/>
      <c r="Z973" s="166"/>
      <c r="AA973" s="166"/>
      <c r="AB973" s="166"/>
      <c r="AC973" s="166"/>
    </row>
    <row r="974" spans="24:29" ht="12.5">
      <c r="X974" s="254"/>
      <c r="Y974" s="166"/>
      <c r="Z974" s="166"/>
      <c r="AA974" s="166"/>
      <c r="AB974" s="166"/>
      <c r="AC974" s="166"/>
    </row>
    <row r="975" spans="24:29" ht="12.5">
      <c r="X975" s="254"/>
      <c r="Y975" s="166"/>
      <c r="Z975" s="166"/>
      <c r="AA975" s="166"/>
      <c r="AB975" s="166"/>
      <c r="AC975" s="166"/>
    </row>
    <row r="976" spans="24:29" ht="12.5">
      <c r="X976" s="254"/>
      <c r="Y976" s="166"/>
      <c r="Z976" s="166"/>
      <c r="AA976" s="166"/>
      <c r="AB976" s="166"/>
      <c r="AC976" s="166"/>
    </row>
    <row r="977" spans="24:29" ht="12.5">
      <c r="X977" s="254"/>
      <c r="Y977" s="166"/>
      <c r="Z977" s="166"/>
      <c r="AA977" s="166"/>
      <c r="AB977" s="166"/>
      <c r="AC977" s="166"/>
    </row>
    <row r="978" spans="24:29" ht="12.5">
      <c r="X978" s="254"/>
      <c r="Y978" s="166"/>
      <c r="Z978" s="166"/>
      <c r="AA978" s="166"/>
      <c r="AB978" s="166"/>
      <c r="AC978" s="166"/>
    </row>
    <row r="979" spans="24:29" ht="12.5">
      <c r="X979" s="254"/>
      <c r="Y979" s="166"/>
      <c r="Z979" s="166"/>
      <c r="AA979" s="166"/>
      <c r="AB979" s="166"/>
      <c r="AC979" s="166"/>
    </row>
    <row r="980" spans="24:29" ht="12.5">
      <c r="X980" s="254"/>
      <c r="Y980" s="166"/>
      <c r="Z980" s="166"/>
      <c r="AA980" s="166"/>
      <c r="AB980" s="166"/>
      <c r="AC980" s="166"/>
    </row>
    <row r="981" spans="24:29" ht="12.5">
      <c r="X981" s="254"/>
      <c r="Y981" s="166"/>
      <c r="Z981" s="166"/>
      <c r="AA981" s="166"/>
      <c r="AB981" s="166"/>
      <c r="AC981" s="166"/>
    </row>
    <row r="982" spans="24:29" ht="12.5">
      <c r="X982" s="254"/>
      <c r="Y982" s="166"/>
      <c r="Z982" s="166"/>
      <c r="AA982" s="166"/>
      <c r="AB982" s="166"/>
      <c r="AC982" s="166"/>
    </row>
    <row r="983" spans="24:29" ht="12.5">
      <c r="X983" s="254"/>
      <c r="Y983" s="166"/>
      <c r="Z983" s="166"/>
      <c r="AA983" s="166"/>
      <c r="AB983" s="166"/>
      <c r="AC983" s="166"/>
    </row>
    <row r="984" spans="24:29" ht="12.5">
      <c r="X984" s="254"/>
      <c r="Y984" s="166"/>
      <c r="Z984" s="166"/>
      <c r="AA984" s="166"/>
      <c r="AB984" s="166"/>
      <c r="AC984" s="166"/>
    </row>
    <row r="985" spans="24:29" ht="12.5">
      <c r="X985" s="254"/>
      <c r="Y985" s="166"/>
      <c r="Z985" s="166"/>
      <c r="AA985" s="166"/>
      <c r="AB985" s="166"/>
      <c r="AC985" s="166"/>
    </row>
    <row r="986" spans="24:29" ht="12.5">
      <c r="X986" s="254"/>
      <c r="Y986" s="166"/>
      <c r="Z986" s="166"/>
      <c r="AA986" s="166"/>
      <c r="AB986" s="166"/>
      <c r="AC986" s="166"/>
    </row>
    <row r="987" spans="24:29" ht="12.5">
      <c r="X987" s="254"/>
      <c r="Y987" s="166"/>
      <c r="Z987" s="166"/>
      <c r="AA987" s="166"/>
      <c r="AB987" s="166"/>
      <c r="AC987" s="166"/>
    </row>
    <row r="988" spans="24:29" ht="12.5">
      <c r="X988" s="254"/>
      <c r="Y988" s="166"/>
      <c r="Z988" s="166"/>
      <c r="AA988" s="166"/>
      <c r="AB988" s="166"/>
      <c r="AC988" s="166"/>
    </row>
    <row r="989" spans="24:29" ht="12.5">
      <c r="X989" s="254"/>
      <c r="Y989" s="166"/>
      <c r="Z989" s="166"/>
      <c r="AA989" s="166"/>
      <c r="AB989" s="166"/>
      <c r="AC989" s="166"/>
    </row>
    <row r="990" spans="24:29" ht="12.5">
      <c r="X990" s="254"/>
      <c r="Y990" s="166"/>
      <c r="Z990" s="166"/>
      <c r="AA990" s="166"/>
      <c r="AB990" s="166"/>
      <c r="AC990" s="166"/>
    </row>
    <row r="991" spans="24:29" ht="12.5">
      <c r="X991" s="254"/>
      <c r="Y991" s="166"/>
      <c r="Z991" s="166"/>
      <c r="AA991" s="166"/>
      <c r="AB991" s="166"/>
      <c r="AC991" s="166"/>
    </row>
    <row r="992" spans="24:29" ht="12.5">
      <c r="X992" s="254"/>
      <c r="Y992" s="166"/>
      <c r="Z992" s="166"/>
      <c r="AA992" s="166"/>
      <c r="AB992" s="166"/>
      <c r="AC992" s="166"/>
    </row>
    <row r="993" spans="24:29" ht="12.5">
      <c r="X993" s="254"/>
      <c r="Y993" s="166"/>
      <c r="Z993" s="166"/>
      <c r="AA993" s="166"/>
      <c r="AB993" s="166"/>
      <c r="AC993" s="166"/>
    </row>
    <row r="994" spans="24:29" ht="12.5">
      <c r="X994" s="254"/>
      <c r="Y994" s="166"/>
      <c r="Z994" s="166"/>
      <c r="AA994" s="166"/>
      <c r="AB994" s="166"/>
      <c r="AC994" s="166"/>
    </row>
    <row r="995" spans="24:29" ht="12.5">
      <c r="X995" s="254"/>
      <c r="Y995" s="166"/>
      <c r="Z995" s="166"/>
      <c r="AA995" s="166"/>
      <c r="AB995" s="166"/>
      <c r="AC995" s="166"/>
    </row>
    <row r="996" spans="24:29" ht="12.5">
      <c r="X996" s="254"/>
      <c r="Y996" s="166"/>
      <c r="Z996" s="166"/>
      <c r="AA996" s="166"/>
      <c r="AB996" s="166"/>
      <c r="AC996" s="166"/>
    </row>
    <row r="997" spans="24:29" ht="12.5">
      <c r="X997" s="254"/>
      <c r="Y997" s="166"/>
      <c r="Z997" s="166"/>
      <c r="AA997" s="166"/>
      <c r="AB997" s="166"/>
      <c r="AC997" s="166"/>
    </row>
    <row r="998" spans="24:29" ht="12.5">
      <c r="X998" s="254"/>
      <c r="Y998" s="166"/>
      <c r="Z998" s="166"/>
      <c r="AA998" s="166"/>
      <c r="AB998" s="166"/>
      <c r="AC998" s="166"/>
    </row>
    <row r="999" spans="24:29" ht="12.5">
      <c r="X999" s="254"/>
      <c r="Y999" s="166"/>
      <c r="Z999" s="166"/>
      <c r="AA999" s="166"/>
      <c r="AB999" s="166"/>
      <c r="AC999" s="166"/>
    </row>
    <row r="1000" spans="24:29" ht="12.5">
      <c r="X1000" s="254"/>
      <c r="Y1000" s="166"/>
      <c r="Z1000" s="166"/>
      <c r="AA1000" s="166"/>
      <c r="AB1000" s="166"/>
      <c r="AC1000" s="166"/>
    </row>
  </sheetData>
  <mergeCells count="40"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  <mergeCell ref="Z3:Z4"/>
    <mergeCell ref="AA3:AB4"/>
    <mergeCell ref="AK3:AL4"/>
    <mergeCell ref="AM3:AM4"/>
    <mergeCell ref="AN3:AN4"/>
    <mergeCell ref="T3:T4"/>
    <mergeCell ref="U3:U4"/>
    <mergeCell ref="V3:V4"/>
    <mergeCell ref="X3:X4"/>
    <mergeCell ref="Y3:Y4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G1:K1"/>
    <mergeCell ref="N1:O1"/>
    <mergeCell ref="R1:V1"/>
    <mergeCell ref="X1:Y1"/>
    <mergeCell ref="AB1:AF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0"/>
  <sheetViews>
    <sheetView workbookViewId="0">
      <selection sqref="A1:H1"/>
    </sheetView>
  </sheetViews>
  <sheetFormatPr defaultColWidth="12.6328125" defaultRowHeight="15.75" customHeight="1"/>
  <cols>
    <col min="1" max="1" width="7.90625" customWidth="1"/>
    <col min="2" max="3" width="7.08984375" customWidth="1"/>
    <col min="7" max="7" width="3.90625" customWidth="1"/>
  </cols>
  <sheetData>
    <row r="1" spans="1:10" ht="92.25" customHeight="1">
      <c r="A1" s="390" t="str">
        <f ca="1">Пр.взв!C2</f>
        <v>Первенство России по самбо юниорки 18-20 лет (отбор на Первенство Мира и Европы) ЕКП № 23752</v>
      </c>
      <c r="B1" s="352"/>
      <c r="C1" s="352"/>
      <c r="D1" s="352"/>
      <c r="E1" s="352"/>
      <c r="F1" s="352"/>
      <c r="G1" s="352"/>
      <c r="H1" s="353"/>
      <c r="I1" s="49"/>
      <c r="J1" s="49"/>
    </row>
    <row r="2" spans="1:10" ht="12.5">
      <c r="A2" s="391" t="str">
        <f ca="1">Пр.взв!C3</f>
        <v>13.02 - 17.02.2022 г.                                                                                        г. В-Пышма</v>
      </c>
      <c r="B2" s="389"/>
      <c r="C2" s="389"/>
      <c r="D2" s="389"/>
      <c r="E2" s="389"/>
      <c r="F2" s="389"/>
      <c r="G2" s="389"/>
      <c r="H2" s="389"/>
      <c r="I2" s="49"/>
      <c r="J2" s="49"/>
    </row>
    <row r="3" spans="1:10" ht="17.5">
      <c r="A3" s="392" t="s">
        <v>233</v>
      </c>
      <c r="B3" s="264"/>
      <c r="C3" s="264"/>
      <c r="D3" s="264"/>
      <c r="E3" s="264"/>
      <c r="F3" s="264"/>
      <c r="G3" s="264"/>
      <c r="H3" s="264"/>
      <c r="I3" s="49"/>
      <c r="J3" s="50"/>
    </row>
    <row r="4" spans="1:10" ht="18">
      <c r="A4" s="49"/>
      <c r="B4" s="255"/>
      <c r="C4" s="256"/>
      <c r="D4" s="393" t="str">
        <f>Пр.взв!G4</f>
        <v>В.к.  59  кг</v>
      </c>
      <c r="E4" s="352"/>
      <c r="F4" s="353"/>
      <c r="G4" s="256"/>
      <c r="H4" s="256"/>
      <c r="I4" s="49"/>
      <c r="J4" s="49"/>
    </row>
    <row r="5" spans="1:10" ht="17.5">
      <c r="A5" s="256"/>
      <c r="B5" s="256"/>
      <c r="C5" s="256"/>
      <c r="D5" s="256"/>
      <c r="E5" s="256"/>
      <c r="F5" s="256"/>
      <c r="G5" s="256"/>
      <c r="H5" s="256"/>
      <c r="I5" s="49"/>
      <c r="J5" s="49"/>
    </row>
    <row r="6" spans="1:10" ht="17.5">
      <c r="A6" s="394" t="s">
        <v>234</v>
      </c>
      <c r="B6" s="396" t="str">
        <f>IFERROR(VLOOKUP(J6,Пр.взв!$D$6:$J$63,3,0),"")</f>
        <v/>
      </c>
      <c r="C6" s="389"/>
      <c r="D6" s="389"/>
      <c r="E6" s="389"/>
      <c r="F6" s="389"/>
      <c r="G6" s="376"/>
      <c r="H6" s="397" t="str">
        <f>IFERROR(VLOOKUP(J6,Пр.взв!$D$6:$J$63,5,0),"")</f>
        <v/>
      </c>
      <c r="I6" s="256"/>
      <c r="J6" s="257" t="e">
        <f>Ит.пр!B6</f>
        <v>#N/A</v>
      </c>
    </row>
    <row r="7" spans="1:10" ht="17.5">
      <c r="A7" s="395"/>
      <c r="B7" s="348"/>
      <c r="C7" s="345"/>
      <c r="D7" s="345"/>
      <c r="E7" s="345"/>
      <c r="F7" s="345"/>
      <c r="G7" s="281"/>
      <c r="H7" s="283"/>
      <c r="I7" s="256"/>
      <c r="J7" s="57"/>
    </row>
    <row r="8" spans="1:10" ht="17.5">
      <c r="A8" s="395"/>
      <c r="B8" s="387" t="str">
        <f>IFERROR(VLOOKUP(J6,Пр.взв!$D$6:$J$63,6,0),"")</f>
        <v/>
      </c>
      <c r="C8" s="376"/>
      <c r="D8" s="388" t="str">
        <f>IFERROR(VLOOKUP(J6,Пр.взв!$D$6:$J$63,7,0),"")</f>
        <v/>
      </c>
      <c r="E8" s="389"/>
      <c r="F8" s="389"/>
      <c r="G8" s="389"/>
      <c r="H8" s="376"/>
      <c r="I8" s="256"/>
      <c r="J8" s="57"/>
    </row>
    <row r="9" spans="1:10" ht="17.5">
      <c r="A9" s="348"/>
      <c r="B9" s="348"/>
      <c r="C9" s="281"/>
      <c r="D9" s="348"/>
      <c r="E9" s="345"/>
      <c r="F9" s="345"/>
      <c r="G9" s="345"/>
      <c r="H9" s="281"/>
      <c r="I9" s="256"/>
      <c r="J9" s="57"/>
    </row>
    <row r="10" spans="1:10" ht="17.5">
      <c r="A10" s="256"/>
      <c r="B10" s="256"/>
      <c r="C10" s="256"/>
      <c r="D10" s="256"/>
      <c r="E10" s="256"/>
      <c r="F10" s="256"/>
      <c r="G10" s="256"/>
      <c r="H10" s="256"/>
      <c r="I10" s="256"/>
      <c r="J10" s="57"/>
    </row>
    <row r="11" spans="1:10" ht="17.5">
      <c r="A11" s="400" t="s">
        <v>235</v>
      </c>
      <c r="B11" s="396" t="str">
        <f>IFERROR(VLOOKUP(J11,Пр.взв!$D$6:$J$63,3,0),"")</f>
        <v/>
      </c>
      <c r="C11" s="389"/>
      <c r="D11" s="389"/>
      <c r="E11" s="389"/>
      <c r="F11" s="389"/>
      <c r="G11" s="376"/>
      <c r="H11" s="397" t="str">
        <f>IFERROR(VLOOKUP(J11,Пр.взв!$D$6:$J$63,5,0),"")</f>
        <v/>
      </c>
      <c r="I11" s="256"/>
      <c r="J11" s="257" t="e">
        <f>Ит.пр!B7</f>
        <v>#N/A</v>
      </c>
    </row>
    <row r="12" spans="1:10" ht="17.5">
      <c r="A12" s="395"/>
      <c r="B12" s="348"/>
      <c r="C12" s="345"/>
      <c r="D12" s="345"/>
      <c r="E12" s="345"/>
      <c r="F12" s="345"/>
      <c r="G12" s="281"/>
      <c r="H12" s="283"/>
      <c r="I12" s="256"/>
      <c r="J12" s="57"/>
    </row>
    <row r="13" spans="1:10" ht="17.5">
      <c r="A13" s="395"/>
      <c r="B13" s="387" t="str">
        <f>IFERROR(VLOOKUP(J11,Пр.взв!$D$6:$J$63,6,0),"")</f>
        <v/>
      </c>
      <c r="C13" s="376"/>
      <c r="D13" s="388" t="str">
        <f>IFERROR(VLOOKUP(J11,Пр.взв!$D$6:$J$63,7,0),"")</f>
        <v/>
      </c>
      <c r="E13" s="389"/>
      <c r="F13" s="389"/>
      <c r="G13" s="389"/>
      <c r="H13" s="376"/>
      <c r="I13" s="256"/>
      <c r="J13" s="57"/>
    </row>
    <row r="14" spans="1:10" ht="17.5">
      <c r="A14" s="348"/>
      <c r="B14" s="348"/>
      <c r="C14" s="281"/>
      <c r="D14" s="348"/>
      <c r="E14" s="345"/>
      <c r="F14" s="345"/>
      <c r="G14" s="345"/>
      <c r="H14" s="281"/>
      <c r="I14" s="256"/>
      <c r="J14" s="57"/>
    </row>
    <row r="15" spans="1:10" ht="17.5">
      <c r="A15" s="256"/>
      <c r="B15" s="256"/>
      <c r="C15" s="256"/>
      <c r="D15" s="256"/>
      <c r="E15" s="256"/>
      <c r="F15" s="256"/>
      <c r="G15" s="256"/>
      <c r="H15" s="256"/>
      <c r="I15" s="256"/>
      <c r="J15" s="57"/>
    </row>
    <row r="16" spans="1:10" ht="17.5">
      <c r="A16" s="398" t="s">
        <v>236</v>
      </c>
      <c r="B16" s="396" t="str">
        <f>IFERROR(VLOOKUP(J16,Пр.взв!$D$6:$J$63,3,0),"")</f>
        <v/>
      </c>
      <c r="C16" s="389"/>
      <c r="D16" s="389"/>
      <c r="E16" s="389"/>
      <c r="F16" s="389"/>
      <c r="G16" s="376"/>
      <c r="H16" s="397" t="str">
        <f>IFERROR(VLOOKUP(J16,Пр.взв!$D$6:$J$63,5,0),"")</f>
        <v/>
      </c>
      <c r="I16" s="256"/>
      <c r="J16" s="257" t="e">
        <f>Ит.пр!B8</f>
        <v>#N/A</v>
      </c>
    </row>
    <row r="17" spans="1:10" ht="17.5">
      <c r="A17" s="395"/>
      <c r="B17" s="348"/>
      <c r="C17" s="345"/>
      <c r="D17" s="345"/>
      <c r="E17" s="345"/>
      <c r="F17" s="345"/>
      <c r="G17" s="281"/>
      <c r="H17" s="283"/>
      <c r="I17" s="256"/>
      <c r="J17" s="57"/>
    </row>
    <row r="18" spans="1:10" ht="17.5">
      <c r="A18" s="395"/>
      <c r="B18" s="387" t="str">
        <f>IFERROR(VLOOKUP(J16,Пр.взв!$D$6:$J$63,6,0),"")</f>
        <v/>
      </c>
      <c r="C18" s="376"/>
      <c r="D18" s="388" t="str">
        <f>IFERROR(VLOOKUP(J16,Пр.взв!$D$6:$J$63,7,0),"")</f>
        <v/>
      </c>
      <c r="E18" s="389"/>
      <c r="F18" s="389"/>
      <c r="G18" s="389"/>
      <c r="H18" s="376"/>
      <c r="I18" s="256"/>
      <c r="J18" s="57"/>
    </row>
    <row r="19" spans="1:10" ht="17.5">
      <c r="A19" s="348"/>
      <c r="B19" s="348"/>
      <c r="C19" s="281"/>
      <c r="D19" s="348"/>
      <c r="E19" s="345"/>
      <c r="F19" s="345"/>
      <c r="G19" s="345"/>
      <c r="H19" s="281"/>
      <c r="I19" s="256"/>
      <c r="J19" s="57"/>
    </row>
    <row r="20" spans="1:10" ht="17.5">
      <c r="A20" s="258"/>
      <c r="B20" s="256"/>
      <c r="C20" s="256"/>
      <c r="D20" s="256"/>
      <c r="E20" s="256"/>
      <c r="F20" s="256"/>
      <c r="G20" s="256"/>
      <c r="H20" s="256"/>
      <c r="I20" s="256"/>
      <c r="J20" s="57"/>
    </row>
    <row r="21" spans="1:10" ht="17.5">
      <c r="A21" s="398" t="s">
        <v>236</v>
      </c>
      <c r="B21" s="396" t="str">
        <f>IFERROR(VLOOKUP(J21,Пр.взв!$D$6:$J$63,3,0),"")</f>
        <v/>
      </c>
      <c r="C21" s="389"/>
      <c r="D21" s="389"/>
      <c r="E21" s="389"/>
      <c r="F21" s="389"/>
      <c r="G21" s="376"/>
      <c r="H21" s="397" t="str">
        <f>IFERROR(VLOOKUP(J21,Пр.взв!$D$6:$J$63,5,0),"")</f>
        <v/>
      </c>
      <c r="I21" s="256"/>
      <c r="J21" s="257" t="e">
        <f>Ит.пр!B9</f>
        <v>#N/A</v>
      </c>
    </row>
    <row r="22" spans="1:10" ht="17.5">
      <c r="A22" s="395"/>
      <c r="B22" s="348"/>
      <c r="C22" s="345"/>
      <c r="D22" s="345"/>
      <c r="E22" s="345"/>
      <c r="F22" s="345"/>
      <c r="G22" s="281"/>
      <c r="H22" s="283"/>
      <c r="I22" s="256"/>
      <c r="J22" s="57"/>
    </row>
    <row r="23" spans="1:10" ht="17.5">
      <c r="A23" s="395"/>
      <c r="B23" s="387" t="str">
        <f>IFERROR(VLOOKUP(J21,Пр.взв!$D$6:$J$63,6,0),"")</f>
        <v/>
      </c>
      <c r="C23" s="376"/>
      <c r="D23" s="388" t="str">
        <f>IFERROR(VLOOKUP(J21,Пр.взв!$D$6:$J$63,7,0),"")</f>
        <v/>
      </c>
      <c r="E23" s="389"/>
      <c r="F23" s="389"/>
      <c r="G23" s="389"/>
      <c r="H23" s="376"/>
      <c r="I23" s="256"/>
      <c r="J23" s="49"/>
    </row>
    <row r="24" spans="1:10" ht="17.5">
      <c r="A24" s="348"/>
      <c r="B24" s="348"/>
      <c r="C24" s="281"/>
      <c r="D24" s="348"/>
      <c r="E24" s="345"/>
      <c r="F24" s="345"/>
      <c r="G24" s="345"/>
      <c r="H24" s="281"/>
      <c r="I24" s="256"/>
      <c r="J24" s="49"/>
    </row>
    <row r="25" spans="1:10" ht="17.5">
      <c r="A25" s="256"/>
      <c r="B25" s="256"/>
      <c r="C25" s="256"/>
      <c r="D25" s="256"/>
      <c r="E25" s="256"/>
      <c r="F25" s="256"/>
      <c r="G25" s="256"/>
      <c r="H25" s="256"/>
      <c r="I25" s="49"/>
      <c r="J25" s="49"/>
    </row>
    <row r="26" spans="1:10" ht="17.5">
      <c r="A26" s="399" t="s">
        <v>237</v>
      </c>
      <c r="B26" s="264"/>
      <c r="C26" s="264"/>
      <c r="D26" s="256"/>
      <c r="E26" s="256"/>
      <c r="F26" s="256"/>
      <c r="G26" s="256"/>
      <c r="H26" s="256"/>
      <c r="I26" s="49"/>
      <c r="J26" s="49"/>
    </row>
    <row r="27" spans="1:10" ht="12.5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0" ht="12.5">
      <c r="A28" s="396" t="str">
        <f>IFERROR(VLOOKUP(J28,Пр.взв!$D$6:$M$63,10,0),"")</f>
        <v/>
      </c>
      <c r="B28" s="389"/>
      <c r="C28" s="389"/>
      <c r="D28" s="389"/>
      <c r="E28" s="389"/>
      <c r="F28" s="389"/>
      <c r="G28" s="389"/>
      <c r="H28" s="376"/>
      <c r="I28" s="49"/>
      <c r="J28" s="257" t="e">
        <f>J6</f>
        <v>#N/A</v>
      </c>
    </row>
    <row r="29" spans="1:10" ht="12.5">
      <c r="A29" s="348"/>
      <c r="B29" s="345"/>
      <c r="C29" s="345"/>
      <c r="D29" s="345"/>
      <c r="E29" s="345"/>
      <c r="F29" s="345"/>
      <c r="G29" s="345"/>
      <c r="H29" s="281"/>
      <c r="I29" s="49"/>
      <c r="J29" s="49"/>
    </row>
    <row r="30" spans="1:10" ht="12.5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 spans="1:10" ht="12.5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 spans="1:10" ht="17.5">
      <c r="A32" s="399" t="s">
        <v>238</v>
      </c>
      <c r="B32" s="264"/>
      <c r="C32" s="264"/>
      <c r="D32" s="264"/>
      <c r="E32" s="256"/>
      <c r="F32" s="256"/>
      <c r="G32" s="256"/>
      <c r="H32" s="256"/>
      <c r="I32" s="49"/>
      <c r="J32" s="49"/>
    </row>
    <row r="33" spans="1:10" ht="17.5">
      <c r="A33" s="256"/>
      <c r="B33" s="256"/>
      <c r="C33" s="256"/>
      <c r="D33" s="256"/>
      <c r="E33" s="256"/>
      <c r="F33" s="256"/>
      <c r="G33" s="256"/>
      <c r="H33" s="256"/>
      <c r="I33" s="49"/>
      <c r="J33" s="49"/>
    </row>
    <row r="34" spans="1:10" ht="17.5">
      <c r="A34" s="256"/>
      <c r="B34" s="256"/>
      <c r="C34" s="256"/>
      <c r="D34" s="256"/>
      <c r="E34" s="256"/>
      <c r="F34" s="256"/>
      <c r="G34" s="256"/>
      <c r="H34" s="256"/>
      <c r="I34" s="49"/>
      <c r="J34" s="49"/>
    </row>
    <row r="35" spans="1:10" ht="17.5">
      <c r="A35" s="259"/>
      <c r="B35" s="259"/>
      <c r="C35" s="259"/>
      <c r="D35" s="259"/>
      <c r="E35" s="259"/>
      <c r="F35" s="259"/>
      <c r="G35" s="259"/>
      <c r="H35" s="259"/>
      <c r="I35" s="49"/>
      <c r="J35" s="260"/>
    </row>
    <row r="36" spans="1:10" ht="17.5">
      <c r="A36" s="256"/>
      <c r="B36" s="256"/>
      <c r="C36" s="256"/>
      <c r="D36" s="256"/>
      <c r="E36" s="256"/>
      <c r="F36" s="256"/>
      <c r="G36" s="256"/>
      <c r="H36" s="256"/>
      <c r="I36" s="49"/>
      <c r="J36" s="49"/>
    </row>
    <row r="37" spans="1:10" ht="17.5">
      <c r="A37" s="259"/>
      <c r="B37" s="259"/>
      <c r="C37" s="259"/>
      <c r="D37" s="259"/>
      <c r="E37" s="259"/>
      <c r="F37" s="259"/>
      <c r="G37" s="259"/>
      <c r="H37" s="259"/>
      <c r="I37" s="49"/>
      <c r="J37" s="49"/>
    </row>
    <row r="38" spans="1:10" ht="17.5">
      <c r="A38" s="261"/>
      <c r="B38" s="261"/>
      <c r="C38" s="261"/>
      <c r="D38" s="261"/>
      <c r="E38" s="261"/>
      <c r="F38" s="261"/>
      <c r="G38" s="261"/>
      <c r="H38" s="261"/>
      <c r="I38" s="49"/>
      <c r="J38" s="49"/>
    </row>
    <row r="39" spans="1:10" ht="17.5">
      <c r="A39" s="256"/>
      <c r="B39" s="256"/>
      <c r="C39" s="256"/>
      <c r="D39" s="256"/>
      <c r="E39" s="256"/>
      <c r="F39" s="256"/>
      <c r="G39" s="256"/>
      <c r="H39" s="256"/>
      <c r="I39" s="49"/>
      <c r="J39" s="262"/>
    </row>
    <row r="40" spans="1:10" ht="17.5">
      <c r="A40" s="261"/>
      <c r="B40" s="261"/>
      <c r="C40" s="261"/>
      <c r="D40" s="261"/>
      <c r="E40" s="261"/>
      <c r="F40" s="261"/>
      <c r="G40" s="261"/>
      <c r="H40" s="261"/>
      <c r="I40" s="49"/>
      <c r="J40" s="49"/>
    </row>
  </sheetData>
  <mergeCells count="27">
    <mergeCell ref="A32:D32"/>
    <mergeCell ref="A11:A14"/>
    <mergeCell ref="B11:G12"/>
    <mergeCell ref="H11:H12"/>
    <mergeCell ref="B13:C14"/>
    <mergeCell ref="D13:H14"/>
    <mergeCell ref="B16:G17"/>
    <mergeCell ref="H16:H17"/>
    <mergeCell ref="D18:H19"/>
    <mergeCell ref="B21:G22"/>
    <mergeCell ref="H21:H22"/>
    <mergeCell ref="D23:H24"/>
    <mergeCell ref="A28:H29"/>
    <mergeCell ref="A16:A19"/>
    <mergeCell ref="B18:C19"/>
    <mergeCell ref="A21:A24"/>
    <mergeCell ref="B23:C24"/>
    <mergeCell ref="A26:C26"/>
    <mergeCell ref="B8:C9"/>
    <mergeCell ref="D8:H9"/>
    <mergeCell ref="A1:H1"/>
    <mergeCell ref="A2:H2"/>
    <mergeCell ref="A3:H3"/>
    <mergeCell ref="D4:F4"/>
    <mergeCell ref="A6:A9"/>
    <mergeCell ref="B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Пр.взв</vt:lpstr>
      <vt:lpstr>Пр.хода</vt:lpstr>
      <vt:lpstr>Фин</vt:lpstr>
      <vt:lpstr>Ит.пр</vt:lpstr>
      <vt:lpstr>Круги</vt:lpstr>
      <vt:lpstr>Наг.лист</vt:lpstr>
      <vt:lpstr>KR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SamboS</dc:creator>
  <cp:lastModifiedBy>Пользователь Windows</cp:lastModifiedBy>
  <dcterms:modified xsi:type="dcterms:W3CDTF">2023-02-13T17:53:11Z</dcterms:modified>
</cp:coreProperties>
</file>