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24519"/>
</workbook>
</file>

<file path=xl/calcChain.xml><?xml version="1.0" encoding="utf-8"?>
<calcChain xmlns="http://schemas.openxmlformats.org/spreadsheetml/2006/main">
  <c r="B2" i="7"/>
  <c r="N40" i="3" l="1"/>
  <c r="N38"/>
  <c r="J40"/>
  <c r="J38"/>
  <c r="A40"/>
  <c r="A38"/>
  <c r="A3" i="2"/>
  <c r="B2"/>
  <c r="L56" i="7" l="1"/>
  <c r="B56"/>
  <c r="G28" i="1" l="1"/>
  <c r="C4" i="3"/>
  <c r="C3"/>
  <c r="D5" i="4" l="1"/>
  <c r="C5"/>
  <c r="B23" i="7"/>
  <c r="B35" s="1"/>
  <c r="B43" s="1"/>
  <c r="L3"/>
  <c r="L23" s="1"/>
  <c r="L35" s="1"/>
  <c r="L43" s="1"/>
  <c r="G3" i="1" l="1"/>
  <c r="M9" i="7" l="1"/>
  <c r="N9"/>
  <c r="O9"/>
  <c r="P9"/>
  <c r="M11"/>
  <c r="N11"/>
  <c r="O11"/>
  <c r="P11"/>
  <c r="M13"/>
  <c r="N13"/>
  <c r="O13"/>
  <c r="P13"/>
  <c r="M15"/>
  <c r="N15"/>
  <c r="O15"/>
  <c r="P15"/>
  <c r="M17"/>
  <c r="N17"/>
  <c r="O17"/>
  <c r="P17"/>
  <c r="M19"/>
  <c r="N19"/>
  <c r="O19"/>
  <c r="P19"/>
  <c r="M21"/>
  <c r="N21"/>
  <c r="O21"/>
  <c r="P21"/>
  <c r="P7"/>
  <c r="O7"/>
  <c r="N7"/>
  <c r="M7"/>
  <c r="C9"/>
  <c r="D9"/>
  <c r="E9"/>
  <c r="F9"/>
  <c r="C11"/>
  <c r="D11"/>
  <c r="E11"/>
  <c r="F11"/>
  <c r="C13"/>
  <c r="D13"/>
  <c r="E13"/>
  <c r="F13"/>
  <c r="C15"/>
  <c r="D15"/>
  <c r="E15"/>
  <c r="F15"/>
  <c r="C17"/>
  <c r="D17"/>
  <c r="E17"/>
  <c r="F17"/>
  <c r="C19"/>
  <c r="D19"/>
  <c r="E19"/>
  <c r="F19"/>
  <c r="C21"/>
  <c r="D21"/>
  <c r="E21"/>
  <c r="F21"/>
  <c r="F7"/>
  <c r="C7"/>
  <c r="D7"/>
  <c r="E7"/>
  <c r="B17" i="4" l="1"/>
  <c r="D2" i="1" l="1"/>
  <c r="A2" i="4" l="1"/>
  <c r="A2" i="6"/>
  <c r="B3" i="1"/>
  <c r="A1" i="5"/>
  <c r="A1" i="4"/>
  <c r="A1" i="6"/>
  <c r="J5" i="3"/>
  <c r="R32" l="1"/>
  <c r="F32"/>
  <c r="I8"/>
  <c r="R9"/>
  <c r="S9"/>
  <c r="T9"/>
  <c r="R11"/>
  <c r="S11"/>
  <c r="T11"/>
  <c r="R13"/>
  <c r="S13"/>
  <c r="T13"/>
  <c r="R15"/>
  <c r="S15"/>
  <c r="T15"/>
  <c r="R17"/>
  <c r="S17"/>
  <c r="T17"/>
  <c r="R19"/>
  <c r="S19"/>
  <c r="T19"/>
  <c r="R21"/>
  <c r="S21"/>
  <c r="T21"/>
  <c r="T7"/>
  <c r="S7"/>
  <c r="R7"/>
  <c r="B11"/>
  <c r="C11"/>
  <c r="D11"/>
  <c r="B13"/>
  <c r="C13"/>
  <c r="D13"/>
  <c r="B15"/>
  <c r="C15"/>
  <c r="D15"/>
  <c r="B17"/>
  <c r="C17"/>
  <c r="D17"/>
  <c r="B19"/>
  <c r="C19"/>
  <c r="D19"/>
  <c r="B21"/>
  <c r="C21"/>
  <c r="D21"/>
  <c r="D9"/>
  <c r="C9"/>
  <c r="B9"/>
  <c r="D7"/>
  <c r="C7"/>
  <c r="B7"/>
  <c r="G27" i="1"/>
  <c r="G25"/>
  <c r="G24"/>
  <c r="A24"/>
  <c r="Y34" i="3"/>
  <c r="C35" s="1"/>
  <c r="D35" s="1"/>
  <c r="Y33"/>
  <c r="M35" s="1"/>
  <c r="N35" s="1"/>
  <c r="Z32"/>
  <c r="Y32"/>
  <c r="I31" s="1"/>
  <c r="J31" s="1"/>
  <c r="Z31"/>
  <c r="Y31"/>
  <c r="A31" s="1"/>
  <c r="B31" s="1"/>
  <c r="Z30"/>
  <c r="Y30"/>
  <c r="I25" s="1"/>
  <c r="Z26" s="1"/>
  <c r="AA29"/>
  <c r="H20" s="1"/>
  <c r="I20" s="1"/>
  <c r="Z29"/>
  <c r="Y29"/>
  <c r="A25" s="1"/>
  <c r="AA28"/>
  <c r="Y28"/>
  <c r="I33" s="1"/>
  <c r="J33" s="1"/>
  <c r="AA27"/>
  <c r="Y27"/>
  <c r="A33" s="1"/>
  <c r="B33" s="1"/>
  <c r="Y26"/>
  <c r="I27" s="1"/>
  <c r="J27" s="1"/>
  <c r="Y25"/>
  <c r="A27" s="1"/>
  <c r="B27" s="1"/>
  <c r="J25" l="1"/>
  <c r="AA25"/>
  <c r="Z25"/>
  <c r="AA26"/>
  <c r="B25"/>
  <c r="Z27"/>
  <c r="Z28"/>
  <c r="L22" i="2" l="1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T12" i="1"/>
  <c r="B13"/>
  <c r="G13" s="1"/>
  <c r="B12"/>
  <c r="C12" s="1"/>
  <c r="B21"/>
  <c r="C21" s="1"/>
  <c r="B19"/>
  <c r="C19" s="1"/>
  <c r="B20"/>
  <c r="H20" s="1"/>
  <c r="B18"/>
  <c r="F18" s="1"/>
  <c r="B14"/>
  <c r="G14" s="1"/>
  <c r="B54" i="7"/>
  <c r="D22" i="4"/>
  <c r="D24"/>
  <c r="D36"/>
  <c r="D34"/>
  <c r="D32"/>
  <c r="D30"/>
  <c r="D28"/>
  <c r="D19"/>
  <c r="D17"/>
  <c r="D15"/>
  <c r="D13"/>
  <c r="D11"/>
  <c r="D9"/>
  <c r="G24" i="7"/>
  <c r="B34" i="5"/>
  <c r="E34" s="1"/>
  <c r="B32"/>
  <c r="F32" s="1"/>
  <c r="B19"/>
  <c r="D19" s="1"/>
  <c r="B7"/>
  <c r="C7" s="1"/>
  <c r="J28" i="6"/>
  <c r="A28" s="1"/>
  <c r="B6" i="1"/>
  <c r="B9"/>
  <c r="E9" s="1"/>
  <c r="B8"/>
  <c r="H8" s="1"/>
  <c r="L63" i="7"/>
  <c r="L61"/>
  <c r="B63"/>
  <c r="B61"/>
  <c r="L41"/>
  <c r="L39"/>
  <c r="B41"/>
  <c r="B39"/>
  <c r="L33"/>
  <c r="L31"/>
  <c r="L29"/>
  <c r="L27"/>
  <c r="B33"/>
  <c r="B31"/>
  <c r="B29"/>
  <c r="B27"/>
  <c r="Q36"/>
  <c r="Q45" s="1"/>
  <c r="Q58" s="1"/>
  <c r="G36"/>
  <c r="G45" s="1"/>
  <c r="G58" s="1"/>
  <c r="J21" i="6"/>
  <c r="D23" s="1"/>
  <c r="J16"/>
  <c r="D18" s="1"/>
  <c r="J6"/>
  <c r="D4"/>
  <c r="C36" i="4"/>
  <c r="C34"/>
  <c r="C32"/>
  <c r="C30"/>
  <c r="C28"/>
  <c r="C26"/>
  <c r="C24"/>
  <c r="C22"/>
  <c r="B36"/>
  <c r="B34"/>
  <c r="B32"/>
  <c r="B30"/>
  <c r="B28"/>
  <c r="B26"/>
  <c r="B24"/>
  <c r="B22"/>
  <c r="C19"/>
  <c r="B19"/>
  <c r="C17"/>
  <c r="C15"/>
  <c r="B15"/>
  <c r="C13"/>
  <c r="B13"/>
  <c r="C11"/>
  <c r="B11"/>
  <c r="C9"/>
  <c r="B9"/>
  <c r="C7"/>
  <c r="B7"/>
  <c r="B5"/>
  <c r="E29" i="5"/>
  <c r="E16"/>
  <c r="E2"/>
  <c r="F3" i="4"/>
  <c r="A27" i="1"/>
  <c r="B11"/>
  <c r="D11" s="1"/>
  <c r="B17"/>
  <c r="E17" s="1"/>
  <c r="B9" i="5"/>
  <c r="B16" i="1"/>
  <c r="G16" s="1"/>
  <c r="B52" i="7"/>
  <c r="J11" i="6"/>
  <c r="H11" s="1"/>
  <c r="B7" i="1"/>
  <c r="E7" s="1"/>
  <c r="B15"/>
  <c r="F15" s="1"/>
  <c r="L48" i="7"/>
  <c r="L54"/>
  <c r="L50"/>
  <c r="L52"/>
  <c r="B10" i="1"/>
  <c r="C10" s="1"/>
  <c r="B50" i="7"/>
  <c r="B21" i="5"/>
  <c r="D21" s="1"/>
  <c r="B48" i="7"/>
  <c r="D7" i="4"/>
  <c r="D26"/>
  <c r="F9" i="5" l="1"/>
  <c r="E9"/>
  <c r="D9"/>
  <c r="C9"/>
  <c r="E20" i="1"/>
  <c r="D7" i="5"/>
  <c r="D20" i="1"/>
  <c r="O61" i="7"/>
  <c r="N61"/>
  <c r="M61"/>
  <c r="P61"/>
  <c r="H16" i="6"/>
  <c r="E63" i="7"/>
  <c r="D63"/>
  <c r="C63"/>
  <c r="F63"/>
  <c r="E61"/>
  <c r="D61"/>
  <c r="C61"/>
  <c r="F61"/>
  <c r="M31"/>
  <c r="O31"/>
  <c r="P31"/>
  <c r="N31"/>
  <c r="M39"/>
  <c r="P39"/>
  <c r="O39"/>
  <c r="N39"/>
  <c r="M48"/>
  <c r="O48"/>
  <c r="N48"/>
  <c r="P48"/>
  <c r="M33"/>
  <c r="O33"/>
  <c r="N33"/>
  <c r="P33"/>
  <c r="M50"/>
  <c r="P50"/>
  <c r="O50"/>
  <c r="N50"/>
  <c r="M29"/>
  <c r="N29"/>
  <c r="P29"/>
  <c r="O29"/>
  <c r="M27"/>
  <c r="O27"/>
  <c r="P27"/>
  <c r="N27"/>
  <c r="C29"/>
  <c r="E29"/>
  <c r="F29"/>
  <c r="D29"/>
  <c r="C50"/>
  <c r="F50"/>
  <c r="E50"/>
  <c r="D50"/>
  <c r="C31"/>
  <c r="D31"/>
  <c r="F31"/>
  <c r="E31"/>
  <c r="C48"/>
  <c r="E48"/>
  <c r="D48"/>
  <c r="F48"/>
  <c r="C52"/>
  <c r="D52"/>
  <c r="F52"/>
  <c r="E52"/>
  <c r="C33"/>
  <c r="E33"/>
  <c r="F33"/>
  <c r="D33"/>
  <c r="C54"/>
  <c r="E54"/>
  <c r="F54"/>
  <c r="D54"/>
  <c r="C41"/>
  <c r="F41"/>
  <c r="E41"/>
  <c r="D41"/>
  <c r="C27"/>
  <c r="F27"/>
  <c r="E27"/>
  <c r="D27"/>
  <c r="C39"/>
  <c r="E39"/>
  <c r="D39"/>
  <c r="F39"/>
  <c r="H21" i="6"/>
  <c r="M63" i="7"/>
  <c r="P63"/>
  <c r="O63"/>
  <c r="N63"/>
  <c r="M54"/>
  <c r="P54"/>
  <c r="O54"/>
  <c r="N54"/>
  <c r="M52"/>
  <c r="P52"/>
  <c r="O52"/>
  <c r="N52"/>
  <c r="M41"/>
  <c r="P41"/>
  <c r="O41"/>
  <c r="N41"/>
  <c r="C9" i="1"/>
  <c r="C19" i="5"/>
  <c r="E8" i="1"/>
  <c r="F12"/>
  <c r="G19"/>
  <c r="C32" i="5"/>
  <c r="L2" i="7"/>
  <c r="Q24" s="1"/>
  <c r="F9" i="1"/>
  <c r="J12" s="1"/>
  <c r="V1" s="1"/>
  <c r="D9"/>
  <c r="H15"/>
  <c r="H9"/>
  <c r="G8"/>
  <c r="F8"/>
  <c r="J10" s="1"/>
  <c r="F7" i="5"/>
  <c r="D8" i="1"/>
  <c r="E12"/>
  <c r="C7"/>
  <c r="D34" i="5"/>
  <c r="E32"/>
  <c r="F21" i="1"/>
  <c r="E21"/>
  <c r="D21"/>
  <c r="G18"/>
  <c r="D18"/>
  <c r="C21" i="5"/>
  <c r="F19"/>
  <c r="E19"/>
  <c r="F13" i="1"/>
  <c r="B18" i="6"/>
  <c r="B16"/>
  <c r="G12" i="1"/>
  <c r="H12"/>
  <c r="D12"/>
  <c r="E7" i="5"/>
  <c r="G21" i="1"/>
  <c r="F17"/>
  <c r="D17"/>
  <c r="H21"/>
  <c r="C15"/>
  <c r="C34" i="5"/>
  <c r="B11" i="6"/>
  <c r="H10" i="1"/>
  <c r="F34" i="5"/>
  <c r="D10" i="1"/>
  <c r="G10"/>
  <c r="F10"/>
  <c r="J14" s="1"/>
  <c r="E10"/>
  <c r="F16"/>
  <c r="H16"/>
  <c r="C16"/>
  <c r="D16"/>
  <c r="C18"/>
  <c r="H18"/>
  <c r="H14"/>
  <c r="E18"/>
  <c r="D32" i="5"/>
  <c r="D13" i="6"/>
  <c r="C20" i="1"/>
  <c r="E16"/>
  <c r="F20"/>
  <c r="G20"/>
  <c r="H7"/>
  <c r="D7"/>
  <c r="F7"/>
  <c r="J8" s="1"/>
  <c r="O12" s="1"/>
  <c r="G9"/>
  <c r="C8"/>
  <c r="N7" i="2" a="1"/>
  <c r="N7" s="1"/>
  <c r="Q6" s="1"/>
  <c r="Z6" s="1"/>
  <c r="M7" a="1"/>
  <c r="M7" s="1"/>
  <c r="P7" s="1"/>
  <c r="Y7" s="1"/>
  <c r="F11" i="1"/>
  <c r="J16" s="1"/>
  <c r="G11"/>
  <c r="E11"/>
  <c r="B6" i="6"/>
  <c r="B8"/>
  <c r="H11" i="1"/>
  <c r="G6"/>
  <c r="F6"/>
  <c r="J4" s="1"/>
  <c r="E6"/>
  <c r="D6"/>
  <c r="H6"/>
  <c r="F14"/>
  <c r="E14"/>
  <c r="C14"/>
  <c r="F19"/>
  <c r="H19"/>
  <c r="D19"/>
  <c r="H13"/>
  <c r="D13"/>
  <c r="E13"/>
  <c r="C13"/>
  <c r="D14"/>
  <c r="D15"/>
  <c r="E15"/>
  <c r="G15"/>
  <c r="G17"/>
  <c r="C17"/>
  <c r="H17"/>
  <c r="B13" i="6"/>
  <c r="F21" i="5"/>
  <c r="E21"/>
  <c r="C11" i="1"/>
  <c r="E19"/>
  <c r="D8" i="6"/>
  <c r="H6"/>
  <c r="C6" i="1"/>
  <c r="B21" i="6"/>
  <c r="B23"/>
  <c r="G7" i="1"/>
  <c r="P17" l="1"/>
  <c r="P14"/>
  <c r="Q16"/>
  <c r="P10"/>
  <c r="P7"/>
  <c r="P15"/>
  <c r="P6"/>
  <c r="P8"/>
  <c r="P16"/>
  <c r="P9"/>
  <c r="P11"/>
  <c r="P13"/>
  <c r="P12"/>
  <c r="O13"/>
  <c r="O6"/>
  <c r="O7"/>
  <c r="T9"/>
  <c r="W9" s="1"/>
  <c r="O10"/>
  <c r="O9"/>
  <c r="O8"/>
  <c r="O14"/>
  <c r="O11"/>
  <c r="O16"/>
  <c r="O17"/>
  <c r="O15"/>
  <c r="N8" i="2" a="1"/>
  <c r="N8" s="1"/>
  <c r="R6" s="1"/>
  <c r="M8" a="1"/>
  <c r="M8" s="1"/>
  <c r="M9" s="1" a="1"/>
  <c r="M9" s="1"/>
  <c r="P9" s="1"/>
  <c r="Y9" s="1"/>
  <c r="Q13" i="1"/>
  <c r="T10"/>
  <c r="V10" s="1"/>
  <c r="Q7" i="2"/>
  <c r="Q11" i="1"/>
  <c r="Q10"/>
  <c r="Q15"/>
  <c r="Q6"/>
  <c r="N9"/>
  <c r="N17"/>
  <c r="N14"/>
  <c r="N7"/>
  <c r="N6"/>
  <c r="N8"/>
  <c r="N12"/>
  <c r="N15"/>
  <c r="T6"/>
  <c r="N10"/>
  <c r="N13"/>
  <c r="N11"/>
  <c r="N16"/>
  <c r="T13"/>
  <c r="Q14"/>
  <c r="Q17"/>
  <c r="Q7"/>
  <c r="Q12"/>
  <c r="Q8"/>
  <c r="Q9"/>
  <c r="T11"/>
  <c r="T2"/>
  <c r="T8"/>
  <c r="T7"/>
  <c r="P18" l="1"/>
  <c r="U9"/>
  <c r="V9"/>
  <c r="N9" i="2" a="1"/>
  <c r="N9" s="1"/>
  <c r="N10" s="1" a="1"/>
  <c r="N10" s="1"/>
  <c r="N11" s="1" a="1"/>
  <c r="N11" s="1"/>
  <c r="U6" s="1"/>
  <c r="X9" i="1"/>
  <c r="O18"/>
  <c r="R9" i="2"/>
  <c r="X10" i="1"/>
  <c r="M10" i="2" a="1"/>
  <c r="M10" s="1"/>
  <c r="P10" s="1"/>
  <c r="Q9"/>
  <c r="W10" i="1"/>
  <c r="P8" i="2"/>
  <c r="Y8" s="1"/>
  <c r="U10" i="1"/>
  <c r="Z7" i="2"/>
  <c r="AA6"/>
  <c r="R7"/>
  <c r="AA7" s="1"/>
  <c r="Q18" i="1"/>
  <c r="Z7"/>
  <c r="Z9"/>
  <c r="Z10"/>
  <c r="U7"/>
  <c r="V7"/>
  <c r="Z11"/>
  <c r="W7"/>
  <c r="X7"/>
  <c r="X6"/>
  <c r="W6"/>
  <c r="V6"/>
  <c r="Z6"/>
  <c r="AB6" s="1"/>
  <c r="AD6" s="1"/>
  <c r="U6"/>
  <c r="N18"/>
  <c r="U8"/>
  <c r="W8"/>
  <c r="X8"/>
  <c r="V8"/>
  <c r="Z8"/>
  <c r="V11"/>
  <c r="W11"/>
  <c r="U11"/>
  <c r="X11"/>
  <c r="T1"/>
  <c r="S6" i="2" l="1"/>
  <c r="S10" s="1"/>
  <c r="R8"/>
  <c r="AA8" s="1"/>
  <c r="M11" a="1"/>
  <c r="M11" s="1"/>
  <c r="P11" s="1"/>
  <c r="S11" s="1"/>
  <c r="AA9"/>
  <c r="Z9"/>
  <c r="Q8"/>
  <c r="Z8" s="1"/>
  <c r="N12" a="1"/>
  <c r="N12" s="1"/>
  <c r="V6" s="1"/>
  <c r="V8" s="1"/>
  <c r="AE8" s="1"/>
  <c r="AD6"/>
  <c r="U7"/>
  <c r="AD7" s="1"/>
  <c r="U9"/>
  <c r="AD9" s="1"/>
  <c r="R10"/>
  <c r="U10"/>
  <c r="AD10" s="1"/>
  <c r="Q10"/>
  <c r="Y10"/>
  <c r="AA7" i="1"/>
  <c r="AB8"/>
  <c r="T6" i="2"/>
  <c r="U8"/>
  <c r="AD8" s="1"/>
  <c r="AK6" i="1"/>
  <c r="AG6"/>
  <c r="AF6"/>
  <c r="AE6"/>
  <c r="AH6"/>
  <c r="V18"/>
  <c r="W18"/>
  <c r="U18"/>
  <c r="X18"/>
  <c r="AB9"/>
  <c r="AB7"/>
  <c r="AB10"/>
  <c r="AB11"/>
  <c r="S7" i="2" l="1"/>
  <c r="AB7" s="1"/>
  <c r="AB6"/>
  <c r="S8"/>
  <c r="AB8" s="1"/>
  <c r="S9"/>
  <c r="AB9" s="1"/>
  <c r="R11"/>
  <c r="Q11"/>
  <c r="U11"/>
  <c r="AD11" s="1"/>
  <c r="M12" a="1"/>
  <c r="M12" s="1"/>
  <c r="P12" s="1"/>
  <c r="R12" s="1"/>
  <c r="Y11"/>
  <c r="AB11" s="1"/>
  <c r="V10"/>
  <c r="AE10" s="1"/>
  <c r="V7"/>
  <c r="AE7" s="1"/>
  <c r="V9"/>
  <c r="AE9" s="1"/>
  <c r="V11"/>
  <c r="AE11" s="1"/>
  <c r="AE6"/>
  <c r="N13" a="1"/>
  <c r="N13" s="1"/>
  <c r="W6" s="1"/>
  <c r="W11" s="1"/>
  <c r="AF11" s="1"/>
  <c r="AC6"/>
  <c r="T7"/>
  <c r="T9"/>
  <c r="AC9" s="1"/>
  <c r="T8"/>
  <c r="AC8" s="1"/>
  <c r="T11"/>
  <c r="AA10"/>
  <c r="AB10"/>
  <c r="Z10"/>
  <c r="T10"/>
  <c r="AC10" s="1"/>
  <c r="AD11" i="1"/>
  <c r="AD9"/>
  <c r="AD10"/>
  <c r="AD7"/>
  <c r="AL6"/>
  <c r="AM6"/>
  <c r="AD8"/>
  <c r="AN6"/>
  <c r="AO6"/>
  <c r="Z11" i="2" l="1"/>
  <c r="AC11"/>
  <c r="AA11"/>
  <c r="Y12"/>
  <c r="S12"/>
  <c r="V12"/>
  <c r="AE12" s="1"/>
  <c r="T12"/>
  <c r="M13" a="1"/>
  <c r="M13" s="1"/>
  <c r="M14" s="1" a="1"/>
  <c r="M14" s="1"/>
  <c r="P14" s="1"/>
  <c r="U14" s="1"/>
  <c r="AD14" s="1"/>
  <c r="Q12"/>
  <c r="U12"/>
  <c r="AD12" s="1"/>
  <c r="W9"/>
  <c r="AF9" s="1"/>
  <c r="N14" a="1"/>
  <c r="N14" s="1"/>
  <c r="N15" s="1" a="1"/>
  <c r="N15" s="1"/>
  <c r="N16" s="1" a="1"/>
  <c r="N16" s="1"/>
  <c r="W10"/>
  <c r="AF10" s="1"/>
  <c r="AF6"/>
  <c r="W12"/>
  <c r="AF12" s="1"/>
  <c r="W7"/>
  <c r="AF7" s="1"/>
  <c r="W8"/>
  <c r="AF8" s="1"/>
  <c r="AC7"/>
  <c r="AF10" i="1"/>
  <c r="AM10" s="1"/>
  <c r="AH10"/>
  <c r="AO10" s="1"/>
  <c r="AE10"/>
  <c r="AL10" s="1"/>
  <c r="AG10"/>
  <c r="AN10" s="1"/>
  <c r="AK10"/>
  <c r="AF9"/>
  <c r="AM9" s="1"/>
  <c r="AH9"/>
  <c r="AO9" s="1"/>
  <c r="AE9"/>
  <c r="AL9" s="1"/>
  <c r="AK9"/>
  <c r="AG9"/>
  <c r="AN9" s="1"/>
  <c r="AK7"/>
  <c r="AE7"/>
  <c r="AG7"/>
  <c r="AF7"/>
  <c r="AH7"/>
  <c r="AK8"/>
  <c r="AE8"/>
  <c r="AL8" s="1"/>
  <c r="AF8"/>
  <c r="AM8" s="1"/>
  <c r="AH8"/>
  <c r="AO8" s="1"/>
  <c r="AG8"/>
  <c r="AN8" s="1"/>
  <c r="AH11"/>
  <c r="AO11" s="1"/>
  <c r="AE11"/>
  <c r="AL11" s="1"/>
  <c r="AF11"/>
  <c r="AM11" s="1"/>
  <c r="AG11"/>
  <c r="AN11" s="1"/>
  <c r="AK11"/>
  <c r="Z12" i="2" l="1"/>
  <c r="AB12"/>
  <c r="AA12"/>
  <c r="AC12"/>
  <c r="P13"/>
  <c r="R13" s="1"/>
  <c r="W14"/>
  <c r="AF14" s="1"/>
  <c r="Y14"/>
  <c r="S14"/>
  <c r="V14"/>
  <c r="AE14" s="1"/>
  <c r="M15" a="1"/>
  <c r="M15" s="1"/>
  <c r="P15" s="1"/>
  <c r="S15" s="1"/>
  <c r="T14"/>
  <c r="R14"/>
  <c r="Q14"/>
  <c r="N17" a="1"/>
  <c r="N17" s="1"/>
  <c r="AL7" i="1"/>
  <c r="AL12" s="1"/>
  <c r="AE12"/>
  <c r="AO7"/>
  <c r="AO12" s="1"/>
  <c r="AH12"/>
  <c r="AN7"/>
  <c r="AN12" s="1"/>
  <c r="AG12"/>
  <c r="AM7"/>
  <c r="AM12" s="1"/>
  <c r="AF12"/>
  <c r="T13" i="2" l="1"/>
  <c r="Y13"/>
  <c r="Z14" s="1"/>
  <c r="Q13"/>
  <c r="V13"/>
  <c r="AE13" s="1"/>
  <c r="U13"/>
  <c r="AD13" s="1"/>
  <c r="W13"/>
  <c r="AF13" s="1"/>
  <c r="S13"/>
  <c r="T15"/>
  <c r="Y15"/>
  <c r="U15"/>
  <c r="AD15" s="1"/>
  <c r="V15"/>
  <c r="AE15" s="1"/>
  <c r="W15"/>
  <c r="AF15" s="1"/>
  <c r="Q15"/>
  <c r="M16" a="1"/>
  <c r="M16" s="1"/>
  <c r="R15"/>
  <c r="N18" a="1"/>
  <c r="N18" s="1"/>
  <c r="N19" s="1" a="1"/>
  <c r="N19" s="1"/>
  <c r="N20" s="1" a="1"/>
  <c r="N20" s="1"/>
  <c r="N21" s="1" a="1"/>
  <c r="N21" s="1"/>
  <c r="N22" s="1" a="1"/>
  <c r="N22" s="1"/>
  <c r="AA13" l="1"/>
  <c r="AA14"/>
  <c r="AC13"/>
  <c r="AC14"/>
  <c r="AB14"/>
  <c r="AB13"/>
  <c r="Z13"/>
  <c r="Z15"/>
  <c r="AA15"/>
  <c r="AC15"/>
  <c r="AB15"/>
  <c r="M17" a="1"/>
  <c r="M17" s="1"/>
  <c r="P17" s="1"/>
  <c r="Q17" s="1"/>
  <c r="P16"/>
  <c r="Y17" l="1"/>
  <c r="M18" a="1"/>
  <c r="M18" s="1"/>
  <c r="P18" s="1"/>
  <c r="T18" s="1"/>
  <c r="R17"/>
  <c r="W17"/>
  <c r="AF17" s="1"/>
  <c r="S17"/>
  <c r="U17"/>
  <c r="AD17" s="1"/>
  <c r="V17"/>
  <c r="AE17" s="1"/>
  <c r="T17"/>
  <c r="V16"/>
  <c r="AE16" s="1"/>
  <c r="T16"/>
  <c r="R16"/>
  <c r="S16"/>
  <c r="Y16"/>
  <c r="U16"/>
  <c r="AD16" s="1"/>
  <c r="Q16"/>
  <c r="W16"/>
  <c r="AF16" s="1"/>
  <c r="AB17" l="1"/>
  <c r="AC17"/>
  <c r="Z17"/>
  <c r="Q18"/>
  <c r="Y18"/>
  <c r="AC18" s="1"/>
  <c r="M19" a="1"/>
  <c r="M19" s="1"/>
  <c r="P19" s="1"/>
  <c r="Y19" s="1"/>
  <c r="W18"/>
  <c r="AF18" s="1"/>
  <c r="R18"/>
  <c r="S18"/>
  <c r="U18"/>
  <c r="AD18" s="1"/>
  <c r="AB16"/>
  <c r="AA16"/>
  <c r="Z16"/>
  <c r="AC16"/>
  <c r="AA17"/>
  <c r="V18"/>
  <c r="AE18" s="1"/>
  <c r="Z18"/>
  <c r="AB18" l="1"/>
  <c r="AA18"/>
  <c r="M20" a="1"/>
  <c r="M20" s="1"/>
  <c r="P20" s="1"/>
  <c r="S20" s="1"/>
  <c r="AB20" s="1"/>
  <c r="R19"/>
  <c r="AA19" s="1"/>
  <c r="Q19"/>
  <c r="Z19" s="1"/>
  <c r="U19"/>
  <c r="AD19" s="1"/>
  <c r="T19"/>
  <c r="AC19" s="1"/>
  <c r="W19"/>
  <c r="AF19" s="1"/>
  <c r="S19"/>
  <c r="AB19" s="1"/>
  <c r="V19"/>
  <c r="AE19" s="1"/>
  <c r="V20" l="1"/>
  <c r="AE20" s="1"/>
  <c r="R20"/>
  <c r="AA20" s="1"/>
  <c r="W20"/>
  <c r="AF20" s="1"/>
  <c r="U20"/>
  <c r="AD20" s="1"/>
  <c r="Q20"/>
  <c r="Z20" s="1"/>
  <c r="T20"/>
  <c r="AC20" s="1"/>
  <c r="Y20"/>
  <c r="M21" a="1"/>
  <c r="M21" s="1"/>
  <c r="P21" s="1"/>
  <c r="U21" s="1"/>
  <c r="AD21" s="1"/>
  <c r="Q21" l="1"/>
  <c r="Z21" s="1"/>
  <c r="W21"/>
  <c r="AF21" s="1"/>
  <c r="T21"/>
  <c r="AC21" s="1"/>
  <c r="Y21"/>
  <c r="S21"/>
  <c r="AB21" s="1"/>
  <c r="V21"/>
  <c r="AE21" s="1"/>
  <c r="R21"/>
  <c r="AA21" s="1"/>
  <c r="M22" a="1"/>
  <c r="M22" s="1"/>
  <c r="P22" s="1"/>
  <c r="Q22" s="1"/>
  <c r="Z22" s="1"/>
  <c r="U22" l="1"/>
  <c r="AD22" s="1"/>
  <c r="Y22"/>
  <c r="W22"/>
  <c r="AF22" s="1"/>
  <c r="V22"/>
  <c r="AE22" s="1"/>
  <c r="T22"/>
  <c r="AC22" s="1"/>
  <c r="R22"/>
  <c r="AA22" s="1"/>
  <c r="S22"/>
  <c r="AB22" s="1"/>
  <c r="AH7" l="1"/>
  <c r="Y5" i="3" s="1"/>
  <c r="M5" s="1"/>
</calcChain>
</file>

<file path=xl/sharedStrings.xml><?xml version="1.0" encoding="utf-8"?>
<sst xmlns="http://schemas.openxmlformats.org/spreadsheetml/2006/main" count="345" uniqueCount="141">
  <si>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</si>
  <si>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</si>
  <si>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</si>
  <si>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</si>
  <si>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</si>
  <si>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</si>
  <si>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</si>
  <si>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</si>
  <si>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</si>
  <si>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</si>
  <si>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</si>
  <si>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</si>
  <si>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</si>
  <si>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</si>
  <si>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</si>
  <si>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</si>
  <si>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</si>
  <si>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</si>
  <si>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</si>
  <si>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</si>
  <si>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</si>
  <si>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</si>
  <si>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</si>
  <si>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</si>
  <si>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</si>
  <si>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</si>
  <si>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</si>
  <si>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</si>
  <si>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</si>
  <si>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</si>
  <si>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</si>
  <si>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</si>
  <si>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</si>
  <si>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</si>
  <si>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</si>
  <si>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</si>
  <si>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</si>
  <si>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</si>
  <si>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</si>
  <si>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</si>
  <si>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</si>
  <si>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</si>
  <si>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</si>
  <si>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</si>
  <si>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</si>
  <si>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</si>
  <si>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</si>
  <si>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</si>
  <si>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</si>
  <si>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</si>
  <si>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</si>
  <si>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</si>
  <si>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</si>
  <si>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</si>
  <si>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</si>
  <si>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</si>
  <si>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</si>
  <si>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</si>
  <si>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</si>
  <si>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</si>
  <si>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</si>
  <si>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</si>
  <si>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</si>
  <si>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</si>
  <si>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</si>
  <si>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</si>
  <si>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</si>
  <si>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</si>
  <si>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</si>
  <si>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</si>
  <si>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</si>
  <si>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</si>
  <si>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</si>
  <si>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</si>
  <si>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</si>
  <si>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</si>
  <si>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</si>
  <si>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</si>
  <si>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</si>
  <si>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</si>
  <si>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</si>
  <si>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</si>
  <si>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</si>
  <si>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</si>
  <si>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</si>
  <si>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</si>
  <si>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</si>
  <si>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</si>
  <si>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</si>
  <si>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</si>
  <si>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</si>
  <si>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</si>
  <si>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ИТОГОВЫЙ ПРОТОКОЛ МУЖЧИНЫ                                                     </t>
  </si>
  <si>
    <t>ПРОТОКОЛ ХОДА СОРЕВНОВАНИЙ МУЖЧИНЫ</t>
  </si>
  <si>
    <t>ПРОТОКОЛ ВЗВЕШИВАНИЯ МУЖЧИНЫ</t>
  </si>
  <si>
    <t>СОЛДАТЕНКОВ Степан Дмитриевич</t>
  </si>
  <si>
    <t>18.11.2002, МС</t>
  </si>
  <si>
    <t>ЦФО</t>
  </si>
  <si>
    <t>Московская, Королев</t>
  </si>
  <si>
    <t>Малов М. В., Бирюков ВВ</t>
  </si>
  <si>
    <t>ПОЗНАХИРКО Глеб Игоревич</t>
  </si>
  <si>
    <t>20.04.1999, МСМК</t>
  </si>
  <si>
    <t>УФО</t>
  </si>
  <si>
    <t>Свердловская, Верхняя Пышма</t>
  </si>
  <si>
    <t>В.П. Стороженко,  В.Г. Стенников</t>
  </si>
  <si>
    <t>ТАЧКОВ Иван Дмитриевич</t>
  </si>
  <si>
    <t>25.03.1997, МС</t>
  </si>
  <si>
    <t>Свердловская, Екатеринбург</t>
  </si>
  <si>
    <t>Бородин ОБ</t>
  </si>
  <si>
    <t>ЖЕЛТОВ Роман Игоревич</t>
  </si>
  <si>
    <t>14.08.2002, МС</t>
  </si>
  <si>
    <t>САФАРОВ Булуд Рамиз Оглы</t>
  </si>
  <si>
    <t>14.05.2002, МС</t>
  </si>
  <si>
    <t xml:space="preserve">Селянина.О.В, Федосеев.М.Е </t>
  </si>
  <si>
    <t>ЮСУФОВ Гаджи Чингизович</t>
  </si>
  <si>
    <t>08.05.1990, МС</t>
  </si>
  <si>
    <t>ПФО</t>
  </si>
  <si>
    <t>Пермский, Пермь</t>
  </si>
  <si>
    <t>Забалуев А. И., Пенжалиев АК</t>
  </si>
  <si>
    <t>ШАВОЛИН Иван Алексеевич</t>
  </si>
  <si>
    <t>СФО</t>
  </si>
  <si>
    <t xml:space="preserve">Кемеровская </t>
  </si>
  <si>
    <t>Параскивопуло ИВ</t>
  </si>
  <si>
    <t>ТУНАКОВ Александр Сергеевич</t>
  </si>
  <si>
    <t>25.08.1994, МСМК</t>
  </si>
  <si>
    <t>Ивановская, Кинешма</t>
  </si>
  <si>
    <t>Аникин Н.П., Донник В.И.</t>
  </si>
  <si>
    <t>ХАПЦЕВ Артур Русланович</t>
  </si>
  <si>
    <t>15.01.1988, МСМК</t>
  </si>
  <si>
    <t>Стенников ВГ, Бекетов ВВ</t>
  </si>
  <si>
    <t>ФАРГАТОВ Курбан Расимович</t>
  </si>
  <si>
    <t>17.01.2000, МС</t>
  </si>
  <si>
    <t>ЮФО</t>
  </si>
  <si>
    <t>Краснодарский, Курганинск</t>
  </si>
  <si>
    <t>Нефедов Д.Н., Дуйсенов К.Г.</t>
  </si>
  <si>
    <t>ВЕНИКОВ Сергей Артёмович</t>
  </si>
  <si>
    <t>28.08.2000, КМС</t>
  </si>
  <si>
    <t>Краснодарский, Сочи</t>
  </si>
  <si>
    <t>Демура АВ</t>
  </si>
  <si>
    <t>В.к. 98+ кг.</t>
  </si>
  <si>
    <t>29.09.2001, МС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</si>
</sst>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569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left" vertical="center" wrapText="1"/>
    </xf>
    <xf numFmtId="0" fontId="47" fillId="0" borderId="5" xfId="0" applyFont="1" applyBorder="1" applyAlignment="1">
      <alignment horizontal="left" vertical="center" wrapText="1"/>
    </xf>
    <xf numFmtId="0" fontId="47" fillId="0" borderId="5" xfId="0" applyFont="1" applyBorder="1" applyAlignment="1">
      <alignment horizontal="center" vertical="center" wrapText="1"/>
    </xf>
    <xf numFmtId="49" fontId="8" fillId="7" borderId="27" xfId="0" applyNumberFormat="1" applyFont="1" applyFill="1" applyBorder="1" applyAlignment="1">
      <alignment horizontal="left" vertical="center" wrapText="1"/>
    </xf>
    <xf numFmtId="0" fontId="8" fillId="7" borderId="27" xfId="3" applyFont="1" applyFill="1" applyBorder="1" applyAlignment="1">
      <alignment horizontal="left" vertical="center" wrapText="1"/>
    </xf>
    <xf numFmtId="0" fontId="8" fillId="7" borderId="27" xfId="0" applyFont="1" applyFill="1" applyBorder="1" applyAlignment="1">
      <alignment horizontal="left" vertical="center"/>
    </xf>
    <xf numFmtId="0" fontId="8" fillId="7" borderId="27" xfId="3" applyFont="1" applyFill="1" applyBorder="1" applyAlignment="1">
      <alignment horizontal="left" vertical="center"/>
    </xf>
    <xf numFmtId="0" fontId="47" fillId="0" borderId="42" xfId="0" applyFont="1" applyBorder="1" applyAlignment="1">
      <alignment horizontal="left" vertical="center" wrapText="1"/>
    </xf>
    <xf numFmtId="0" fontId="47" fillId="0" borderId="42" xfId="0" applyFont="1" applyBorder="1" applyAlignment="1">
      <alignment horizontal="center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11 2" xfId="3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9526</xdr:rowOff>
    </xdr:from>
    <xdr:to>
      <xdr:col>1</xdr:col>
      <xdr:colOff>47626</xdr:colOff>
      <xdr:row>1</xdr:row>
      <xdr:rowOff>38101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9526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indexed="12"/>
  </sheetPr>
  <dimension ref="A1:AI153"/>
  <sheetViews>
    <sheetView topLeftCell="A4" workbookViewId="0">
      <selection activeCell="F10" sqref="F10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98" t="s">
        <v>94</v>
      </c>
      <c r="B1" s="298"/>
      <c r="C1" s="298"/>
      <c r="D1" s="298"/>
      <c r="E1" s="298"/>
      <c r="F1" s="298"/>
      <c r="G1" s="298"/>
      <c r="H1" s="298"/>
    </row>
    <row r="2" spans="1:35" ht="54" customHeight="1">
      <c r="A2" s="226"/>
      <c r="B2" s="299" t="str">
        <f>[1]реквизиты!$A$2</f>
        <v>Кубок России по самбо среди мужчин (№ ЕКП 1801)</v>
      </c>
      <c r="C2" s="299"/>
      <c r="D2" s="299"/>
      <c r="E2" s="299"/>
      <c r="F2" s="299"/>
      <c r="G2" s="299"/>
      <c r="H2" s="227"/>
      <c r="I2" s="214"/>
      <c r="J2" s="214"/>
      <c r="K2" s="214"/>
    </row>
    <row r="3" spans="1:35" ht="12.75" customHeight="1">
      <c r="A3" s="300" t="str">
        <f>[1]реквизиты!$A$3</f>
        <v>21-25 ноября 2022 года                          г. Кстово, Нижегородская область</v>
      </c>
      <c r="B3" s="300"/>
      <c r="C3" s="300"/>
      <c r="D3" s="300"/>
      <c r="E3" s="300"/>
      <c r="F3" s="300"/>
      <c r="G3" s="300"/>
      <c r="H3" s="300"/>
    </row>
    <row r="4" spans="1:35" ht="12.75" customHeight="1">
      <c r="D4" s="2" t="s">
        <v>139</v>
      </c>
      <c r="E4" s="2"/>
      <c r="Y4" s="286" t="s">
        <v>68</v>
      </c>
      <c r="Z4" s="286"/>
      <c r="AA4" s="286"/>
      <c r="AB4" s="286"/>
      <c r="AC4" s="286"/>
      <c r="AD4" s="286"/>
      <c r="AE4" s="286"/>
    </row>
    <row r="5" spans="1:35" ht="12.75" customHeight="1" thickBot="1">
      <c r="A5" s="292" t="s">
        <v>70</v>
      </c>
      <c r="B5" s="301" t="s">
        <v>4</v>
      </c>
      <c r="C5" s="292" t="s">
        <v>5</v>
      </c>
      <c r="D5" s="292" t="s">
        <v>6</v>
      </c>
      <c r="E5" s="294" t="s">
        <v>7</v>
      </c>
      <c r="F5" s="295"/>
      <c r="G5" s="292" t="s">
        <v>9</v>
      </c>
      <c r="H5" s="292" t="s">
        <v>8</v>
      </c>
      <c r="Q5" s="287"/>
      <c r="R5" s="287"/>
      <c r="S5" s="287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93"/>
      <c r="B6" s="293"/>
      <c r="C6" s="293"/>
      <c r="D6" s="293"/>
      <c r="E6" s="296"/>
      <c r="F6" s="297"/>
      <c r="G6" s="293"/>
      <c r="H6" s="293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>МСМК</v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69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>МСМК</v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1.95" customHeight="1">
      <c r="A7" s="229" t="s">
        <v>71</v>
      </c>
      <c r="B7" s="558">
        <v>1</v>
      </c>
      <c r="C7" s="559" t="s">
        <v>95</v>
      </c>
      <c r="D7" s="560" t="s">
        <v>96</v>
      </c>
      <c r="E7" s="559" t="s">
        <v>97</v>
      </c>
      <c r="F7" s="559" t="s">
        <v>98</v>
      </c>
      <c r="G7" s="558"/>
      <c r="H7" s="559" t="s">
        <v>99</v>
      </c>
      <c r="I7" s="236"/>
      <c r="J7" s="237">
        <v>1</v>
      </c>
      <c r="K7" s="225" t="str">
        <f>IFERROR(RIGHT(D7,LEN(D7)-FIND("*",SUBSTITUTE(D7," ","*",LEN(D7)-LEN(SUBSTITUTE(D7," ",""))))),D7)</f>
        <v>МС</v>
      </c>
      <c r="L7" s="225" t="str">
        <f>IFERROR(LEFT(F7,FIND(",",F7)-1),F7)</f>
        <v>Московская</v>
      </c>
      <c r="M7" s="238" t="str">
        <f t="array" ref="M7">IFERROR(INDEX(субъект,MATCH(SUM(COUNTIF(M$6:M6,субъект)),COUNTIF(субъект,"&lt;"&amp;субъект),0)),"")</f>
        <v>Ивановская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>Ивановская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1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>Ивановская</v>
      </c>
      <c r="Z7" s="222" t="str">
        <f>IF(Q7=0," ",Q7)</f>
        <v xml:space="preserve"> </v>
      </c>
      <c r="AA7" s="222" t="str">
        <f>IF(R7=0," ",R7)</f>
        <v xml:space="preserve"> </v>
      </c>
      <c r="AB7" s="222">
        <f>IF(S7=0," ",S7)</f>
        <v>1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88">
        <f>SUM(Z7:AF22)</f>
        <v>11</v>
      </c>
      <c r="AI7" s="289"/>
    </row>
    <row r="8" spans="1:35" ht="21.95" customHeight="1" thickBot="1">
      <c r="A8" s="229" t="s">
        <v>72</v>
      </c>
      <c r="B8" s="558">
        <v>2</v>
      </c>
      <c r="C8" s="559" t="s">
        <v>100</v>
      </c>
      <c r="D8" s="560" t="s">
        <v>101</v>
      </c>
      <c r="E8" s="559" t="s">
        <v>102</v>
      </c>
      <c r="F8" s="559" t="s">
        <v>103</v>
      </c>
      <c r="G8" s="561"/>
      <c r="H8" s="559" t="s">
        <v>104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МСМК</v>
      </c>
      <c r="L8" s="225" t="str">
        <f t="shared" ref="L8:L22" si="11">IFERROR(LEFT(F8,FIND(",",F8)-1),F8)</f>
        <v>Свердловская</v>
      </c>
      <c r="M8" s="238" t="str">
        <f t="array" ref="M8">IFERROR(INDEX(субъект,MATCH(SUM(COUNTIF(M$6:M7,субъект)),COUNTIF(субъект,"&lt;"&amp;субъект),0)),"")</f>
        <v xml:space="preserve">Кемеровская 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 xml:space="preserve">Кемеровская </v>
      </c>
      <c r="Q8" s="187">
        <f t="shared" si="2"/>
        <v>0</v>
      </c>
      <c r="R8" s="187">
        <f t="shared" si="3"/>
        <v>1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Кемеровская </v>
      </c>
      <c r="Z8" s="186" t="str">
        <f>IF($Y$8=$Y$7," ",IF(Q8=0," ",Q8))</f>
        <v xml:space="preserve"> </v>
      </c>
      <c r="AA8" s="186">
        <f>IF($Y$8=$Y$7," ",IF(R8=0," ",R8))</f>
        <v>1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0"/>
      <c r="AI8" s="291"/>
    </row>
    <row r="9" spans="1:35" ht="21.95" customHeight="1">
      <c r="A9" s="229" t="s">
        <v>73</v>
      </c>
      <c r="B9" s="558">
        <v>3</v>
      </c>
      <c r="C9" s="559" t="s">
        <v>105</v>
      </c>
      <c r="D9" s="560" t="s">
        <v>106</v>
      </c>
      <c r="E9" s="559" t="s">
        <v>102</v>
      </c>
      <c r="F9" s="559" t="s">
        <v>107</v>
      </c>
      <c r="G9" s="558"/>
      <c r="H9" s="559" t="s">
        <v>108</v>
      </c>
      <c r="I9" s="236"/>
      <c r="J9" s="237">
        <v>1</v>
      </c>
      <c r="K9" s="225" t="str">
        <f t="shared" si="10"/>
        <v>МС</v>
      </c>
      <c r="L9" s="225" t="str">
        <f t="shared" si="11"/>
        <v>Свердловская</v>
      </c>
      <c r="M9" s="238" t="str">
        <f t="array" ref="M9">IFERROR(INDEX(субъект,MATCH(SUM(COUNTIF(M$6:M8,субъект)),COUNTIF(субъект,"&lt;"&amp;субъект),0)),"")</f>
        <v>Краснодарский</v>
      </c>
      <c r="N9" s="238" t="str">
        <f t="array" ref="N9">IFERROR(INDEX(разряд,MATCH(SUM(COUNTIF(N$6:N8,разряд)),COUNTIF(разряд,"&lt;"&amp;разряд),0)),"")</f>
        <v>МСМК</v>
      </c>
      <c r="O9" s="239">
        <v>3</v>
      </c>
      <c r="P9" s="184" t="str">
        <f t="shared" si="1"/>
        <v>Краснодарский</v>
      </c>
      <c r="Q9" s="187">
        <f t="shared" si="2"/>
        <v>1</v>
      </c>
      <c r="R9" s="187">
        <f t="shared" si="3"/>
        <v>1</v>
      </c>
      <c r="S9" s="240">
        <f t="shared" si="4"/>
        <v>0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>Краснодарский</v>
      </c>
      <c r="Z9" s="186">
        <f>IF(OR($Y9=$Y7,$Y9=$Y8)," ",IF(Q9=0," ",Q9))</f>
        <v>1</v>
      </c>
      <c r="AA9" s="186">
        <f>IF(OR($Y9=$Y7,$Y9=$Y8)," ",IF(R9=0," ",R9))</f>
        <v>1</v>
      </c>
      <c r="AB9" s="186" t="str">
        <f>IF(OR($Y9=$Y7,$Y9=$Y8)," ",IF(S9=0," ",S9))</f>
        <v xml:space="preserve"> 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1.95" customHeight="1">
      <c r="A10" s="229" t="s">
        <v>74</v>
      </c>
      <c r="B10" s="558">
        <v>4</v>
      </c>
      <c r="C10" s="559" t="s">
        <v>109</v>
      </c>
      <c r="D10" s="560" t="s">
        <v>110</v>
      </c>
      <c r="E10" s="559" t="s">
        <v>102</v>
      </c>
      <c r="F10" s="559" t="s">
        <v>107</v>
      </c>
      <c r="G10" s="562"/>
      <c r="H10" s="559" t="s">
        <v>108</v>
      </c>
      <c r="I10" s="236"/>
      <c r="J10" s="237">
        <v>1</v>
      </c>
      <c r="K10" s="225" t="str">
        <f t="shared" si="10"/>
        <v>МС</v>
      </c>
      <c r="L10" s="225" t="str">
        <f t="shared" si="11"/>
        <v>Свердловская</v>
      </c>
      <c r="M10" s="238" t="str">
        <f t="array" ref="M10">IFERROR(INDEX(субъект,MATCH(SUM(COUNTIF(M$6:M9,субъект)),COUNTIF(субъект,"&lt;"&amp;субъект),0)),"")</f>
        <v>Московская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>Московская</v>
      </c>
      <c r="Q10" s="187">
        <f t="shared" si="2"/>
        <v>0</v>
      </c>
      <c r="R10" s="187">
        <f t="shared" si="3"/>
        <v>1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>Московская</v>
      </c>
      <c r="Z10" s="186" t="str">
        <f>IF(OR($Y10=$Y8,$Y10=$Y9,$Y10=$Y7)," ",IF(Q10=0," ",Q10))</f>
        <v xml:space="preserve"> 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1.95" customHeight="1">
      <c r="A11" s="229" t="s">
        <v>75</v>
      </c>
      <c r="B11" s="563">
        <v>5</v>
      </c>
      <c r="C11" s="559" t="s">
        <v>111</v>
      </c>
      <c r="D11" s="560" t="s">
        <v>112</v>
      </c>
      <c r="E11" s="559" t="s">
        <v>102</v>
      </c>
      <c r="F11" s="559" t="s">
        <v>107</v>
      </c>
      <c r="G11" s="563"/>
      <c r="H11" s="559" t="s">
        <v>113</v>
      </c>
      <c r="I11" s="236"/>
      <c r="J11" s="237">
        <v>1</v>
      </c>
      <c r="K11" s="225" t="str">
        <f t="shared" si="10"/>
        <v>МС</v>
      </c>
      <c r="L11" s="225" t="str">
        <f t="shared" si="11"/>
        <v>Свердловская</v>
      </c>
      <c r="M11" s="238" t="str">
        <f t="array" ref="M11">IFERROR(INDEX(субъект,MATCH(SUM(COUNTIF(M$6:M10,субъект)),COUNTIF(субъект,"&lt;"&amp;субъект),0)),"")</f>
        <v>Пермский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>Пермский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>Пермский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1.95" customHeight="1">
      <c r="A12" s="229" t="s">
        <v>76</v>
      </c>
      <c r="B12" s="558">
        <v>6</v>
      </c>
      <c r="C12" s="559" t="s">
        <v>114</v>
      </c>
      <c r="D12" s="560" t="s">
        <v>115</v>
      </c>
      <c r="E12" s="559" t="s">
        <v>116</v>
      </c>
      <c r="F12" s="559" t="s">
        <v>117</v>
      </c>
      <c r="G12" s="558"/>
      <c r="H12" s="559" t="s">
        <v>118</v>
      </c>
      <c r="I12" s="236"/>
      <c r="J12" s="237">
        <v>1</v>
      </c>
      <c r="K12" s="225" t="str">
        <f t="shared" si="10"/>
        <v>МС</v>
      </c>
      <c r="L12" s="225" t="str">
        <f t="shared" si="11"/>
        <v>Пермский</v>
      </c>
      <c r="M12" s="238" t="str">
        <f t="array" ref="M12">IFERROR(INDEX(субъект,MATCH(SUM(COUNTIF(M$6:M11,субъект)),COUNTIF(субъект,"&lt;"&amp;субъект),0)),"")</f>
        <v>Свердловская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>Свердловская</v>
      </c>
      <c r="Q12" s="187">
        <f t="shared" si="2"/>
        <v>0</v>
      </c>
      <c r="R12" s="187">
        <f t="shared" si="3"/>
        <v>3</v>
      </c>
      <c r="S12" s="240">
        <f t="shared" si="4"/>
        <v>2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>Свердловская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3</v>
      </c>
      <c r="AB12" s="186">
        <f>IF(OR($Y12=$Y10,$Y12=$Y11,$Y12=$Y9,$Y12=$Y8,$Y12=$Y7)," ",IF(S12=0," ",S12))</f>
        <v>2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1.95" customHeight="1">
      <c r="A13" s="229" t="s">
        <v>77</v>
      </c>
      <c r="B13" s="558">
        <v>7</v>
      </c>
      <c r="C13" s="559" t="s">
        <v>119</v>
      </c>
      <c r="D13" s="560" t="s">
        <v>140</v>
      </c>
      <c r="E13" s="559" t="s">
        <v>120</v>
      </c>
      <c r="F13" s="559" t="s">
        <v>121</v>
      </c>
      <c r="G13" s="558"/>
      <c r="H13" s="559" t="s">
        <v>122</v>
      </c>
      <c r="I13" s="236"/>
      <c r="J13" s="237">
        <v>1</v>
      </c>
      <c r="K13" s="225" t="str">
        <f t="shared" si="10"/>
        <v>МС</v>
      </c>
      <c r="L13" s="225" t="str">
        <f t="shared" si="11"/>
        <v xml:space="preserve">Кемеровская </v>
      </c>
      <c r="M13" s="238" t="str">
        <f t="array" ref="M13">IFERROR(INDEX(субъект,MATCH(SUM(COUNTIF(M$6:M12,субъект)),COUNTIF(субъект,"&lt;"&amp;субъект),0)),"")</f>
        <v/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/>
      </c>
      <c r="Q13" s="187">
        <f t="shared" si="2"/>
        <v>0</v>
      </c>
      <c r="R13" s="187">
        <f t="shared" si="3"/>
        <v>0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/>
      </c>
      <c r="Z13" s="186" t="str">
        <f>IF(OR($Y13=$Y11,$Y13=$Y12,$Y13=$Y10,$Y13=$Y9,$Y13=$Y8,$Y13=$Y7)," ",IF(Q13=0," ",Q13))</f>
        <v xml:space="preserve"> </v>
      </c>
      <c r="AA13" s="186" t="str">
        <f>IF(OR($Y13=$Y11,$Y13=$Y12,$Y13=$Y10,$Y13=$Y9,$Y13=$Y8,$Y13=$Y7)," ",IF(R13=0," ",R13))</f>
        <v xml:space="preserve"> 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1.95" customHeight="1">
      <c r="A14" s="229" t="s">
        <v>78</v>
      </c>
      <c r="B14" s="564">
        <v>8</v>
      </c>
      <c r="C14" s="565" t="s">
        <v>123</v>
      </c>
      <c r="D14" s="566" t="s">
        <v>124</v>
      </c>
      <c r="E14" s="565" t="s">
        <v>97</v>
      </c>
      <c r="F14" s="565" t="s">
        <v>125</v>
      </c>
      <c r="G14" s="562"/>
      <c r="H14" s="565" t="s">
        <v>126</v>
      </c>
      <c r="I14" s="236"/>
      <c r="J14" s="237">
        <v>1</v>
      </c>
      <c r="K14" s="225" t="str">
        <f t="shared" si="10"/>
        <v>МСМК</v>
      </c>
      <c r="L14" s="225" t="str">
        <f t="shared" si="11"/>
        <v>Ивановская</v>
      </c>
      <c r="M14" s="238" t="str">
        <f t="array" ref="M14">IFERROR(INDEX(субъект,MATCH(SUM(COUNTIF(M$6:M13,субъект)),COUNTIF(субъект,"&lt;"&amp;субъект),0)),"")</f>
        <v/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/>
      </c>
      <c r="Q14" s="187">
        <f t="shared" si="2"/>
        <v>0</v>
      </c>
      <c r="R14" s="187">
        <f t="shared" si="3"/>
        <v>0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/>
      </c>
      <c r="Z14" s="186" t="str">
        <f>IF(OR($Y14=$Y12,$Y14=$Y13,$Y14=$Y11,$Y14=$Y10,$Y14=$Y9,$Y14=$Y7)," ",IF(Q14=0," ",Q14))</f>
        <v xml:space="preserve"> 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1.95" customHeight="1">
      <c r="A15" s="229" t="s">
        <v>79</v>
      </c>
      <c r="B15" s="564">
        <v>9</v>
      </c>
      <c r="C15" s="567" t="s">
        <v>127</v>
      </c>
      <c r="D15" s="568" t="s">
        <v>128</v>
      </c>
      <c r="E15" s="567" t="s">
        <v>102</v>
      </c>
      <c r="F15" s="567" t="s">
        <v>103</v>
      </c>
      <c r="G15" s="562"/>
      <c r="H15" s="567" t="s">
        <v>129</v>
      </c>
      <c r="I15" s="236"/>
      <c r="J15" s="237">
        <v>1</v>
      </c>
      <c r="K15" s="225" t="str">
        <f t="shared" si="10"/>
        <v>МСМК</v>
      </c>
      <c r="L15" s="225" t="str">
        <f t="shared" si="11"/>
        <v>Свердловская</v>
      </c>
      <c r="M15" s="238" t="str">
        <f t="array" ref="M15">IFERROR(INDEX(субъект,MATCH(SUM(COUNTIF(M$6:M14,субъект)),COUNTIF(субъект,"&lt;"&amp;субъект),0)),"")</f>
        <v/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/>
      </c>
      <c r="Q15" s="187">
        <f t="shared" si="2"/>
        <v>0</v>
      </c>
      <c r="R15" s="187">
        <f t="shared" si="3"/>
        <v>0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/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1.95" customHeight="1">
      <c r="A16" s="229" t="s">
        <v>80</v>
      </c>
      <c r="B16" s="558">
        <v>10</v>
      </c>
      <c r="C16" s="567" t="s">
        <v>130</v>
      </c>
      <c r="D16" s="568" t="s">
        <v>131</v>
      </c>
      <c r="E16" s="567" t="s">
        <v>132</v>
      </c>
      <c r="F16" s="567" t="s">
        <v>133</v>
      </c>
      <c r="G16" s="558"/>
      <c r="H16" s="567" t="s">
        <v>134</v>
      </c>
      <c r="I16" s="236"/>
      <c r="J16" s="237">
        <v>1</v>
      </c>
      <c r="K16" s="225" t="str">
        <f t="shared" si="10"/>
        <v>МС</v>
      </c>
      <c r="L16" s="225" t="str">
        <f t="shared" si="11"/>
        <v>Краснодарский</v>
      </c>
      <c r="M16" s="238" t="str">
        <f t="array" ref="M16">IFERROR(INDEX(субъект,MATCH(SUM(COUNTIF(M$6:M15,субъект)),COUNTIF(субъект,"&lt;"&amp;субъект),0)),"")</f>
        <v/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/>
      </c>
      <c r="Q16" s="187">
        <f t="shared" si="2"/>
        <v>0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/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1.95" customHeight="1">
      <c r="A17" s="229" t="s">
        <v>81</v>
      </c>
      <c r="B17" s="558">
        <v>11</v>
      </c>
      <c r="C17" s="567" t="s">
        <v>135</v>
      </c>
      <c r="D17" s="568" t="s">
        <v>136</v>
      </c>
      <c r="E17" s="567" t="s">
        <v>132</v>
      </c>
      <c r="F17" s="567" t="s">
        <v>137</v>
      </c>
      <c r="G17" s="558"/>
      <c r="H17" s="567" t="s">
        <v>138</v>
      </c>
      <c r="I17" s="236"/>
      <c r="J17" s="237">
        <v>1</v>
      </c>
      <c r="K17" s="225" t="str">
        <f t="shared" si="10"/>
        <v>КМС</v>
      </c>
      <c r="L17" s="225" t="str">
        <f t="shared" si="11"/>
        <v>Краснодарский</v>
      </c>
      <c r="M17" s="238" t="str">
        <f t="array" ref="M17">IFERROR(INDEX(субъект,MATCH(SUM(COUNTIF(M$6:M16,субъект)),COUNTIF(субъект,"&lt;"&amp;субъект),0)),"")</f>
        <v/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/>
      </c>
      <c r="Q17" s="187">
        <f t="shared" si="2"/>
        <v>0</v>
      </c>
      <c r="R17" s="187">
        <f t="shared" si="3"/>
        <v>0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/>
      </c>
      <c r="Z17" s="186" t="str">
        <f>IF(OR($Y17=$Y15,$Y17=$Y16,$Y17=$Y14,$Y17=$Y13,$Y17=$Y12,$Y17=$Y10,$Y17=$Y9,$Y17=$Y8,$Y17=$Y7)," ",IF(Q17=0," ",Q17))</f>
        <v xml:space="preserve"> </v>
      </c>
      <c r="AA17" s="186" t="str">
        <f>IF(OR($Y17=$Y15,$Y17=$Y16,$Y17=$Y14,$Y17=$Y13,$Y17=$Y12,$Y17=$Y10,$Y17=$Y9,$Y17=$Y8,$Y17=$Y7)," ",IF(R17=0," ",R17))</f>
        <v xml:space="preserve"> 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1.95" customHeight="1">
      <c r="A18" s="229" t="s">
        <v>82</v>
      </c>
      <c r="B18" s="230"/>
      <c r="C18" s="231"/>
      <c r="D18" s="232"/>
      <c r="E18" s="233"/>
      <c r="F18" s="232"/>
      <c r="G18" s="234"/>
      <c r="H18" s="235"/>
      <c r="I18" s="236"/>
      <c r="J18" s="237">
        <v>1</v>
      </c>
      <c r="K18" s="225">
        <f t="shared" si="10"/>
        <v>0</v>
      </c>
      <c r="L18" s="225">
        <f t="shared" si="11"/>
        <v>0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1.95" customHeight="1">
      <c r="A19" s="229" t="s">
        <v>83</v>
      </c>
      <c r="B19" s="230"/>
      <c r="C19" s="231"/>
      <c r="D19" s="232"/>
      <c r="E19" s="233"/>
      <c r="F19" s="232"/>
      <c r="G19" s="234"/>
      <c r="H19" s="235"/>
      <c r="I19" s="236"/>
      <c r="J19" s="237">
        <v>1</v>
      </c>
      <c r="K19" s="225">
        <f t="shared" si="10"/>
        <v>0</v>
      </c>
      <c r="L19" s="225">
        <f t="shared" si="11"/>
        <v>0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1.95" customHeight="1">
      <c r="A20" s="229" t="s">
        <v>84</v>
      </c>
      <c r="B20" s="230"/>
      <c r="C20" s="231"/>
      <c r="D20" s="232"/>
      <c r="E20" s="233"/>
      <c r="F20" s="232"/>
      <c r="G20" s="234"/>
      <c r="H20" s="235"/>
      <c r="I20" s="236"/>
      <c r="J20" s="237">
        <v>1</v>
      </c>
      <c r="K20" s="225">
        <f t="shared" si="10"/>
        <v>0</v>
      </c>
      <c r="L20" s="225">
        <f t="shared" si="11"/>
        <v>0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1.95" customHeight="1">
      <c r="A21" s="229" t="s">
        <v>85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1.95" customHeight="1">
      <c r="A22" s="229" t="s">
        <v>86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>
      <c r="A23" s="86" t="s">
        <v>45</v>
      </c>
      <c r="D23" s="224"/>
      <c r="E23" s="224"/>
      <c r="F23" s="224"/>
      <c r="G23" s="224"/>
      <c r="H23" s="224"/>
      <c r="I23" s="4"/>
      <c r="J23" s="283"/>
      <c r="K23" s="284"/>
      <c r="L23" s="285"/>
      <c r="M23" s="221"/>
      <c r="N23" s="221"/>
      <c r="O23" s="4"/>
    </row>
    <row r="24" spans="1:32">
      <c r="D24" s="224"/>
      <c r="E24" s="224"/>
      <c r="F24" s="224"/>
      <c r="G24" s="224"/>
      <c r="H24" s="224"/>
      <c r="J24" s="283"/>
      <c r="K24" s="284"/>
      <c r="L24" s="285"/>
      <c r="M24" s="221"/>
      <c r="N24" s="221"/>
      <c r="O24" s="4"/>
    </row>
    <row r="25" spans="1:32">
      <c r="A25" s="86" t="s">
        <v>46</v>
      </c>
      <c r="D25" s="224"/>
      <c r="E25" s="224"/>
      <c r="F25" s="224"/>
      <c r="G25" s="224"/>
      <c r="H25" s="224"/>
      <c r="J25" s="283"/>
      <c r="K25" s="284"/>
      <c r="L25" s="285"/>
      <c r="M25" s="221"/>
      <c r="N25" s="221"/>
      <c r="O25" s="4"/>
    </row>
    <row r="26" spans="1:32">
      <c r="D26" s="224"/>
      <c r="E26" s="224"/>
      <c r="F26" s="224"/>
      <c r="G26" s="224"/>
      <c r="H26" s="224"/>
      <c r="J26" s="283"/>
      <c r="K26" s="284"/>
      <c r="L26" s="285"/>
      <c r="M26" s="221"/>
      <c r="N26" s="221"/>
      <c r="O26" s="4"/>
    </row>
    <row r="27" spans="1:32">
      <c r="A27" s="86" t="s">
        <v>47</v>
      </c>
      <c r="D27" s="224"/>
      <c r="E27" s="224"/>
      <c r="F27" s="224"/>
      <c r="G27" s="224"/>
      <c r="H27" s="224"/>
      <c r="J27" s="283"/>
      <c r="K27" s="284"/>
      <c r="L27" s="285"/>
      <c r="M27" s="221"/>
      <c r="N27" s="221"/>
      <c r="O27" s="4"/>
    </row>
    <row r="28" spans="1:32">
      <c r="D28" s="224"/>
      <c r="E28" s="224"/>
      <c r="F28" s="224"/>
      <c r="G28" s="224"/>
      <c r="H28" s="224"/>
      <c r="J28" s="283"/>
      <c r="K28" s="284"/>
      <c r="L28" s="285"/>
      <c r="M28" s="221"/>
      <c r="N28" s="221"/>
      <c r="O28" s="4"/>
    </row>
    <row r="29" spans="1:32">
      <c r="A29" s="86" t="s">
        <v>48</v>
      </c>
      <c r="D29" s="224"/>
      <c r="E29" s="224"/>
      <c r="F29" s="224"/>
      <c r="G29" s="224"/>
      <c r="H29" s="224"/>
      <c r="J29" s="283"/>
      <c r="K29" s="284"/>
      <c r="L29" s="285"/>
      <c r="M29" s="221"/>
      <c r="N29" s="221"/>
      <c r="O29" s="4"/>
    </row>
    <row r="30" spans="1:32">
      <c r="A30" s="224"/>
      <c r="B30" s="224"/>
      <c r="C30" s="224"/>
      <c r="D30" s="224"/>
      <c r="E30" s="224"/>
      <c r="F30" s="224"/>
      <c r="G30" s="224"/>
      <c r="H30" s="224"/>
      <c r="J30" s="283"/>
      <c r="K30" s="284"/>
      <c r="L30" s="285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:B22"/>
  </sortState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indexed="14"/>
  </sheetPr>
  <dimension ref="A1:AC57"/>
  <sheetViews>
    <sheetView tabSelected="1" workbookViewId="0">
      <selection activeCell="P14" sqref="P14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2" width="4.7109375" customWidth="1"/>
    <col min="13" max="13" width="5" customWidth="1"/>
    <col min="14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81" t="s">
        <v>22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82" t="s">
        <v>93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110"/>
      <c r="W2" s="110"/>
      <c r="X2" s="112"/>
      <c r="Y2" s="110"/>
      <c r="Z2" s="110"/>
      <c r="AA2" s="110"/>
      <c r="AB2" s="110"/>
    </row>
    <row r="3" spans="1:29" ht="39" customHeight="1" thickBot="1">
      <c r="A3" s="110"/>
      <c r="B3" s="110"/>
      <c r="C3" s="345" t="str">
        <f>пр.взв!B2</f>
        <v>Кубок России по самбо среди мужчин (№ ЕКП 1801)</v>
      </c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7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48" t="str">
        <f>пр.взв!A3</f>
        <v>21-25 ноября 2022 года                          г. Кстово, Нижегородская область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51" t="str">
        <f>пр.взв!D4</f>
        <v>В.к. 98+ кг.</v>
      </c>
      <c r="K5" s="352"/>
      <c r="L5" s="353"/>
      <c r="M5" s="354" t="str">
        <f>Y5&amp;" "&amp;Z5</f>
        <v>11 участников</v>
      </c>
      <c r="N5" s="355"/>
      <c r="O5" s="356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11</v>
      </c>
      <c r="Z5" s="266" t="s">
        <v>88</v>
      </c>
      <c r="AA5" s="112"/>
      <c r="AB5" s="112"/>
    </row>
    <row r="6" spans="1:29" ht="18" customHeight="1" thickBot="1">
      <c r="A6" s="360" t="s">
        <v>0</v>
      </c>
      <c r="B6" s="360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63">
        <v>1</v>
      </c>
      <c r="B7" s="361" t="str">
        <f>IFERROR(VLOOKUP(A7,пр.взв!$B$7:$H$22,2,0),"")</f>
        <v>СОЛДАТЕНКОВ Степан Дмитриевич</v>
      </c>
      <c r="C7" s="349" t="str">
        <f>IFERROR(VLOOKUP(A7,пр.взв!$B$7:$H$22,3,0),"")</f>
        <v>18.11.2002, МС</v>
      </c>
      <c r="D7" s="349" t="str">
        <f>IFERROR(VLOOKUP(A7,пр.взв!$B$7:$H$22,5,0),"")</f>
        <v>Московская, Королев</v>
      </c>
      <c r="E7" s="124"/>
      <c r="F7" s="243"/>
      <c r="G7" s="243"/>
      <c r="H7" s="243"/>
      <c r="I7" s="125" t="s">
        <v>24</v>
      </c>
      <c r="J7" s="243"/>
      <c r="K7" s="243"/>
      <c r="L7" s="243"/>
      <c r="M7" s="126"/>
      <c r="N7" s="126"/>
      <c r="O7" s="126"/>
      <c r="P7" s="126"/>
      <c r="Q7" s="127"/>
      <c r="R7" s="349" t="str">
        <f>IFERROR(VLOOKUP(U7,пр.взв!$B$7:$H$22,2,0),"")</f>
        <v>ПОЗНАХИРКО Глеб Игоревич</v>
      </c>
      <c r="S7" s="318" t="str">
        <f>IFERROR(VLOOKUP(U7,пр.взв!$B$7:$H$22,3,0),"")</f>
        <v>20.04.1999, МСМК</v>
      </c>
      <c r="T7" s="318" t="str">
        <f>IFERROR(VLOOKUP(U7,пр.взв!$B$7:$H$22,5,0),"")</f>
        <v>Свердловская, Верхняя Пышма</v>
      </c>
      <c r="U7" s="378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64"/>
      <c r="B8" s="362"/>
      <c r="C8" s="350"/>
      <c r="D8" s="350"/>
      <c r="E8" s="128"/>
      <c r="F8" s="126"/>
      <c r="G8" s="126"/>
      <c r="H8" s="129"/>
      <c r="I8" s="366" t="str">
        <f>IFERROR(VLOOKUP(H8,пр.взв!$B$7:$I$22,2,0),"")</f>
        <v/>
      </c>
      <c r="J8" s="367"/>
      <c r="K8" s="367"/>
      <c r="L8" s="367"/>
      <c r="M8" s="368"/>
      <c r="N8" s="126"/>
      <c r="O8" s="126"/>
      <c r="P8" s="126"/>
      <c r="Q8" s="128"/>
      <c r="R8" s="350"/>
      <c r="S8" s="319"/>
      <c r="T8" s="319"/>
      <c r="U8" s="379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64">
        <v>9</v>
      </c>
      <c r="B9" s="357" t="str">
        <f>IFERROR(VLOOKUP(A9,пр.взв!$B$7:$H$22,2,0),"")</f>
        <v>ХАПЦЕВ Артур Русланович</v>
      </c>
      <c r="C9" s="357" t="str">
        <f>IFERROR(VLOOKUP(A9,пр.взв!$B$7:$H$22,3,0),"")</f>
        <v>15.01.1988, МСМК</v>
      </c>
      <c r="D9" s="319" t="str">
        <f>IFERROR(VLOOKUP(A9,пр.взв!$B$7:$H$22,5,0),"")</f>
        <v>Свердловская, Верхняя Пышма</v>
      </c>
      <c r="E9" s="130"/>
      <c r="F9" s="246"/>
      <c r="G9" s="126"/>
      <c r="H9" s="243"/>
      <c r="I9" s="369"/>
      <c r="J9" s="370"/>
      <c r="K9" s="370"/>
      <c r="L9" s="370"/>
      <c r="M9" s="371"/>
      <c r="N9" s="126"/>
      <c r="O9" s="126"/>
      <c r="P9" s="131"/>
      <c r="Q9" s="130"/>
      <c r="R9" s="357" t="str">
        <f>IFERROR(VLOOKUP(U9,пр.взв!$B$7:$H$22,2,0),"")</f>
        <v>ФАРГАТОВ Курбан Расимович</v>
      </c>
      <c r="S9" s="357" t="str">
        <f>IFERROR(VLOOKUP(U9,пр.взв!$B$7:$H$22,3,0),"")</f>
        <v>17.01.2000, МС</v>
      </c>
      <c r="T9" s="357" t="str">
        <f>IFERROR(VLOOKUP(U9,пр.взв!$B$7:$H$22,5,0),"")</f>
        <v>Краснодарский, Курганинск</v>
      </c>
      <c r="U9" s="379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65"/>
      <c r="B10" s="358"/>
      <c r="C10" s="358"/>
      <c r="D10" s="350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58"/>
      <c r="S10" s="358"/>
      <c r="T10" s="358"/>
      <c r="U10" s="380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63">
        <v>5</v>
      </c>
      <c r="B11" s="361" t="str">
        <f>IFERROR(VLOOKUP(A11,пр.взв!$B$7:$H$22,2,0),"")</f>
        <v>САФАРОВ Булуд Рамиз Оглы</v>
      </c>
      <c r="C11" s="349" t="str">
        <f>IFERROR(VLOOKUP(A11,пр.взв!$B$7:$H$22,3,0),"")</f>
        <v>14.05.2002, МС</v>
      </c>
      <c r="D11" s="349" t="str">
        <f>IFERROR(VLOOKUP(A11,пр.взв!$B$7:$H$22,5,0),"")</f>
        <v>Свердловская, Екатеринбург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18" t="str">
        <f>IFERROR(VLOOKUP(U11,пр.взв!$B$7:$H$22,2,0),"")</f>
        <v>ЮСУФОВ Гаджи Чингизович</v>
      </c>
      <c r="S11" s="318" t="str">
        <f>IFERROR(VLOOKUP(U11,пр.взв!$B$7:$H$22,3,0),"")</f>
        <v>08.05.1990, МС</v>
      </c>
      <c r="T11" s="318" t="str">
        <f>IFERROR(VLOOKUP(U11,пр.взв!$B$7:$H$22,5,0),"")</f>
        <v>Пермский, Пермь</v>
      </c>
      <c r="U11" s="37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64"/>
      <c r="B12" s="362"/>
      <c r="C12" s="350"/>
      <c r="D12" s="350"/>
      <c r="E12" s="128">
        <v>5</v>
      </c>
      <c r="F12" s="249"/>
      <c r="G12" s="126"/>
      <c r="H12" s="135"/>
      <c r="I12" s="243"/>
      <c r="J12" s="304" t="s">
        <v>19</v>
      </c>
      <c r="K12" s="304"/>
      <c r="L12" s="304"/>
      <c r="M12" s="126"/>
      <c r="N12" s="133"/>
      <c r="O12" s="126"/>
      <c r="P12" s="241"/>
      <c r="Q12" s="128">
        <v>6</v>
      </c>
      <c r="R12" s="319"/>
      <c r="S12" s="319"/>
      <c r="T12" s="319"/>
      <c r="U12" s="379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64">
        <v>13</v>
      </c>
      <c r="B13" s="357" t="str">
        <f>IFERROR(VLOOKUP(A13,пр.взв!$B$7:$H$22,2,0),"")</f>
        <v/>
      </c>
      <c r="C13" s="357" t="str">
        <f>IFERROR(VLOOKUP(A13,пр.взв!$B$7:$H$22,3,0),"")</f>
        <v/>
      </c>
      <c r="D13" s="319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57" t="str">
        <f>IFERROR(VLOOKUP(U13,пр.взв!$B$7:$H$22,2,0),"")</f>
        <v/>
      </c>
      <c r="S13" s="357" t="str">
        <f>IFERROR(VLOOKUP(U13,пр.взв!$B$7:$H$22,3,0),"")</f>
        <v/>
      </c>
      <c r="T13" s="357" t="str">
        <f>IFERROR(VLOOKUP(U13,пр.взв!$B$7:$H$22,5,0),"")</f>
        <v/>
      </c>
      <c r="U13" s="379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65"/>
      <c r="B14" s="358"/>
      <c r="C14" s="358"/>
      <c r="D14" s="350"/>
      <c r="E14" s="132"/>
      <c r="F14" s="359"/>
      <c r="G14" s="359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58"/>
      <c r="S14" s="358"/>
      <c r="T14" s="358"/>
      <c r="U14" s="37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63">
        <v>3</v>
      </c>
      <c r="B15" s="361" t="str">
        <f>IFERROR(VLOOKUP(A15,пр.взв!$B$7:$H$22,2,0),"")</f>
        <v>ТАЧКОВ Иван Дмитриевич</v>
      </c>
      <c r="C15" s="349" t="str">
        <f>IFERROR(VLOOKUP(A15,пр.взв!$B$7:$H$22,3,0),"")</f>
        <v>25.03.1997, МС</v>
      </c>
      <c r="D15" s="349" t="str">
        <f>IFERROR(VLOOKUP(A15,пр.взв!$B$7:$H$22,5,0),"")</f>
        <v>Свердловская, Екатеринбург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18" t="str">
        <f>IFERROR(VLOOKUP(U15,пр.взв!$B$7:$H$22,2,0),"")</f>
        <v>ЖЕЛТОВ Роман Игоревич</v>
      </c>
      <c r="S15" s="318" t="str">
        <f>IFERROR(VLOOKUP(U15,пр.взв!$B$7:$H$22,3,0),"")</f>
        <v>14.08.2002, МС</v>
      </c>
      <c r="T15" s="318" t="str">
        <f>IFERROR(VLOOKUP(U15,пр.взв!$B$7:$H$22,5,0),"")</f>
        <v>Свердловская, Екатеринбург</v>
      </c>
      <c r="U15" s="378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64"/>
      <c r="B16" s="362"/>
      <c r="C16" s="350"/>
      <c r="D16" s="350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>
        <v>4</v>
      </c>
      <c r="R16" s="319"/>
      <c r="S16" s="319"/>
      <c r="T16" s="319"/>
      <c r="U16" s="379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64">
        <v>11</v>
      </c>
      <c r="B17" s="357" t="str">
        <f>IFERROR(VLOOKUP(A17,пр.взв!$B$7:$H$22,2,0),"")</f>
        <v>ВЕНИКОВ Сергей Артёмович</v>
      </c>
      <c r="C17" s="357" t="str">
        <f>IFERROR(VLOOKUP(A17,пр.взв!$B$7:$H$22,3,0),"")</f>
        <v>28.08.2000, КМС</v>
      </c>
      <c r="D17" s="319" t="str">
        <f>IFERROR(VLOOKUP(A17,пр.взв!$B$7:$H$22,5,0),"")</f>
        <v>Краснодарский, Сочи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57" t="str">
        <f>IFERROR(VLOOKUP(U17,пр.взв!$B$7:$H$22,2,0),"")</f>
        <v/>
      </c>
      <c r="S17" s="357" t="str">
        <f>IFERROR(VLOOKUP(U17,пр.взв!$B$7:$H$22,3,0),"")</f>
        <v/>
      </c>
      <c r="T17" s="357" t="str">
        <f>IFERROR(VLOOKUP(U17,пр.взв!$B$7:$H$22,5,0),"")</f>
        <v/>
      </c>
      <c r="U17" s="379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65"/>
      <c r="B18" s="358"/>
      <c r="C18" s="358"/>
      <c r="D18" s="350"/>
      <c r="E18" s="132"/>
      <c r="F18" s="247"/>
      <c r="G18" s="128"/>
      <c r="H18" s="138"/>
      <c r="I18" s="125" t="s">
        <v>25</v>
      </c>
      <c r="J18" s="243"/>
      <c r="K18" s="243"/>
      <c r="L18" s="243"/>
      <c r="M18" s="126"/>
      <c r="N18" s="241"/>
      <c r="O18" s="128"/>
      <c r="P18" s="133"/>
      <c r="Q18" s="127"/>
      <c r="R18" s="358"/>
      <c r="S18" s="358"/>
      <c r="T18" s="358"/>
      <c r="U18" s="380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63">
        <v>7</v>
      </c>
      <c r="B19" s="361" t="str">
        <f>IFERROR(VLOOKUP(A19,пр.взв!$B$7:$H$22,2,0),"")</f>
        <v>ШАВОЛИН Иван Алексеевич</v>
      </c>
      <c r="C19" s="349" t="str">
        <f>IFERROR(VLOOKUP(A19,пр.взв!$B$7:$H$22,3,0),"")</f>
        <v>29.09.2001, МС</v>
      </c>
      <c r="D19" s="349" t="str">
        <f>IFERROR(VLOOKUP(A19,пр.взв!$B$7:$H$22,5,0),"")</f>
        <v xml:space="preserve">Кемеровская 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18" t="str">
        <f>IFERROR(VLOOKUP(U19,пр.взв!$B$7:$H$22,2,0),"")</f>
        <v>ТУНАКОВ Александр Сергеевич</v>
      </c>
      <c r="S19" s="318" t="str">
        <f>IFERROR(VLOOKUP(U19,пр.взв!$B$7:$H$22,3,0),"")</f>
        <v>25.08.1994, МСМК</v>
      </c>
      <c r="T19" s="318" t="str">
        <f>IFERROR(VLOOKUP(U19,пр.взв!$B$7:$H$22,5,0),"")</f>
        <v>Ивановская, Кинешма</v>
      </c>
      <c r="U19" s="373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64"/>
      <c r="B20" s="362"/>
      <c r="C20" s="350"/>
      <c r="D20" s="350"/>
      <c r="E20" s="128">
        <v>7</v>
      </c>
      <c r="F20" s="140"/>
      <c r="G20" s="132"/>
      <c r="H20" s="129" t="str">
        <f>AA29</f>
        <v/>
      </c>
      <c r="I20" s="320" t="str">
        <f>IFERROR(VLOOKUP(H20,пр.взв!$B$7:$I$22,2,0),"")</f>
        <v/>
      </c>
      <c r="J20" s="321"/>
      <c r="K20" s="321"/>
      <c r="L20" s="321"/>
      <c r="M20" s="322"/>
      <c r="N20" s="126"/>
      <c r="O20" s="126"/>
      <c r="P20" s="141"/>
      <c r="Q20" s="128">
        <v>8</v>
      </c>
      <c r="R20" s="319"/>
      <c r="S20" s="319"/>
      <c r="T20" s="319"/>
      <c r="U20" s="37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64">
        <v>15</v>
      </c>
      <c r="B21" s="357" t="str">
        <f>IFERROR(VLOOKUP(A21,пр.взв!$B$7:$H$22,2,0),"")</f>
        <v/>
      </c>
      <c r="C21" s="35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23"/>
      <c r="J21" s="324"/>
      <c r="K21" s="324"/>
      <c r="L21" s="324"/>
      <c r="M21" s="325"/>
      <c r="N21" s="126"/>
      <c r="O21" s="126"/>
      <c r="P21" s="126"/>
      <c r="Q21" s="130"/>
      <c r="R21" s="357" t="str">
        <f>IFERROR(VLOOKUP(U21,пр.взв!$B$7:$H$22,2,0),"")</f>
        <v/>
      </c>
      <c r="S21" s="357" t="str">
        <f>IFERROR(VLOOKUP(U21,пр.взв!$B$7:$H$22,3,0),"")</f>
        <v/>
      </c>
      <c r="T21" s="357" t="str">
        <f>IFERROR(VLOOKUP(U21,пр.взв!$B$7:$H$22,5,0),"")</f>
        <v/>
      </c>
      <c r="U21" s="37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65"/>
      <c r="B22" s="358"/>
      <c r="C22" s="358"/>
      <c r="D22" s="372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58"/>
      <c r="S22" s="358"/>
      <c r="T22" s="358"/>
      <c r="U22" s="376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05" t="s">
        <v>23</v>
      </c>
      <c r="I23" s="305"/>
      <c r="J23" s="305"/>
      <c r="K23" s="305"/>
      <c r="L23" s="305"/>
      <c r="M23" s="305"/>
      <c r="N23" s="305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65</v>
      </c>
      <c r="Z24" s="117" t="s">
        <v>66</v>
      </c>
      <c r="AA24" s="180" t="s">
        <v>66</v>
      </c>
      <c r="AB24" s="112"/>
    </row>
    <row r="25" spans="1:29" ht="12.75" customHeight="1">
      <c r="A25" s="148" t="str">
        <f>Y29</f>
        <v xml:space="preserve"> </v>
      </c>
      <c r="B25" s="332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12" t="str">
        <f>IFERROR(VLOOKUP(I25,пр.взв!$B$7:$H$22,2,0),"")</f>
        <v/>
      </c>
      <c r="K25" s="313"/>
      <c r="L25" s="314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34"/>
      <c r="C26" s="150"/>
      <c r="D26" s="151"/>
      <c r="E26" s="152"/>
      <c r="F26" s="152"/>
      <c r="G26" s="152"/>
      <c r="H26" s="152"/>
      <c r="I26" s="153"/>
      <c r="J26" s="315"/>
      <c r="K26" s="316"/>
      <c r="L26" s="317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35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06" t="str">
        <f>IFERROR(VLOOKUP(I27,пр.взв!$B$7:$H$22,2,0),"")</f>
        <v/>
      </c>
      <c r="K27" s="307"/>
      <c r="L27" s="308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36"/>
      <c r="C28" s="159"/>
      <c r="D28" s="151"/>
      <c r="E28" s="125"/>
      <c r="F28" s="125"/>
      <c r="G28" s="157"/>
      <c r="H28" s="157"/>
      <c r="I28" s="158"/>
      <c r="J28" s="309"/>
      <c r="K28" s="310"/>
      <c r="L28" s="311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43"/>
      <c r="O29" s="344"/>
      <c r="P29" s="344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41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41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32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12" t="str">
        <f>IFERROR(VLOOKUP(I31,пр.взв!$B$7:$H$22,2,0),"")</f>
        <v/>
      </c>
      <c r="K31" s="313"/>
      <c r="L31" s="314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34"/>
      <c r="C32" s="171"/>
      <c r="D32" s="168"/>
      <c r="E32" s="242"/>
      <c r="F32" s="337" t="str">
        <f>IFERROR(VLOOKUP(E32,пр.взв!$B$7:$H$22,2,0),"")</f>
        <v/>
      </c>
      <c r="G32" s="338"/>
      <c r="H32" s="339"/>
      <c r="I32" s="172"/>
      <c r="J32" s="315"/>
      <c r="K32" s="316"/>
      <c r="L32" s="317"/>
      <c r="M32" s="171"/>
      <c r="N32" s="173"/>
      <c r="O32" s="173"/>
      <c r="P32" s="170"/>
      <c r="Q32" s="242"/>
      <c r="R32" s="302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166" t="str">
        <f>Y27</f>
        <v xml:space="preserve"> </v>
      </c>
      <c r="B33" s="335" t="str">
        <f>IFERROR(VLOOKUP(A33,пр.взв!$B$7:$H$22,2,0),"")</f>
        <v/>
      </c>
      <c r="C33" s="164"/>
      <c r="D33" s="168"/>
      <c r="E33" s="174"/>
      <c r="F33" s="340"/>
      <c r="G33" s="341"/>
      <c r="H33" s="342"/>
      <c r="I33" s="175" t="str">
        <f>Y28</f>
        <v xml:space="preserve"> </v>
      </c>
      <c r="J33" s="306" t="str">
        <f>IFERROR(VLOOKUP(I33,пр.взв!$B$7:$H$22,2,0),"")</f>
        <v/>
      </c>
      <c r="K33" s="307"/>
      <c r="L33" s="308"/>
      <c r="M33" s="176"/>
      <c r="N33" s="173"/>
      <c r="O33" s="173"/>
      <c r="P33" s="170"/>
      <c r="Q33" s="164"/>
      <c r="R33" s="303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36"/>
      <c r="C34" s="151"/>
      <c r="D34" s="168"/>
      <c r="E34" s="125"/>
      <c r="F34" s="125"/>
      <c r="G34" s="125"/>
      <c r="H34" s="125"/>
      <c r="I34" s="175"/>
      <c r="J34" s="309"/>
      <c r="K34" s="310"/>
      <c r="L34" s="311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>
      <c r="A35" s="121"/>
      <c r="B35" s="151"/>
      <c r="C35" s="169" t="str">
        <f>Y34</f>
        <v/>
      </c>
      <c r="D35" s="332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12" t="str">
        <f>IFERROR(VLOOKUP(M35,пр.взв!$B$7:$H$22,2,0),"")</f>
        <v/>
      </c>
      <c r="O35" s="327"/>
      <c r="P35" s="328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1"/>
      <c r="C36" s="181"/>
      <c r="D36" s="333"/>
      <c r="E36" s="125"/>
      <c r="F36" s="125"/>
      <c r="G36" s="125"/>
      <c r="H36" s="125"/>
      <c r="I36" s="125"/>
      <c r="J36" s="157"/>
      <c r="K36" s="125"/>
      <c r="L36" s="125"/>
      <c r="M36" s="125"/>
      <c r="N36" s="329"/>
      <c r="O36" s="330"/>
      <c r="P36" s="331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6.5">
      <c r="A38" s="326" t="str">
        <f>[1]реквизиты!$A$6</f>
        <v>Гл. судья, судья ВК</v>
      </c>
      <c r="B38" s="326"/>
      <c r="C38" s="326"/>
      <c r="D38" s="110"/>
      <c r="E38" s="257"/>
      <c r="F38" s="257"/>
      <c r="G38" s="258"/>
      <c r="H38" s="110"/>
      <c r="I38" s="110"/>
      <c r="J38" s="259" t="str">
        <f>[1]реквизиты!$G$6</f>
        <v>Р.М. Болотский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6.75" customHeight="1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А.А. Зарипов</v>
      </c>
      <c r="K40" s="86"/>
      <c r="L40" s="212"/>
      <c r="M40" s="212"/>
      <c r="N40" s="377" t="str">
        <f>[1]реквизиты!$G$9</f>
        <v>/г. Казань/</v>
      </c>
      <c r="O40" s="377"/>
      <c r="P40" s="377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87</v>
      </c>
      <c r="C44" s="49"/>
      <c r="D44" s="63"/>
      <c r="E44" s="63"/>
      <c r="F44" s="63"/>
      <c r="G44" s="86"/>
      <c r="H44" s="86"/>
      <c r="M44" s="265" t="s">
        <v>87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indexed="46"/>
  </sheetPr>
  <dimension ref="A1:T64"/>
  <sheetViews>
    <sheetView topLeftCell="A10" workbookViewId="0">
      <selection activeCell="B3" sqref="B3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23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58" t="s">
        <v>36</v>
      </c>
      <c r="C1" s="458"/>
      <c r="D1" s="458"/>
      <c r="E1" s="458"/>
      <c r="F1" s="458"/>
      <c r="G1" s="458"/>
      <c r="H1" s="458"/>
      <c r="I1" s="458"/>
      <c r="J1" s="458"/>
      <c r="L1" s="458" t="s">
        <v>36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98+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98+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89</v>
      </c>
      <c r="L3">
        <f>B3</f>
        <v>0</v>
      </c>
      <c r="M3" s="5" t="s">
        <v>89</v>
      </c>
    </row>
    <row r="4" spans="1:20" ht="16.5" thickBot="1">
      <c r="B4" s="75" t="s">
        <v>31</v>
      </c>
      <c r="C4" s="77" t="s">
        <v>37</v>
      </c>
      <c r="D4" s="76" t="s">
        <v>34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37</v>
      </c>
      <c r="N4" s="76" t="s">
        <v>34</v>
      </c>
      <c r="O4" s="76"/>
      <c r="P4" s="77"/>
      <c r="Q4" s="75"/>
      <c r="R4" s="77"/>
      <c r="S4" s="77"/>
      <c r="T4" s="77"/>
    </row>
    <row r="5" spans="1:20" ht="12.75" customHeight="1">
      <c r="A5" s="422" t="s">
        <v>38</v>
      </c>
      <c r="B5" s="456" t="s">
        <v>4</v>
      </c>
      <c r="C5" s="416" t="s">
        <v>5</v>
      </c>
      <c r="D5" s="413" t="s">
        <v>12</v>
      </c>
      <c r="E5" s="444" t="s">
        <v>13</v>
      </c>
      <c r="F5" s="445"/>
      <c r="G5" s="416" t="s">
        <v>14</v>
      </c>
      <c r="H5" s="418" t="s">
        <v>39</v>
      </c>
      <c r="I5" s="420" t="s">
        <v>15</v>
      </c>
      <c r="J5" s="407" t="s">
        <v>16</v>
      </c>
      <c r="K5" s="422" t="s">
        <v>38</v>
      </c>
      <c r="L5" s="456" t="s">
        <v>4</v>
      </c>
      <c r="M5" s="416" t="s">
        <v>5</v>
      </c>
      <c r="N5" s="413" t="s">
        <v>12</v>
      </c>
      <c r="O5" s="444" t="s">
        <v>13</v>
      </c>
      <c r="P5" s="445"/>
      <c r="Q5" s="416" t="s">
        <v>14</v>
      </c>
      <c r="R5" s="418" t="s">
        <v>39</v>
      </c>
      <c r="S5" s="420" t="s">
        <v>15</v>
      </c>
      <c r="T5" s="407" t="s">
        <v>16</v>
      </c>
    </row>
    <row r="6" spans="1:20" ht="13.5" customHeight="1" thickBot="1">
      <c r="A6" s="423"/>
      <c r="B6" s="457" t="s">
        <v>32</v>
      </c>
      <c r="C6" s="417"/>
      <c r="D6" s="415"/>
      <c r="E6" s="446"/>
      <c r="F6" s="447"/>
      <c r="G6" s="417"/>
      <c r="H6" s="419"/>
      <c r="I6" s="421"/>
      <c r="J6" s="408" t="s">
        <v>33</v>
      </c>
      <c r="K6" s="423"/>
      <c r="L6" s="457" t="s">
        <v>32</v>
      </c>
      <c r="M6" s="417"/>
      <c r="N6" s="415"/>
      <c r="O6" s="446"/>
      <c r="P6" s="447"/>
      <c r="Q6" s="417"/>
      <c r="R6" s="419"/>
      <c r="S6" s="421"/>
      <c r="T6" s="408" t="s">
        <v>33</v>
      </c>
    </row>
    <row r="7" spans="1:20" ht="12.75" customHeight="1">
      <c r="A7" s="441">
        <v>1</v>
      </c>
      <c r="B7" s="450">
        <v>1</v>
      </c>
      <c r="C7" s="404" t="str">
        <f>VLOOKUP(B7,пр.взв!B$7:E$22,2,FALSE)</f>
        <v>СОЛДАТЕНКОВ Степан Дмитриевич</v>
      </c>
      <c r="D7" s="405" t="str">
        <f>VLOOKUP(B7,пр.взв!B$7:E$22,3,FALSE)</f>
        <v>18.11.2002, МС</v>
      </c>
      <c r="E7" s="406" t="str">
        <f>VLOOKUP(B7,пр.взв!B$7:E$22,4,FALSE)</f>
        <v>ЦФО</v>
      </c>
      <c r="F7" s="406" t="str">
        <f>VLOOKUP(B7,пр.взв!B$7:F$22,5,FALSE)</f>
        <v>Московская, Королев</v>
      </c>
      <c r="G7" s="383"/>
      <c r="H7" s="385"/>
      <c r="I7" s="386"/>
      <c r="J7" s="388"/>
      <c r="K7" s="441">
        <v>5</v>
      </c>
      <c r="L7" s="450">
        <v>2</v>
      </c>
      <c r="M7" s="453" t="str">
        <f>VLOOKUP(L7,пр.взв!B$7:F$22,2,FALSE)</f>
        <v>ПОЗНАХИРКО Глеб Игоревич</v>
      </c>
      <c r="N7" s="406" t="str">
        <f>VLOOKUP(L7,пр.взв!B$7:F$22,3,FALSE)</f>
        <v>20.04.1999, МСМК</v>
      </c>
      <c r="O7" s="406" t="str">
        <f>VLOOKUP(L7,пр.взв!B$7:F$22,4,FALSE)</f>
        <v>УФО</v>
      </c>
      <c r="P7" s="406" t="str">
        <f>VLOOKUP(L7,пр.взв!B$7:F$22,5,FALSE)</f>
        <v>Свердловская, Верхняя Пышма</v>
      </c>
      <c r="Q7" s="383"/>
      <c r="R7" s="385"/>
      <c r="S7" s="386"/>
      <c r="T7" s="388"/>
    </row>
    <row r="8" spans="1:20" ht="12.75" customHeight="1">
      <c r="A8" s="442"/>
      <c r="B8" s="440"/>
      <c r="C8" s="455"/>
      <c r="D8" s="406"/>
      <c r="E8" s="384"/>
      <c r="F8" s="384"/>
      <c r="G8" s="384"/>
      <c r="H8" s="384"/>
      <c r="I8" s="387"/>
      <c r="J8" s="292"/>
      <c r="K8" s="442"/>
      <c r="L8" s="440"/>
      <c r="M8" s="454"/>
      <c r="N8" s="384"/>
      <c r="O8" s="384"/>
      <c r="P8" s="384"/>
      <c r="Q8" s="384"/>
      <c r="R8" s="384"/>
      <c r="S8" s="387"/>
      <c r="T8" s="292"/>
    </row>
    <row r="9" spans="1:20" ht="12.75" customHeight="1">
      <c r="A9" s="442"/>
      <c r="B9" s="440">
        <v>9</v>
      </c>
      <c r="C9" s="391" t="str">
        <f>VLOOKUP(B9,пр.взв!B$7:E$22,2,FALSE)</f>
        <v>ХАПЦЕВ Артур Русланович</v>
      </c>
      <c r="D9" s="393" t="str">
        <f>VLOOKUP(B9,пр.взв!B$7:E$22,3,FALSE)</f>
        <v>15.01.1988, МСМК</v>
      </c>
      <c r="E9" s="393" t="str">
        <f>VLOOKUP(B9,пр.взв!B$7:E$22,4,FALSE)</f>
        <v>УФО</v>
      </c>
      <c r="F9" s="393" t="str">
        <f>VLOOKUP(B9,пр.взв!B$7:F$22,5,FALSE)</f>
        <v>Свердловская, Верхняя Пышма</v>
      </c>
      <c r="G9" s="395"/>
      <c r="H9" s="395"/>
      <c r="I9" s="293"/>
      <c r="J9" s="293"/>
      <c r="K9" s="442"/>
      <c r="L9" s="440">
        <v>10</v>
      </c>
      <c r="M9" s="391" t="str">
        <f>VLOOKUP(L9,пр.взв!B$7:F$22,2,FALSE)</f>
        <v>ФАРГАТОВ Курбан Расимович</v>
      </c>
      <c r="N9" s="393" t="str">
        <f>VLOOKUP(L9,пр.взв!B$7:F$22,3,FALSE)</f>
        <v>17.01.2000, МС</v>
      </c>
      <c r="O9" s="393" t="str">
        <f>VLOOKUP(L9,пр.взв!B$7:F$22,4,FALSE)</f>
        <v>ЮФО</v>
      </c>
      <c r="P9" s="393" t="str">
        <f>VLOOKUP(L9,пр.взв!B$7:F$22,5,FALSE)</f>
        <v>Краснодарский, Курганинск</v>
      </c>
      <c r="Q9" s="395"/>
      <c r="R9" s="395"/>
      <c r="S9" s="293"/>
      <c r="T9" s="293"/>
    </row>
    <row r="10" spans="1:20" ht="13.5" customHeight="1" thickBot="1">
      <c r="A10" s="443"/>
      <c r="B10" s="437"/>
      <c r="C10" s="392"/>
      <c r="D10" s="394"/>
      <c r="E10" s="394"/>
      <c r="F10" s="394"/>
      <c r="G10" s="396"/>
      <c r="H10" s="396"/>
      <c r="I10" s="397"/>
      <c r="J10" s="397"/>
      <c r="K10" s="443"/>
      <c r="L10" s="437"/>
      <c r="M10" s="392"/>
      <c r="N10" s="394"/>
      <c r="O10" s="394"/>
      <c r="P10" s="394"/>
      <c r="Q10" s="396"/>
      <c r="R10" s="396"/>
      <c r="S10" s="397"/>
      <c r="T10" s="397"/>
    </row>
    <row r="11" spans="1:20" ht="12.75" customHeight="1">
      <c r="A11" s="441">
        <v>2</v>
      </c>
      <c r="B11" s="451">
        <v>5</v>
      </c>
      <c r="C11" s="403" t="str">
        <f>VLOOKUP(B11,пр.взв!B$7:E$22,2,FALSE)</f>
        <v>САФАРОВ Булуд Рамиз Оглы</v>
      </c>
      <c r="D11" s="405" t="str">
        <f>VLOOKUP(B11,пр.взв!B$7:E$22,3,FALSE)</f>
        <v>14.05.2002, МС</v>
      </c>
      <c r="E11" s="405" t="str">
        <f>VLOOKUP(B11,пр.взв!B$7:E$22,4,FALSE)</f>
        <v>УФО</v>
      </c>
      <c r="F11" s="405" t="str">
        <f>VLOOKUP(B11,пр.взв!B$7:F$22,5,FALSE)</f>
        <v>Свердловская, Екатеринбург</v>
      </c>
      <c r="G11" s="410"/>
      <c r="H11" s="411"/>
      <c r="I11" s="412"/>
      <c r="J11" s="438"/>
      <c r="K11" s="441">
        <v>6</v>
      </c>
      <c r="L11" s="450">
        <v>6</v>
      </c>
      <c r="M11" s="403" t="str">
        <f>VLOOKUP(L11,пр.взв!B$7:F$22,2,FALSE)</f>
        <v>ЮСУФОВ Гаджи Чингизович</v>
      </c>
      <c r="N11" s="405" t="str">
        <f>VLOOKUP(L11,пр.взв!B$7:F$22,3,FALSE)</f>
        <v>08.05.1990, МС</v>
      </c>
      <c r="O11" s="405" t="str">
        <f>VLOOKUP(L11,пр.взв!B$7:F$22,4,FALSE)</f>
        <v>ПФО</v>
      </c>
      <c r="P11" s="405" t="str">
        <f>VLOOKUP(L11,пр.взв!B$7:F$22,5,FALSE)</f>
        <v>Пермский, Пермь</v>
      </c>
      <c r="Q11" s="410"/>
      <c r="R11" s="411"/>
      <c r="S11" s="412"/>
      <c r="T11" s="438"/>
    </row>
    <row r="12" spans="1:20" ht="12.75" customHeight="1">
      <c r="A12" s="442"/>
      <c r="B12" s="440"/>
      <c r="C12" s="404"/>
      <c r="D12" s="406"/>
      <c r="E12" s="406"/>
      <c r="F12" s="406"/>
      <c r="G12" s="384"/>
      <c r="H12" s="384"/>
      <c r="I12" s="387"/>
      <c r="J12" s="292"/>
      <c r="K12" s="442"/>
      <c r="L12" s="440"/>
      <c r="M12" s="404"/>
      <c r="N12" s="406"/>
      <c r="O12" s="406"/>
      <c r="P12" s="406"/>
      <c r="Q12" s="384"/>
      <c r="R12" s="384"/>
      <c r="S12" s="387"/>
      <c r="T12" s="292"/>
    </row>
    <row r="13" spans="1:20" ht="12.75" customHeight="1">
      <c r="A13" s="442"/>
      <c r="B13" s="440">
        <v>13</v>
      </c>
      <c r="C13" s="391" t="e">
        <f>VLOOKUP(B13,пр.взв!B$7:E$22,2,FALSE)</f>
        <v>#N/A</v>
      </c>
      <c r="D13" s="393" t="e">
        <f>VLOOKUP(B13,пр.взв!B$7:E$22,3,FALSE)</f>
        <v>#N/A</v>
      </c>
      <c r="E13" s="393" t="e">
        <f>VLOOKUP(B13,пр.взв!B$7:E$22,4,FALSE)</f>
        <v>#N/A</v>
      </c>
      <c r="F13" s="393" t="e">
        <f>VLOOKUP(B13,пр.взв!B$7:F$22,5,FALSE)</f>
        <v>#N/A</v>
      </c>
      <c r="G13" s="395"/>
      <c r="H13" s="395"/>
      <c r="I13" s="293"/>
      <c r="J13" s="293"/>
      <c r="K13" s="442"/>
      <c r="L13" s="440">
        <v>14</v>
      </c>
      <c r="M13" s="391" t="e">
        <f>VLOOKUP(L13,пр.взв!B$7:F$22,2,FALSE)</f>
        <v>#N/A</v>
      </c>
      <c r="N13" s="393" t="e">
        <f>VLOOKUP(L13,пр.взв!B$7:F$22,3,FALSE)</f>
        <v>#N/A</v>
      </c>
      <c r="O13" s="393" t="e">
        <f>VLOOKUP(L13,пр.взв!B$7:F$22,4,FALSE)</f>
        <v>#N/A</v>
      </c>
      <c r="P13" s="393" t="e">
        <f>VLOOKUP(L13,пр.взв!B$7:F$22,5,FALSE)</f>
        <v>#N/A</v>
      </c>
      <c r="Q13" s="395"/>
      <c r="R13" s="395"/>
      <c r="S13" s="293"/>
      <c r="T13" s="293"/>
    </row>
    <row r="14" spans="1:20" ht="13.5" customHeight="1" thickBot="1">
      <c r="A14" s="443"/>
      <c r="B14" s="437"/>
      <c r="C14" s="392"/>
      <c r="D14" s="394"/>
      <c r="E14" s="394"/>
      <c r="F14" s="394"/>
      <c r="G14" s="396"/>
      <c r="H14" s="396"/>
      <c r="I14" s="397"/>
      <c r="J14" s="397"/>
      <c r="K14" s="443"/>
      <c r="L14" s="452"/>
      <c r="M14" s="392"/>
      <c r="N14" s="394"/>
      <c r="O14" s="394"/>
      <c r="P14" s="394"/>
      <c r="Q14" s="396"/>
      <c r="R14" s="396"/>
      <c r="S14" s="397"/>
      <c r="T14" s="397"/>
    </row>
    <row r="15" spans="1:20" ht="12.75" customHeight="1">
      <c r="A15" s="441">
        <v>3</v>
      </c>
      <c r="B15" s="451">
        <v>3</v>
      </c>
      <c r="C15" s="403" t="str">
        <f>VLOOKUP(B15,пр.взв!B$7:E$22,2,FALSE)</f>
        <v>ТАЧКОВ Иван Дмитриевич</v>
      </c>
      <c r="D15" s="405" t="str">
        <f>VLOOKUP(B15,пр.взв!B$7:E$22,3,FALSE)</f>
        <v>25.03.1997, МС</v>
      </c>
      <c r="E15" s="405" t="str">
        <f>VLOOKUP(B15,пр.взв!B$7:E$22,4,FALSE)</f>
        <v>УФО</v>
      </c>
      <c r="F15" s="405" t="str">
        <f>VLOOKUP(B15,пр.взв!B$7:F$22,5,FALSE)</f>
        <v>Свердловская, Екатеринбург</v>
      </c>
      <c r="G15" s="383"/>
      <c r="H15" s="385"/>
      <c r="I15" s="386"/>
      <c r="J15" s="388"/>
      <c r="K15" s="441">
        <v>7</v>
      </c>
      <c r="L15" s="451">
        <v>4</v>
      </c>
      <c r="M15" s="403" t="str">
        <f>VLOOKUP(L15,пр.взв!B$7:F$22,2,FALSE)</f>
        <v>ЖЕЛТОВ Роман Игоревич</v>
      </c>
      <c r="N15" s="405" t="str">
        <f>VLOOKUP(L15,пр.взв!B$7:F$22,3,FALSE)</f>
        <v>14.08.2002, МС</v>
      </c>
      <c r="O15" s="405" t="str">
        <f>VLOOKUP(L15,пр.взв!B$7:F$22,4,FALSE)</f>
        <v>УФО</v>
      </c>
      <c r="P15" s="405" t="str">
        <f>VLOOKUP(L15,пр.взв!B$7:F$22,5,FALSE)</f>
        <v>Свердловская, Екатеринбург</v>
      </c>
      <c r="Q15" s="383"/>
      <c r="R15" s="385"/>
      <c r="S15" s="386"/>
      <c r="T15" s="388"/>
    </row>
    <row r="16" spans="1:20" ht="12.75" customHeight="1">
      <c r="A16" s="442"/>
      <c r="B16" s="440"/>
      <c r="C16" s="404"/>
      <c r="D16" s="406"/>
      <c r="E16" s="406"/>
      <c r="F16" s="406"/>
      <c r="G16" s="384"/>
      <c r="H16" s="384"/>
      <c r="I16" s="387"/>
      <c r="J16" s="292"/>
      <c r="K16" s="442"/>
      <c r="L16" s="440"/>
      <c r="M16" s="404"/>
      <c r="N16" s="406"/>
      <c r="O16" s="406"/>
      <c r="P16" s="406"/>
      <c r="Q16" s="384"/>
      <c r="R16" s="384"/>
      <c r="S16" s="387"/>
      <c r="T16" s="292"/>
    </row>
    <row r="17" spans="1:20" ht="12.75" customHeight="1">
      <c r="A17" s="442"/>
      <c r="B17" s="440">
        <v>11</v>
      </c>
      <c r="C17" s="391" t="str">
        <f>VLOOKUP(B17,пр.взв!B$7:E$22,2,FALSE)</f>
        <v>ВЕНИКОВ Сергей Артёмович</v>
      </c>
      <c r="D17" s="393" t="str">
        <f>VLOOKUP(B17,пр.взв!B$7:E$22,3,FALSE)</f>
        <v>28.08.2000, КМС</v>
      </c>
      <c r="E17" s="393" t="str">
        <f>VLOOKUP(B17,пр.взв!B$7:E$22,4,FALSE)</f>
        <v>ЮФО</v>
      </c>
      <c r="F17" s="393" t="str">
        <f>VLOOKUP(B17,пр.взв!B$7:F$22,5,FALSE)</f>
        <v>Краснодарский, Сочи</v>
      </c>
      <c r="G17" s="395"/>
      <c r="H17" s="395"/>
      <c r="I17" s="293"/>
      <c r="J17" s="293"/>
      <c r="K17" s="442"/>
      <c r="L17" s="440">
        <v>12</v>
      </c>
      <c r="M17" s="391" t="e">
        <f>VLOOKUP(L17,пр.взв!B$7:F$22,2,FALSE)</f>
        <v>#N/A</v>
      </c>
      <c r="N17" s="393" t="e">
        <f>VLOOKUP(L17,пр.взв!B$7:F$22,3,FALSE)</f>
        <v>#N/A</v>
      </c>
      <c r="O17" s="393" t="e">
        <f>VLOOKUP(L17,пр.взв!B$7:F$22,4,FALSE)</f>
        <v>#N/A</v>
      </c>
      <c r="P17" s="393" t="e">
        <f>VLOOKUP(L17,пр.взв!B$7:F$22,5,FALSE)</f>
        <v>#N/A</v>
      </c>
      <c r="Q17" s="395"/>
      <c r="R17" s="395"/>
      <c r="S17" s="293"/>
      <c r="T17" s="293"/>
    </row>
    <row r="18" spans="1:20" ht="13.5" customHeight="1" thickBot="1">
      <c r="A18" s="443"/>
      <c r="B18" s="437"/>
      <c r="C18" s="392"/>
      <c r="D18" s="394"/>
      <c r="E18" s="394"/>
      <c r="F18" s="394"/>
      <c r="G18" s="396"/>
      <c r="H18" s="396"/>
      <c r="I18" s="397"/>
      <c r="J18" s="397"/>
      <c r="K18" s="443"/>
      <c r="L18" s="437"/>
      <c r="M18" s="392"/>
      <c r="N18" s="394"/>
      <c r="O18" s="394"/>
      <c r="P18" s="394"/>
      <c r="Q18" s="396"/>
      <c r="R18" s="396"/>
      <c r="S18" s="397"/>
      <c r="T18" s="397"/>
    </row>
    <row r="19" spans="1:20" ht="12.75" customHeight="1">
      <c r="A19" s="441">
        <v>4</v>
      </c>
      <c r="B19" s="451">
        <v>7</v>
      </c>
      <c r="C19" s="403" t="str">
        <f>VLOOKUP(B19,пр.взв!B$7:E$22,2,FALSE)</f>
        <v>ШАВОЛИН Иван Алексеевич</v>
      </c>
      <c r="D19" s="405" t="str">
        <f>VLOOKUP(B19,пр.взв!B$7:E$22,3,FALSE)</f>
        <v>29.09.2001, МС</v>
      </c>
      <c r="E19" s="405" t="str">
        <f>VLOOKUP(B19,пр.взв!B$7:E$22,4,FALSE)</f>
        <v>СФО</v>
      </c>
      <c r="F19" s="405" t="str">
        <f>VLOOKUP(B19,пр.взв!B$7:F$22,5,FALSE)</f>
        <v xml:space="preserve">Кемеровская </v>
      </c>
      <c r="G19" s="384"/>
      <c r="H19" s="448"/>
      <c r="I19" s="387"/>
      <c r="J19" s="449"/>
      <c r="K19" s="441">
        <v>8</v>
      </c>
      <c r="L19" s="450">
        <v>8</v>
      </c>
      <c r="M19" s="403" t="str">
        <f>VLOOKUP(L19,пр.взв!B$7:F$22,2,FALSE)</f>
        <v>ТУНАКОВ Александр Сергеевич</v>
      </c>
      <c r="N19" s="405" t="str">
        <f>VLOOKUP(L19,пр.взв!B$7:F$22,3,FALSE)</f>
        <v>25.08.1994, МСМК</v>
      </c>
      <c r="O19" s="405" t="str">
        <f>VLOOKUP(L19,пр.взв!B$7:F$22,4,FALSE)</f>
        <v>ЦФО</v>
      </c>
      <c r="P19" s="405" t="str">
        <f>VLOOKUP(L19,пр.взв!B$7:F$22,5,FALSE)</f>
        <v>Ивановская, Кинешма</v>
      </c>
      <c r="Q19" s="384"/>
      <c r="R19" s="448"/>
      <c r="S19" s="387"/>
      <c r="T19" s="449"/>
    </row>
    <row r="20" spans="1:20" ht="12.75" customHeight="1">
      <c r="A20" s="442"/>
      <c r="B20" s="440"/>
      <c r="C20" s="404"/>
      <c r="D20" s="406"/>
      <c r="E20" s="406"/>
      <c r="F20" s="406"/>
      <c r="G20" s="384"/>
      <c r="H20" s="384"/>
      <c r="I20" s="387"/>
      <c r="J20" s="292"/>
      <c r="K20" s="442"/>
      <c r="L20" s="440"/>
      <c r="M20" s="404"/>
      <c r="N20" s="406"/>
      <c r="O20" s="406"/>
      <c r="P20" s="406"/>
      <c r="Q20" s="384"/>
      <c r="R20" s="384"/>
      <c r="S20" s="387"/>
      <c r="T20" s="292"/>
    </row>
    <row r="21" spans="1:20" ht="12.75" customHeight="1">
      <c r="A21" s="442"/>
      <c r="B21" s="440">
        <v>15</v>
      </c>
      <c r="C21" s="391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395"/>
      <c r="H21" s="395"/>
      <c r="I21" s="293"/>
      <c r="J21" s="293"/>
      <c r="K21" s="442"/>
      <c r="L21" s="440">
        <v>16</v>
      </c>
      <c r="M21" s="391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395"/>
      <c r="R21" s="395"/>
      <c r="S21" s="293"/>
      <c r="T21" s="293"/>
    </row>
    <row r="22" spans="1:20" ht="12.75" customHeight="1" thickBot="1">
      <c r="A22" s="443"/>
      <c r="B22" s="437"/>
      <c r="C22" s="392"/>
      <c r="D22" s="394"/>
      <c r="E22" s="394"/>
      <c r="F22" s="394"/>
      <c r="G22" s="396"/>
      <c r="H22" s="396"/>
      <c r="I22" s="397"/>
      <c r="J22" s="397"/>
      <c r="K22" s="443"/>
      <c r="L22" s="437"/>
      <c r="M22" s="392"/>
      <c r="N22" s="394"/>
      <c r="O22" s="394"/>
      <c r="P22" s="394"/>
      <c r="Q22" s="396"/>
      <c r="R22" s="396"/>
      <c r="S22" s="397"/>
      <c r="T22" s="397"/>
    </row>
    <row r="23" spans="1:20">
      <c r="B23">
        <f>B3</f>
        <v>0</v>
      </c>
      <c r="C23" s="5" t="s">
        <v>89</v>
      </c>
      <c r="L23">
        <f>L3</f>
        <v>0</v>
      </c>
      <c r="M23" s="5" t="s">
        <v>89</v>
      </c>
    </row>
    <row r="24" spans="1:20" ht="16.5" thickBot="1">
      <c r="B24" s="75" t="s">
        <v>31</v>
      </c>
      <c r="C24" s="77" t="s">
        <v>37</v>
      </c>
      <c r="D24" s="76" t="s">
        <v>35</v>
      </c>
      <c r="E24" s="76"/>
      <c r="F24" s="77"/>
      <c r="G24" s="75" t="str">
        <f>B2</f>
        <v>В.к. 98+ кг.</v>
      </c>
      <c r="H24" s="77"/>
      <c r="I24" s="77"/>
      <c r="J24" s="77"/>
      <c r="K24" s="77"/>
      <c r="L24" s="75" t="s">
        <v>1</v>
      </c>
      <c r="M24" s="77" t="s">
        <v>37</v>
      </c>
      <c r="N24" s="76" t="s">
        <v>35</v>
      </c>
      <c r="O24" s="76"/>
      <c r="P24" s="77"/>
      <c r="Q24" s="75" t="str">
        <f>L2</f>
        <v>В.к. 98+ кг.</v>
      </c>
      <c r="R24" s="77"/>
      <c r="S24" s="77"/>
      <c r="T24" s="77"/>
    </row>
    <row r="25" spans="1:20" ht="12.75" customHeight="1">
      <c r="A25" s="422" t="s">
        <v>38</v>
      </c>
      <c r="B25" s="424" t="s">
        <v>4</v>
      </c>
      <c r="C25" s="416" t="s">
        <v>5</v>
      </c>
      <c r="D25" s="413" t="s">
        <v>12</v>
      </c>
      <c r="E25" s="444" t="s">
        <v>13</v>
      </c>
      <c r="F25" s="445"/>
      <c r="G25" s="416" t="s">
        <v>14</v>
      </c>
      <c r="H25" s="418" t="s">
        <v>39</v>
      </c>
      <c r="I25" s="420" t="s">
        <v>15</v>
      </c>
      <c r="J25" s="407" t="s">
        <v>16</v>
      </c>
      <c r="K25" s="422" t="s">
        <v>38</v>
      </c>
      <c r="L25" s="424" t="s">
        <v>4</v>
      </c>
      <c r="M25" s="416" t="s">
        <v>5</v>
      </c>
      <c r="N25" s="413" t="s">
        <v>12</v>
      </c>
      <c r="O25" s="432" t="s">
        <v>13</v>
      </c>
      <c r="P25" s="433"/>
      <c r="Q25" s="416" t="s">
        <v>14</v>
      </c>
      <c r="R25" s="418" t="s">
        <v>39</v>
      </c>
      <c r="S25" s="420" t="s">
        <v>15</v>
      </c>
      <c r="T25" s="407" t="s">
        <v>16</v>
      </c>
    </row>
    <row r="26" spans="1:20" ht="13.5" customHeight="1" thickBot="1">
      <c r="A26" s="423"/>
      <c r="B26" s="425" t="s">
        <v>32</v>
      </c>
      <c r="C26" s="417"/>
      <c r="D26" s="415"/>
      <c r="E26" s="446"/>
      <c r="F26" s="447"/>
      <c r="G26" s="417"/>
      <c r="H26" s="419"/>
      <c r="I26" s="421"/>
      <c r="J26" s="408" t="s">
        <v>33</v>
      </c>
      <c r="K26" s="423"/>
      <c r="L26" s="425" t="s">
        <v>32</v>
      </c>
      <c r="M26" s="417"/>
      <c r="N26" s="415"/>
      <c r="O26" s="434"/>
      <c r="P26" s="435"/>
      <c r="Q26" s="417"/>
      <c r="R26" s="419"/>
      <c r="S26" s="421"/>
      <c r="T26" s="408" t="s">
        <v>33</v>
      </c>
    </row>
    <row r="27" spans="1:20" ht="12.75" customHeight="1">
      <c r="A27" s="441">
        <v>1</v>
      </c>
      <c r="B27" s="439">
        <f>пр.хода!E8</f>
        <v>0</v>
      </c>
      <c r="C27" s="403" t="e">
        <f>VLOOKUP(B27,пр.взв!B$7:E$22,2,FALSE)</f>
        <v>#N/A</v>
      </c>
      <c r="D27" s="405" t="e">
        <f>VLOOKUP(B27,пр.взв!B$7:E$22,3,FALSE)</f>
        <v>#N/A</v>
      </c>
      <c r="E27" s="405" t="e">
        <f>VLOOKUP(B27,пр.взв!B$7:E$22,4,FALSE)</f>
        <v>#N/A</v>
      </c>
      <c r="F27" s="405" t="e">
        <f>VLOOKUP(B27,пр.взв!B$7:F$22,5,FALSE)</f>
        <v>#N/A</v>
      </c>
      <c r="G27" s="410"/>
      <c r="H27" s="411"/>
      <c r="I27" s="412"/>
      <c r="J27" s="413"/>
      <c r="K27" s="398">
        <v>3</v>
      </c>
      <c r="L27" s="439">
        <f>пр.хода!Q8</f>
        <v>0</v>
      </c>
      <c r="M27" s="403" t="e">
        <f>VLOOKUP(L27,пр.взв!B$7:F$22,2,FALSE)</f>
        <v>#N/A</v>
      </c>
      <c r="N27" s="405" t="e">
        <f>VLOOKUP(L27,пр.взв!B$7:F$22,3,FALSE)</f>
        <v>#N/A</v>
      </c>
      <c r="O27" s="405" t="e">
        <f>VLOOKUP(L27,пр.взв!B$7:F$22,4,FALSE)</f>
        <v>#N/A</v>
      </c>
      <c r="P27" s="405" t="e">
        <f>VLOOKUP(L27,пр.взв!B$7:F$22,5,FALSE)</f>
        <v>#N/A</v>
      </c>
      <c r="Q27" s="410"/>
      <c r="R27" s="411"/>
      <c r="S27" s="412"/>
      <c r="T27" s="413"/>
    </row>
    <row r="28" spans="1:20">
      <c r="A28" s="442"/>
      <c r="B28" s="440"/>
      <c r="C28" s="404"/>
      <c r="D28" s="406"/>
      <c r="E28" s="406"/>
      <c r="F28" s="406"/>
      <c r="G28" s="384"/>
      <c r="H28" s="384"/>
      <c r="I28" s="387"/>
      <c r="J28" s="292"/>
      <c r="K28" s="399"/>
      <c r="L28" s="440"/>
      <c r="M28" s="404"/>
      <c r="N28" s="406"/>
      <c r="O28" s="406"/>
      <c r="P28" s="406"/>
      <c r="Q28" s="384"/>
      <c r="R28" s="384"/>
      <c r="S28" s="387"/>
      <c r="T28" s="292"/>
    </row>
    <row r="29" spans="1:20" ht="12.75" customHeight="1">
      <c r="A29" s="442"/>
      <c r="B29" s="436">
        <f>пр.хода!E12</f>
        <v>5</v>
      </c>
      <c r="C29" s="391" t="str">
        <f>VLOOKUP(B29,пр.взв!B$7:E$22,2,FALSE)</f>
        <v>САФАРОВ Булуд Рамиз Оглы</v>
      </c>
      <c r="D29" s="393" t="str">
        <f>VLOOKUP(B29,пр.взв!B$7:E$22,3,FALSE)</f>
        <v>14.05.2002, МС</v>
      </c>
      <c r="E29" s="393" t="str">
        <f>VLOOKUP(B29,пр.взв!B$7:E$22,4,FALSE)</f>
        <v>УФО</v>
      </c>
      <c r="F29" s="393" t="str">
        <f>VLOOKUP(B29,пр.взв!B$7:F$22,5,FALSE)</f>
        <v>Свердловская, Екатеринбург</v>
      </c>
      <c r="G29" s="395"/>
      <c r="H29" s="395"/>
      <c r="I29" s="293"/>
      <c r="J29" s="293"/>
      <c r="K29" s="399"/>
      <c r="L29" s="436">
        <f>пр.хода!Q12</f>
        <v>6</v>
      </c>
      <c r="M29" s="391" t="str">
        <f>VLOOKUP(L29,пр.взв!B$7:F$22,2,FALSE)</f>
        <v>ЮСУФОВ Гаджи Чингизович</v>
      </c>
      <c r="N29" s="393" t="str">
        <f>VLOOKUP(L29,пр.взв!B$7:F$22,3,FALSE)</f>
        <v>08.05.1990, МС</v>
      </c>
      <c r="O29" s="393" t="str">
        <f>VLOOKUP(L29,пр.взв!B$7:F$22,4,FALSE)</f>
        <v>ПФО</v>
      </c>
      <c r="P29" s="393" t="str">
        <f>VLOOKUP(L29,пр.взв!B$7:F$22,5,FALSE)</f>
        <v>Пермский, Пермь</v>
      </c>
      <c r="Q29" s="395"/>
      <c r="R29" s="395"/>
      <c r="S29" s="293"/>
      <c r="T29" s="293"/>
    </row>
    <row r="30" spans="1:20" ht="13.5" thickBot="1">
      <c r="A30" s="443"/>
      <c r="B30" s="437"/>
      <c r="C30" s="392"/>
      <c r="D30" s="394"/>
      <c r="E30" s="394"/>
      <c r="F30" s="394"/>
      <c r="G30" s="396"/>
      <c r="H30" s="396"/>
      <c r="I30" s="397"/>
      <c r="J30" s="397"/>
      <c r="K30" s="400"/>
      <c r="L30" s="437"/>
      <c r="M30" s="392"/>
      <c r="N30" s="394"/>
      <c r="O30" s="394"/>
      <c r="P30" s="394"/>
      <c r="Q30" s="396"/>
      <c r="R30" s="396"/>
      <c r="S30" s="397"/>
      <c r="T30" s="397"/>
    </row>
    <row r="31" spans="1:20" ht="12.75" customHeight="1">
      <c r="A31" s="441">
        <v>2</v>
      </c>
      <c r="B31" s="439">
        <f>пр.хода!E16</f>
        <v>0</v>
      </c>
      <c r="C31" s="403" t="e">
        <f>VLOOKUP(B31,пр.взв!B$7:E$22,2,FALSE)</f>
        <v>#N/A</v>
      </c>
      <c r="D31" s="405" t="e">
        <f>VLOOKUP(B31,пр.взв!B$7:E$22,3,FALSE)</f>
        <v>#N/A</v>
      </c>
      <c r="E31" s="405" t="e">
        <f>VLOOKUP(B31,пр.взв!B$7:E$22,4,FALSE)</f>
        <v>#N/A</v>
      </c>
      <c r="F31" s="405" t="e">
        <f>VLOOKUP(B31,пр.взв!B$7:F$22,5,FALSE)</f>
        <v>#N/A</v>
      </c>
      <c r="G31" s="410"/>
      <c r="H31" s="411"/>
      <c r="I31" s="412"/>
      <c r="J31" s="438"/>
      <c r="K31" s="398">
        <v>4</v>
      </c>
      <c r="L31" s="439">
        <f>пр.хода!Q16</f>
        <v>4</v>
      </c>
      <c r="M31" s="403" t="str">
        <f>VLOOKUP(L31,пр.взв!B$7:F$22,2,FALSE)</f>
        <v>ЖЕЛТОВ Роман Игоревич</v>
      </c>
      <c r="N31" s="405" t="str">
        <f>VLOOKUP(L31,пр.взв!B$7:F$22,3,FALSE)</f>
        <v>14.08.2002, МС</v>
      </c>
      <c r="O31" s="405" t="str">
        <f>VLOOKUP(L31,пр.взв!B$7:F$22,4,FALSE)</f>
        <v>УФО</v>
      </c>
      <c r="P31" s="405" t="str">
        <f>VLOOKUP(L31,пр.взв!B$7:F$22,5,FALSE)</f>
        <v>Свердловская, Екатеринбург</v>
      </c>
      <c r="Q31" s="410"/>
      <c r="R31" s="411"/>
      <c r="S31" s="412"/>
      <c r="T31" s="438"/>
    </row>
    <row r="32" spans="1:20">
      <c r="A32" s="442"/>
      <c r="B32" s="440"/>
      <c r="C32" s="404"/>
      <c r="D32" s="406"/>
      <c r="E32" s="406"/>
      <c r="F32" s="406"/>
      <c r="G32" s="384"/>
      <c r="H32" s="384"/>
      <c r="I32" s="387"/>
      <c r="J32" s="292"/>
      <c r="K32" s="399"/>
      <c r="L32" s="440"/>
      <c r="M32" s="404"/>
      <c r="N32" s="406"/>
      <c r="O32" s="406"/>
      <c r="P32" s="406"/>
      <c r="Q32" s="384"/>
      <c r="R32" s="384"/>
      <c r="S32" s="387"/>
      <c r="T32" s="292"/>
    </row>
    <row r="33" spans="1:20" ht="12.75" customHeight="1">
      <c r="A33" s="442"/>
      <c r="B33" s="436">
        <f>пр.хода!E20</f>
        <v>7</v>
      </c>
      <c r="C33" s="391" t="str">
        <f>VLOOKUP(B33,пр.взв!B$7:E$22,2,FALSE)</f>
        <v>ШАВОЛИН Иван Алексеевич</v>
      </c>
      <c r="D33" s="393" t="str">
        <f>VLOOKUP(B33,пр.взв!B$7:E$22,3,FALSE)</f>
        <v>29.09.2001, МС</v>
      </c>
      <c r="E33" s="393" t="str">
        <f>VLOOKUP(B33,пр.взв!B$7:E$22,4,FALSE)</f>
        <v>СФО</v>
      </c>
      <c r="F33" s="393" t="str">
        <f>VLOOKUP(B33,пр.взв!B$7:F$22,5,FALSE)</f>
        <v xml:space="preserve">Кемеровская </v>
      </c>
      <c r="G33" s="395"/>
      <c r="H33" s="395"/>
      <c r="I33" s="293"/>
      <c r="J33" s="293"/>
      <c r="K33" s="399"/>
      <c r="L33" s="436">
        <f>пр.хода!Q20</f>
        <v>8</v>
      </c>
      <c r="M33" s="391" t="str">
        <f>VLOOKUP(L33,пр.взв!B$7:F$22,2,FALSE)</f>
        <v>ТУНАКОВ Александр Сергеевич</v>
      </c>
      <c r="N33" s="393" t="str">
        <f>VLOOKUP(L33,пр.взв!B$7:F$22,3,FALSE)</f>
        <v>25.08.1994, МСМК</v>
      </c>
      <c r="O33" s="393" t="str">
        <f>VLOOKUP(L33,пр.взв!B$7:F$22,4,FALSE)</f>
        <v>ЦФО</v>
      </c>
      <c r="P33" s="393" t="str">
        <f>VLOOKUP(L33,пр.взв!B$7:F$22,5,FALSE)</f>
        <v>Ивановская, Кинешма</v>
      </c>
      <c r="Q33" s="395"/>
      <c r="R33" s="395"/>
      <c r="S33" s="293"/>
      <c r="T33" s="293"/>
    </row>
    <row r="34" spans="1:20" ht="13.5" thickBot="1">
      <c r="A34" s="443"/>
      <c r="B34" s="437"/>
      <c r="C34" s="392"/>
      <c r="D34" s="394"/>
      <c r="E34" s="394"/>
      <c r="F34" s="394"/>
      <c r="G34" s="396"/>
      <c r="H34" s="396"/>
      <c r="I34" s="397"/>
      <c r="J34" s="397"/>
      <c r="K34" s="400"/>
      <c r="L34" s="437"/>
      <c r="M34" s="392"/>
      <c r="N34" s="394"/>
      <c r="O34" s="394"/>
      <c r="P34" s="394"/>
      <c r="Q34" s="396"/>
      <c r="R34" s="396"/>
      <c r="S34" s="397"/>
      <c r="T34" s="397"/>
    </row>
    <row r="35" spans="1:20">
      <c r="B35">
        <f>B23</f>
        <v>0</v>
      </c>
      <c r="C35" s="5" t="s">
        <v>89</v>
      </c>
      <c r="L35">
        <f>L23</f>
        <v>0</v>
      </c>
      <c r="M35" s="5" t="s">
        <v>89</v>
      </c>
    </row>
    <row r="36" spans="1:20" ht="16.5" thickBot="1">
      <c r="B36" s="75" t="s">
        <v>31</v>
      </c>
      <c r="C36" s="87" t="s">
        <v>40</v>
      </c>
      <c r="D36" s="79"/>
      <c r="E36" s="79"/>
      <c r="F36" s="79"/>
      <c r="G36" s="82" t="str">
        <f>пр.взв!D4</f>
        <v>В.к. 98+ кг.</v>
      </c>
      <c r="H36" s="79"/>
      <c r="I36" s="79"/>
      <c r="J36" s="79"/>
      <c r="K36" s="78"/>
      <c r="L36" s="75" t="s">
        <v>1</v>
      </c>
      <c r="M36" s="87" t="s">
        <v>40</v>
      </c>
      <c r="N36" s="79"/>
      <c r="O36" s="79"/>
      <c r="P36" s="79"/>
      <c r="Q36" s="75" t="str">
        <f>пр.взв!D4</f>
        <v>В.к. 98+ кг.</v>
      </c>
      <c r="R36" s="79"/>
      <c r="S36" s="79"/>
      <c r="T36" s="79"/>
    </row>
    <row r="37" spans="1:20" ht="12.75" customHeight="1">
      <c r="A37" s="422" t="s">
        <v>38</v>
      </c>
      <c r="B37" s="424" t="s">
        <v>4</v>
      </c>
      <c r="C37" s="416" t="s">
        <v>5</v>
      </c>
      <c r="D37" s="413" t="s">
        <v>12</v>
      </c>
      <c r="E37" s="444" t="s">
        <v>13</v>
      </c>
      <c r="F37" s="445"/>
      <c r="G37" s="416" t="s">
        <v>14</v>
      </c>
      <c r="H37" s="418" t="s">
        <v>39</v>
      </c>
      <c r="I37" s="420" t="s">
        <v>15</v>
      </c>
      <c r="J37" s="407" t="s">
        <v>16</v>
      </c>
      <c r="K37" s="422" t="s">
        <v>38</v>
      </c>
      <c r="L37" s="424" t="s">
        <v>4</v>
      </c>
      <c r="M37" s="416" t="s">
        <v>5</v>
      </c>
      <c r="N37" s="413" t="s">
        <v>12</v>
      </c>
      <c r="O37" s="432" t="s">
        <v>13</v>
      </c>
      <c r="P37" s="433"/>
      <c r="Q37" s="416" t="s">
        <v>14</v>
      </c>
      <c r="R37" s="418" t="s">
        <v>39</v>
      </c>
      <c r="S37" s="420" t="s">
        <v>15</v>
      </c>
      <c r="T37" s="407" t="s">
        <v>16</v>
      </c>
    </row>
    <row r="38" spans="1:20" ht="13.5" customHeight="1" thickBot="1">
      <c r="A38" s="423"/>
      <c r="B38" s="425" t="s">
        <v>32</v>
      </c>
      <c r="C38" s="417"/>
      <c r="D38" s="415"/>
      <c r="E38" s="446"/>
      <c r="F38" s="447"/>
      <c r="G38" s="417"/>
      <c r="H38" s="419"/>
      <c r="I38" s="421"/>
      <c r="J38" s="408" t="s">
        <v>33</v>
      </c>
      <c r="K38" s="423"/>
      <c r="L38" s="425" t="s">
        <v>32</v>
      </c>
      <c r="M38" s="417"/>
      <c r="N38" s="415"/>
      <c r="O38" s="434"/>
      <c r="P38" s="435"/>
      <c r="Q38" s="417"/>
      <c r="R38" s="419"/>
      <c r="S38" s="421"/>
      <c r="T38" s="408" t="s">
        <v>33</v>
      </c>
    </row>
    <row r="39" spans="1:20" ht="12.75" customHeight="1">
      <c r="A39" s="427">
        <v>1</v>
      </c>
      <c r="B39" s="430">
        <f>пр.хода!G10</f>
        <v>0</v>
      </c>
      <c r="C39" s="403" t="e">
        <f>VLOOKUP(B39,пр.взв!B$7:E$22,2,FALSE)</f>
        <v>#N/A</v>
      </c>
      <c r="D39" s="405" t="e">
        <f>VLOOKUP(B39,пр.взв!B$7:E$22,3,FALSE)</f>
        <v>#N/A</v>
      </c>
      <c r="E39" s="405" t="e">
        <f>VLOOKUP(B39,пр.взв!B$7:E$22,4,FALSE)</f>
        <v>#N/A</v>
      </c>
      <c r="F39" s="405" t="e">
        <f>VLOOKUP(B39,пр.взв!B$7:F$22,5,FALSE)</f>
        <v>#N/A</v>
      </c>
      <c r="G39" s="410"/>
      <c r="H39" s="411"/>
      <c r="I39" s="412"/>
      <c r="J39" s="413"/>
      <c r="K39" s="427">
        <v>2</v>
      </c>
      <c r="L39" s="430">
        <f>пр.хода!O10</f>
        <v>0</v>
      </c>
      <c r="M39" s="403" t="e">
        <f>VLOOKUP(L39,пр.взв!B$7:F$22,2,FALSE)</f>
        <v>#N/A</v>
      </c>
      <c r="N39" s="405" t="e">
        <f>VLOOKUP(L39,пр.взв!B$7:F$22,3,FALSE)</f>
        <v>#N/A</v>
      </c>
      <c r="O39" s="405" t="e">
        <f>VLOOKUP(L39,пр.взв!B$7:F$22,4,FALSE)</f>
        <v>#N/A</v>
      </c>
      <c r="P39" s="405" t="e">
        <f>VLOOKUP(L39,пр.взв!B$7:F$22,5,FALSE)</f>
        <v>#N/A</v>
      </c>
      <c r="Q39" s="410"/>
      <c r="R39" s="411"/>
      <c r="S39" s="412"/>
      <c r="T39" s="413"/>
    </row>
    <row r="40" spans="1:20">
      <c r="A40" s="428"/>
      <c r="B40" s="402"/>
      <c r="C40" s="404"/>
      <c r="D40" s="406"/>
      <c r="E40" s="406"/>
      <c r="F40" s="406"/>
      <c r="G40" s="384"/>
      <c r="H40" s="384"/>
      <c r="I40" s="387"/>
      <c r="J40" s="292"/>
      <c r="K40" s="428"/>
      <c r="L40" s="402"/>
      <c r="M40" s="404"/>
      <c r="N40" s="406"/>
      <c r="O40" s="406"/>
      <c r="P40" s="406"/>
      <c r="Q40" s="384"/>
      <c r="R40" s="384"/>
      <c r="S40" s="387"/>
      <c r="T40" s="292"/>
    </row>
    <row r="41" spans="1:20" ht="12.75" customHeight="1">
      <c r="A41" s="428"/>
      <c r="B41" s="431">
        <f>пр.хода!G18</f>
        <v>0</v>
      </c>
      <c r="C41" s="391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395"/>
      <c r="H41" s="395"/>
      <c r="I41" s="293"/>
      <c r="J41" s="293"/>
      <c r="K41" s="428"/>
      <c r="L41" s="431">
        <f>пр.хода!O18</f>
        <v>0</v>
      </c>
      <c r="M41" s="391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395"/>
      <c r="R41" s="395"/>
      <c r="S41" s="293"/>
      <c r="T41" s="293"/>
    </row>
    <row r="42" spans="1:20" ht="13.5" thickBot="1">
      <c r="A42" s="429"/>
      <c r="B42" s="390"/>
      <c r="C42" s="392"/>
      <c r="D42" s="394"/>
      <c r="E42" s="394"/>
      <c r="F42" s="394"/>
      <c r="G42" s="396"/>
      <c r="H42" s="396"/>
      <c r="I42" s="397"/>
      <c r="J42" s="397"/>
      <c r="K42" s="429"/>
      <c r="L42" s="390"/>
      <c r="M42" s="392"/>
      <c r="N42" s="394"/>
      <c r="O42" s="394"/>
      <c r="P42" s="394"/>
      <c r="Q42" s="396"/>
      <c r="R42" s="396"/>
      <c r="S42" s="397"/>
      <c r="T42" s="397"/>
    </row>
    <row r="43" spans="1:20">
      <c r="B43">
        <f>B35</f>
        <v>0</v>
      </c>
      <c r="C43" s="5" t="s">
        <v>89</v>
      </c>
      <c r="L43">
        <f>L35</f>
        <v>0</v>
      </c>
      <c r="M43" s="5" t="s">
        <v>89</v>
      </c>
    </row>
    <row r="44" spans="1:20" ht="15">
      <c r="A44" s="426" t="s">
        <v>90</v>
      </c>
      <c r="B44" s="426"/>
      <c r="C44" s="426"/>
      <c r="D44" s="426"/>
      <c r="E44" s="426"/>
      <c r="F44" s="426"/>
      <c r="G44" s="426"/>
      <c r="H44" s="426"/>
      <c r="I44" s="426"/>
      <c r="J44" s="426"/>
      <c r="K44" s="426" t="s">
        <v>90</v>
      </c>
      <c r="L44" s="426"/>
      <c r="M44" s="426"/>
      <c r="N44" s="426"/>
      <c r="O44" s="426"/>
      <c r="P44" s="426"/>
      <c r="Q44" s="426"/>
      <c r="R44" s="426"/>
      <c r="S44" s="426"/>
      <c r="T44" s="426"/>
    </row>
    <row r="45" spans="1:20" ht="16.5" thickBot="1">
      <c r="B45" s="75" t="s">
        <v>31</v>
      </c>
      <c r="C45" s="80"/>
      <c r="D45" s="80"/>
      <c r="E45" s="80"/>
      <c r="F45" s="80"/>
      <c r="G45" s="83" t="str">
        <f>G36</f>
        <v>В.к. 98+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98+ кг.</v>
      </c>
      <c r="R45" s="78"/>
      <c r="S45" s="78"/>
      <c r="T45" s="78"/>
    </row>
    <row r="46" spans="1:20" ht="12.75" customHeight="1">
      <c r="A46" s="422" t="s">
        <v>38</v>
      </c>
      <c r="B46" s="424" t="s">
        <v>4</v>
      </c>
      <c r="C46" s="416" t="s">
        <v>5</v>
      </c>
      <c r="D46" s="413" t="s">
        <v>12</v>
      </c>
      <c r="E46" s="444" t="s">
        <v>13</v>
      </c>
      <c r="F46" s="445"/>
      <c r="G46" s="416" t="s">
        <v>14</v>
      </c>
      <c r="H46" s="418" t="s">
        <v>39</v>
      </c>
      <c r="I46" s="420" t="s">
        <v>15</v>
      </c>
      <c r="J46" s="407" t="s">
        <v>16</v>
      </c>
      <c r="K46" s="422" t="s">
        <v>38</v>
      </c>
      <c r="L46" s="424" t="s">
        <v>4</v>
      </c>
      <c r="M46" s="416" t="s">
        <v>5</v>
      </c>
      <c r="N46" s="413" t="s">
        <v>12</v>
      </c>
      <c r="O46" s="432" t="s">
        <v>13</v>
      </c>
      <c r="P46" s="433"/>
      <c r="Q46" s="416" t="s">
        <v>14</v>
      </c>
      <c r="R46" s="418" t="s">
        <v>39</v>
      </c>
      <c r="S46" s="420" t="s">
        <v>15</v>
      </c>
      <c r="T46" s="407" t="s">
        <v>16</v>
      </c>
    </row>
    <row r="47" spans="1:20" ht="13.5" customHeight="1" thickBot="1">
      <c r="A47" s="423"/>
      <c r="B47" s="425" t="s">
        <v>32</v>
      </c>
      <c r="C47" s="417"/>
      <c r="D47" s="415"/>
      <c r="E47" s="446"/>
      <c r="F47" s="447"/>
      <c r="G47" s="417"/>
      <c r="H47" s="419"/>
      <c r="I47" s="421"/>
      <c r="J47" s="408" t="s">
        <v>33</v>
      </c>
      <c r="K47" s="423"/>
      <c r="L47" s="425" t="s">
        <v>32</v>
      </c>
      <c r="M47" s="417"/>
      <c r="N47" s="415"/>
      <c r="O47" s="434"/>
      <c r="P47" s="435"/>
      <c r="Q47" s="417"/>
      <c r="R47" s="419"/>
      <c r="S47" s="421"/>
      <c r="T47" s="408" t="s">
        <v>33</v>
      </c>
    </row>
    <row r="48" spans="1:20" ht="12.75" customHeight="1">
      <c r="A48" s="398">
        <v>1</v>
      </c>
      <c r="B48" s="401" t="str">
        <f>пр.хода!A25</f>
        <v xml:space="preserve"> </v>
      </c>
      <c r="C48" s="403" t="e">
        <f>VLOOKUP(B48,пр.взв!B$7:E$22,2,FALSE)</f>
        <v>#N/A</v>
      </c>
      <c r="D48" s="405" t="e">
        <f>VLOOKUP(B48,пр.взв!B$7:E$22,3,FALSE)</f>
        <v>#N/A</v>
      </c>
      <c r="E48" s="405" t="e">
        <f>VLOOKUP(B48,пр.взв!B$7:E$22,4,FALSE)</f>
        <v>#N/A</v>
      </c>
      <c r="F48" s="405" t="e">
        <f>VLOOKUP(B48,пр.взв!B$7:F$22,5,FALSE)</f>
        <v>#N/A</v>
      </c>
      <c r="G48" s="410"/>
      <c r="H48" s="411"/>
      <c r="I48" s="412"/>
      <c r="J48" s="413"/>
      <c r="K48" s="398">
        <v>3</v>
      </c>
      <c r="L48" s="414" t="str">
        <f>пр.хода!I25</f>
        <v xml:space="preserve"> </v>
      </c>
      <c r="M48" s="403" t="e">
        <f>VLOOKUP(L48,пр.взв!B$7:F$22,2,FALSE)</f>
        <v>#N/A</v>
      </c>
      <c r="N48" s="405" t="e">
        <f>VLOOKUP(L48,пр.взв!B$7:F$22,3,FALSE)</f>
        <v>#N/A</v>
      </c>
      <c r="O48" s="405" t="e">
        <f>VLOOKUP(L48,пр.взв!B$7:F$22,4,FALSE)</f>
        <v>#N/A</v>
      </c>
      <c r="P48" s="405" t="e">
        <f>VLOOKUP(L48,пр.взв!B$7:F$22,5,FALSE)</f>
        <v>#N/A</v>
      </c>
      <c r="Q48" s="383"/>
      <c r="R48" s="385"/>
      <c r="S48" s="386"/>
      <c r="T48" s="388"/>
    </row>
    <row r="49" spans="1:20">
      <c r="A49" s="399"/>
      <c r="B49" s="402"/>
      <c r="C49" s="404"/>
      <c r="D49" s="406"/>
      <c r="E49" s="406"/>
      <c r="F49" s="406"/>
      <c r="G49" s="384"/>
      <c r="H49" s="384"/>
      <c r="I49" s="387"/>
      <c r="J49" s="292"/>
      <c r="K49" s="399"/>
      <c r="L49" s="402"/>
      <c r="M49" s="404"/>
      <c r="N49" s="406"/>
      <c r="O49" s="406"/>
      <c r="P49" s="406"/>
      <c r="Q49" s="384"/>
      <c r="R49" s="384"/>
      <c r="S49" s="387"/>
      <c r="T49" s="292"/>
    </row>
    <row r="50" spans="1:20" ht="12.75" customHeight="1">
      <c r="A50" s="399"/>
      <c r="B50" s="389" t="str">
        <f>пр.хода!A27</f>
        <v xml:space="preserve"> </v>
      </c>
      <c r="C50" s="391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395"/>
      <c r="H50" s="395"/>
      <c r="I50" s="293"/>
      <c r="J50" s="293"/>
      <c r="K50" s="399"/>
      <c r="L50" s="389" t="str">
        <f>пр.хода!I27</f>
        <v xml:space="preserve"> </v>
      </c>
      <c r="M50" s="391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395"/>
      <c r="R50" s="395"/>
      <c r="S50" s="293"/>
      <c r="T50" s="293"/>
    </row>
    <row r="51" spans="1:20" ht="13.5" thickBot="1">
      <c r="A51" s="409"/>
      <c r="B51" s="390"/>
      <c r="C51" s="392"/>
      <c r="D51" s="394"/>
      <c r="E51" s="394"/>
      <c r="F51" s="394"/>
      <c r="G51" s="396"/>
      <c r="H51" s="396"/>
      <c r="I51" s="397"/>
      <c r="J51" s="397"/>
      <c r="K51" s="400"/>
      <c r="L51" s="390"/>
      <c r="M51" s="392"/>
      <c r="N51" s="394"/>
      <c r="O51" s="394"/>
      <c r="P51" s="394"/>
      <c r="Q51" s="396"/>
      <c r="R51" s="396"/>
      <c r="S51" s="397"/>
      <c r="T51" s="397"/>
    </row>
    <row r="52" spans="1:20" ht="12.75" customHeight="1">
      <c r="A52" s="398">
        <v>2</v>
      </c>
      <c r="B52" s="401" t="str">
        <f>пр.хода!A31</f>
        <v xml:space="preserve"> </v>
      </c>
      <c r="C52" s="403" t="e">
        <f>VLOOKUP(B52,пр.взв!B$7:E$22,2,FALSE)</f>
        <v>#N/A</v>
      </c>
      <c r="D52" s="405" t="e">
        <f>VLOOKUP(B52,пр.взв!B$7:E$22,3,FALSE)</f>
        <v>#N/A</v>
      </c>
      <c r="E52" s="405" t="e">
        <f>VLOOKUP(B52,пр.взв!B$7:E$22,4,FALSE)</f>
        <v>#N/A</v>
      </c>
      <c r="F52" s="405" t="e">
        <f>VLOOKUP(B52,пр.взв!B$7:F$22,5,FALSE)</f>
        <v>#N/A</v>
      </c>
      <c r="G52" s="383"/>
      <c r="H52" s="385"/>
      <c r="I52" s="386"/>
      <c r="J52" s="388"/>
      <c r="K52" s="399">
        <v>4</v>
      </c>
      <c r="L52" s="401" t="str">
        <f>пр.хода!I31</f>
        <v xml:space="preserve"> </v>
      </c>
      <c r="M52" s="403" t="e">
        <f>VLOOKUP(L52,пр.взв!B$7:F$22,2,FALSE)</f>
        <v>#N/A</v>
      </c>
      <c r="N52" s="405" t="e">
        <f>VLOOKUP(L52,пр.взв!B$7:F$22,3,FALSE)</f>
        <v>#N/A</v>
      </c>
      <c r="O52" s="405" t="e">
        <f>VLOOKUP(L52,пр.взв!B$7:F$22,4,FALSE)</f>
        <v>#N/A</v>
      </c>
      <c r="P52" s="405" t="e">
        <f>VLOOKUP(L52,пр.взв!B$7:F$22,5,FALSE)</f>
        <v>#N/A</v>
      </c>
      <c r="Q52" s="383"/>
      <c r="R52" s="385"/>
      <c r="S52" s="386"/>
      <c r="T52" s="388"/>
    </row>
    <row r="53" spans="1:20">
      <c r="A53" s="399"/>
      <c r="B53" s="402"/>
      <c r="C53" s="404"/>
      <c r="D53" s="406"/>
      <c r="E53" s="406"/>
      <c r="F53" s="406"/>
      <c r="G53" s="384"/>
      <c r="H53" s="384"/>
      <c r="I53" s="387"/>
      <c r="J53" s="292"/>
      <c r="K53" s="399"/>
      <c r="L53" s="402"/>
      <c r="M53" s="404"/>
      <c r="N53" s="406"/>
      <c r="O53" s="406"/>
      <c r="P53" s="406"/>
      <c r="Q53" s="384"/>
      <c r="R53" s="384"/>
      <c r="S53" s="387"/>
      <c r="T53" s="292"/>
    </row>
    <row r="54" spans="1:20" ht="12.75" customHeight="1">
      <c r="A54" s="399"/>
      <c r="B54" s="389" t="str">
        <f>пр.хода!A33</f>
        <v xml:space="preserve"> </v>
      </c>
      <c r="C54" s="391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395"/>
      <c r="H54" s="395"/>
      <c r="I54" s="293"/>
      <c r="J54" s="293"/>
      <c r="K54" s="399"/>
      <c r="L54" s="389" t="str">
        <f>пр.хода!I33</f>
        <v xml:space="preserve"> </v>
      </c>
      <c r="M54" s="391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395"/>
      <c r="R54" s="395"/>
      <c r="S54" s="293"/>
      <c r="T54" s="293"/>
    </row>
    <row r="55" spans="1:20" ht="13.5" thickBot="1">
      <c r="A55" s="400"/>
      <c r="B55" s="390"/>
      <c r="C55" s="392"/>
      <c r="D55" s="394"/>
      <c r="E55" s="394"/>
      <c r="F55" s="394"/>
      <c r="G55" s="396"/>
      <c r="H55" s="396"/>
      <c r="I55" s="397"/>
      <c r="J55" s="397"/>
      <c r="K55" s="400"/>
      <c r="L55" s="390"/>
      <c r="M55" s="392"/>
      <c r="N55" s="394"/>
      <c r="O55" s="394"/>
      <c r="P55" s="394"/>
      <c r="Q55" s="396"/>
      <c r="R55" s="396"/>
      <c r="S55" s="397"/>
      <c r="T55" s="397"/>
    </row>
    <row r="56" spans="1:20">
      <c r="B56">
        <f>B43</f>
        <v>0</v>
      </c>
      <c r="C56" s="5" t="s">
        <v>89</v>
      </c>
      <c r="L56">
        <f>L43</f>
        <v>0</v>
      </c>
      <c r="M56" s="5" t="s">
        <v>89</v>
      </c>
    </row>
    <row r="57" spans="1:20" ht="15">
      <c r="A57" s="426" t="s">
        <v>91</v>
      </c>
      <c r="B57" s="426"/>
      <c r="C57" s="426"/>
      <c r="D57" s="426"/>
      <c r="E57" s="426"/>
      <c r="F57" s="426"/>
      <c r="G57" s="426"/>
      <c r="H57" s="426"/>
      <c r="I57" s="426"/>
      <c r="J57" s="426"/>
      <c r="K57" s="426" t="s">
        <v>91</v>
      </c>
      <c r="L57" s="426"/>
      <c r="M57" s="426"/>
      <c r="N57" s="426"/>
      <c r="O57" s="426"/>
      <c r="P57" s="426"/>
      <c r="Q57" s="426"/>
      <c r="R57" s="426"/>
      <c r="S57" s="426"/>
      <c r="T57" s="426"/>
    </row>
    <row r="58" spans="1:20" ht="16.5" thickBot="1">
      <c r="B58" s="75" t="s">
        <v>31</v>
      </c>
      <c r="C58" s="80"/>
      <c r="D58" s="80"/>
      <c r="E58" s="80"/>
      <c r="F58" s="80"/>
      <c r="G58" s="83" t="str">
        <f>G45</f>
        <v>В.к. 98+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98+ кг.</v>
      </c>
      <c r="R58" s="78"/>
      <c r="S58" s="78"/>
      <c r="T58" s="78"/>
    </row>
    <row r="59" spans="1:20" ht="12.75" customHeight="1">
      <c r="A59" s="422" t="s">
        <v>38</v>
      </c>
      <c r="B59" s="424" t="s">
        <v>4</v>
      </c>
      <c r="C59" s="416" t="s">
        <v>5</v>
      </c>
      <c r="D59" s="413" t="s">
        <v>12</v>
      </c>
      <c r="E59" s="444" t="s">
        <v>13</v>
      </c>
      <c r="F59" s="445"/>
      <c r="G59" s="416" t="s">
        <v>14</v>
      </c>
      <c r="H59" s="418" t="s">
        <v>39</v>
      </c>
      <c r="I59" s="420" t="s">
        <v>15</v>
      </c>
      <c r="J59" s="407" t="s">
        <v>16</v>
      </c>
      <c r="K59" s="422" t="s">
        <v>38</v>
      </c>
      <c r="L59" s="461" t="s">
        <v>4</v>
      </c>
      <c r="M59" s="416" t="s">
        <v>5</v>
      </c>
      <c r="N59" s="413" t="s">
        <v>12</v>
      </c>
      <c r="O59" s="432" t="s">
        <v>13</v>
      </c>
      <c r="P59" s="433"/>
      <c r="Q59" s="416" t="s">
        <v>14</v>
      </c>
      <c r="R59" s="418" t="s">
        <v>39</v>
      </c>
      <c r="S59" s="420" t="s">
        <v>15</v>
      </c>
      <c r="T59" s="407" t="s">
        <v>16</v>
      </c>
    </row>
    <row r="60" spans="1:20" ht="13.5" customHeight="1" thickBot="1">
      <c r="A60" s="423"/>
      <c r="B60" s="425" t="s">
        <v>32</v>
      </c>
      <c r="C60" s="417"/>
      <c r="D60" s="415"/>
      <c r="E60" s="446"/>
      <c r="F60" s="447"/>
      <c r="G60" s="417"/>
      <c r="H60" s="419"/>
      <c r="I60" s="421"/>
      <c r="J60" s="408" t="s">
        <v>33</v>
      </c>
      <c r="K60" s="423"/>
      <c r="L60" s="462" t="s">
        <v>32</v>
      </c>
      <c r="M60" s="417"/>
      <c r="N60" s="415"/>
      <c r="O60" s="434"/>
      <c r="P60" s="435"/>
      <c r="Q60" s="417"/>
      <c r="R60" s="419"/>
      <c r="S60" s="421"/>
      <c r="T60" s="408" t="s">
        <v>33</v>
      </c>
    </row>
    <row r="61" spans="1:20" ht="12.75" customHeight="1">
      <c r="A61" s="398">
        <v>1</v>
      </c>
      <c r="B61" s="463">
        <f>пр.хода!C26</f>
        <v>0</v>
      </c>
      <c r="C61" s="403" t="e">
        <f>VLOOKUP(B61,пр.взв!B$7:E$22,2,FALSE)</f>
        <v>#N/A</v>
      </c>
      <c r="D61" s="405" t="e">
        <f>VLOOKUP(B61,пр.взв!B$7:E$22,3,FALSE)</f>
        <v>#N/A</v>
      </c>
      <c r="E61" s="405" t="e">
        <f>VLOOKUP(B61,пр.взв!B$7:E$22,4,FALSE)</f>
        <v>#N/A</v>
      </c>
      <c r="F61" s="405" t="e">
        <f>VLOOKUP(B61,пр.взв!B$7:F$22,5,FALSE)</f>
        <v>#N/A</v>
      </c>
      <c r="G61" s="410"/>
      <c r="H61" s="411"/>
      <c r="I61" s="412"/>
      <c r="J61" s="413"/>
      <c r="K61" s="398">
        <v>2</v>
      </c>
      <c r="L61" s="430">
        <f>пр.хода!M26</f>
        <v>0</v>
      </c>
      <c r="M61" s="403" t="e">
        <f>VLOOKUP(L61,пр.взв!B$7:F$22,2,FALSE)</f>
        <v>#N/A</v>
      </c>
      <c r="N61" s="405" t="e">
        <f>VLOOKUP(L61,пр.взв!B$7:F$22,3,FALSE)</f>
        <v>#N/A</v>
      </c>
      <c r="O61" s="405" t="e">
        <f>VLOOKUP(L61,пр.взв!B$7:F$22,4,FALSE)</f>
        <v>#N/A</v>
      </c>
      <c r="P61" s="405" t="e">
        <f>VLOOKUP(L61,пр.взв!B$7:F$22,5,FALSE)</f>
        <v>#N/A</v>
      </c>
      <c r="Q61" s="383"/>
      <c r="R61" s="385"/>
      <c r="S61" s="386"/>
      <c r="T61" s="388"/>
    </row>
    <row r="62" spans="1:20">
      <c r="A62" s="399"/>
      <c r="B62" s="464"/>
      <c r="C62" s="404"/>
      <c r="D62" s="406"/>
      <c r="E62" s="406"/>
      <c r="F62" s="406"/>
      <c r="G62" s="384"/>
      <c r="H62" s="384"/>
      <c r="I62" s="387"/>
      <c r="J62" s="292"/>
      <c r="K62" s="399"/>
      <c r="L62" s="464"/>
      <c r="M62" s="404"/>
      <c r="N62" s="406"/>
      <c r="O62" s="406"/>
      <c r="P62" s="406"/>
      <c r="Q62" s="384"/>
      <c r="R62" s="384"/>
      <c r="S62" s="387"/>
      <c r="T62" s="292"/>
    </row>
    <row r="63" spans="1:20" ht="12.75" customHeight="1">
      <c r="A63" s="399"/>
      <c r="B63" s="431">
        <f>пр.хода!C32</f>
        <v>0</v>
      </c>
      <c r="C63" s="391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395"/>
      <c r="H63" s="395"/>
      <c r="I63" s="293"/>
      <c r="J63" s="293"/>
      <c r="K63" s="399"/>
      <c r="L63" s="431">
        <f>пр.хода!M32</f>
        <v>0</v>
      </c>
      <c r="M63" s="391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395"/>
      <c r="R63" s="395"/>
      <c r="S63" s="293"/>
      <c r="T63" s="293"/>
    </row>
    <row r="64" spans="1:20" ht="13.5" thickBot="1">
      <c r="A64" s="400"/>
      <c r="B64" s="465"/>
      <c r="C64" s="392"/>
      <c r="D64" s="394"/>
      <c r="E64" s="394"/>
      <c r="F64" s="394"/>
      <c r="G64" s="396"/>
      <c r="H64" s="396"/>
      <c r="I64" s="397"/>
      <c r="J64" s="397"/>
      <c r="K64" s="400"/>
      <c r="L64" s="465"/>
      <c r="M64" s="392"/>
      <c r="N64" s="394"/>
      <c r="O64" s="394"/>
      <c r="P64" s="394"/>
      <c r="Q64" s="396"/>
      <c r="R64" s="396"/>
      <c r="S64" s="397"/>
      <c r="T64" s="397"/>
    </row>
  </sheetData>
  <mergeCells count="478"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76" t="str">
        <f>пр.взв!B2</f>
        <v>Кубок России по самбо среди мужчин (№ ЕКП 1801)</v>
      </c>
      <c r="B1" s="477"/>
      <c r="C1" s="477"/>
      <c r="D1" s="477"/>
      <c r="E1" s="477"/>
      <c r="F1" s="477"/>
      <c r="G1" s="477"/>
      <c r="H1" s="477"/>
      <c r="I1" s="477"/>
    </row>
    <row r="2" spans="1:9" ht="27" customHeight="1">
      <c r="D2" s="53"/>
      <c r="E2" s="68" t="str">
        <f>HYPERLINK(пр.взв!D4)</f>
        <v>В.к. 98+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2" t="s">
        <v>11</v>
      </c>
      <c r="B5" s="292" t="s">
        <v>4</v>
      </c>
      <c r="C5" s="388" t="s">
        <v>5</v>
      </c>
      <c r="D5" s="292" t="s">
        <v>12</v>
      </c>
      <c r="E5" s="466" t="s">
        <v>13</v>
      </c>
      <c r="F5" s="467"/>
      <c r="G5" s="292" t="s">
        <v>14</v>
      </c>
      <c r="H5" s="292" t="s">
        <v>15</v>
      </c>
      <c r="I5" s="292" t="s">
        <v>16</v>
      </c>
    </row>
    <row r="6" spans="1:9">
      <c r="A6" s="293"/>
      <c r="B6" s="293"/>
      <c r="C6" s="293"/>
      <c r="D6" s="293"/>
      <c r="E6" s="468"/>
      <c r="F6" s="469"/>
      <c r="G6" s="293"/>
      <c r="H6" s="293"/>
      <c r="I6" s="293"/>
    </row>
    <row r="7" spans="1:9">
      <c r="A7" s="472"/>
      <c r="B7" s="449">
        <f>пр.хода!D29</f>
        <v>0</v>
      </c>
      <c r="C7" s="471" t="e">
        <f>VLOOKUP(B7,пр.взв!B7:D22,2,FALSE)</f>
        <v>#N/A</v>
      </c>
      <c r="D7" s="471" t="e">
        <f>VLOOKUP(B7,пр.взв!B7:F38,3,FALSE)</f>
        <v>#N/A</v>
      </c>
      <c r="E7" s="470" t="e">
        <f>VLOOKUP(B7,пр.взв!B7:F38,4,FALSE)</f>
        <v>#N/A</v>
      </c>
      <c r="F7" s="471" t="e">
        <f>VLOOKUP(B7,пр.взв!B7:G28,5,FALSE)</f>
        <v>#N/A</v>
      </c>
      <c r="G7" s="384"/>
      <c r="H7" s="387"/>
      <c r="I7" s="292"/>
    </row>
    <row r="8" spans="1:9">
      <c r="A8" s="472"/>
      <c r="B8" s="292"/>
      <c r="C8" s="471"/>
      <c r="D8" s="471"/>
      <c r="E8" s="470"/>
      <c r="F8" s="471"/>
      <c r="G8" s="384"/>
      <c r="H8" s="387"/>
      <c r="I8" s="292"/>
    </row>
    <row r="9" spans="1:9">
      <c r="A9" s="473"/>
      <c r="B9" s="449" t="str">
        <f>пр.хода!C35</f>
        <v/>
      </c>
      <c r="C9" s="471" t="e">
        <f>VLOOKUP(B9,пр.взв!B7:D22,2,FALSE)</f>
        <v>#N/A</v>
      </c>
      <c r="D9" s="471" t="e">
        <f>VLOOKUP(B9,пр.взв!B7:F40,3,FALSE)</f>
        <v>#N/A</v>
      </c>
      <c r="E9" s="470" t="e">
        <f>VLOOKUP(B9,пр.взв!B7:F40,4,FALSE)</f>
        <v>#N/A</v>
      </c>
      <c r="F9" s="471" t="e">
        <f>VLOOKUP(B9,пр.взв!B7:G30,5,FALSE)</f>
        <v>#N/A</v>
      </c>
      <c r="G9" s="384"/>
      <c r="H9" s="292"/>
      <c r="I9" s="292"/>
    </row>
    <row r="10" spans="1:9">
      <c r="A10" s="473"/>
      <c r="B10" s="292"/>
      <c r="C10" s="471"/>
      <c r="D10" s="471"/>
      <c r="E10" s="470"/>
      <c r="F10" s="471"/>
      <c r="G10" s="384"/>
      <c r="H10" s="292"/>
      <c r="I10" s="292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98+ кг.</v>
      </c>
    </row>
    <row r="17" spans="1:9" ht="12.75" customHeight="1">
      <c r="A17" s="292" t="s">
        <v>11</v>
      </c>
      <c r="B17" s="292" t="s">
        <v>4</v>
      </c>
      <c r="C17" s="388" t="s">
        <v>5</v>
      </c>
      <c r="D17" s="292" t="s">
        <v>12</v>
      </c>
      <c r="E17" s="466" t="s">
        <v>13</v>
      </c>
      <c r="F17" s="467"/>
      <c r="G17" s="292" t="s">
        <v>14</v>
      </c>
      <c r="H17" s="292" t="s">
        <v>15</v>
      </c>
      <c r="I17" s="292" t="s">
        <v>16</v>
      </c>
    </row>
    <row r="18" spans="1:9">
      <c r="A18" s="293"/>
      <c r="B18" s="293"/>
      <c r="C18" s="293"/>
      <c r="D18" s="293"/>
      <c r="E18" s="468"/>
      <c r="F18" s="469"/>
      <c r="G18" s="293"/>
      <c r="H18" s="293"/>
      <c r="I18" s="293"/>
    </row>
    <row r="19" spans="1:9">
      <c r="A19" s="472"/>
      <c r="B19" s="449">
        <f>пр.хода!N29</f>
        <v>0</v>
      </c>
      <c r="C19" s="474" t="e">
        <f>VLOOKUP(B19,пр.взв!B1:D22,2,FALSE)</f>
        <v>#N/A</v>
      </c>
      <c r="D19" s="474" t="e">
        <f>VLOOKUP(B19,пр.взв!B1:F22,3,FALSE)</f>
        <v>#N/A</v>
      </c>
      <c r="E19" s="479" t="e">
        <f>VLOOKUP(B19,пр.взв!B1:F22,4,FALSE)</f>
        <v>#N/A</v>
      </c>
      <c r="F19" s="471" t="e">
        <f>VLOOKUP(B19,пр.взв!B1:G22,5,FALSE)</f>
        <v>#N/A</v>
      </c>
      <c r="G19" s="478"/>
      <c r="H19" s="387"/>
      <c r="I19" s="292"/>
    </row>
    <row r="20" spans="1:9">
      <c r="A20" s="472"/>
      <c r="B20" s="292"/>
      <c r="C20" s="475"/>
      <c r="D20" s="475"/>
      <c r="E20" s="481"/>
      <c r="F20" s="471"/>
      <c r="G20" s="478"/>
      <c r="H20" s="387"/>
      <c r="I20" s="292"/>
    </row>
    <row r="21" spans="1:9">
      <c r="A21" s="473"/>
      <c r="B21" s="449" t="str">
        <f>пр.хода!M35</f>
        <v/>
      </c>
      <c r="C21" s="474" t="e">
        <f>VLOOKUP(B21,пр.взв!B1:D22,2,FALSE)</f>
        <v>#N/A</v>
      </c>
      <c r="D21" s="474" t="e">
        <f>VLOOKUP(B21,пр.взв!B1:F22,3,FALSE)</f>
        <v>#N/A</v>
      </c>
      <c r="E21" s="479" t="e">
        <f>VLOOKUP(B21,пр.взв!B2:F22,4,FALSE)</f>
        <v>#N/A</v>
      </c>
      <c r="F21" s="471" t="e">
        <f>VLOOKUP(B21,пр.взв!B1:G22,5,FALSE)</f>
        <v>#N/A</v>
      </c>
      <c r="G21" s="478"/>
      <c r="H21" s="292"/>
      <c r="I21" s="292"/>
    </row>
    <row r="22" spans="1:9">
      <c r="A22" s="473"/>
      <c r="B22" s="292"/>
      <c r="C22" s="475"/>
      <c r="D22" s="475"/>
      <c r="E22" s="480"/>
      <c r="F22" s="471"/>
      <c r="G22" s="478"/>
      <c r="H22" s="292"/>
      <c r="I22" s="292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98+ кг.</v>
      </c>
    </row>
    <row r="30" spans="1:9" ht="12.75" customHeight="1">
      <c r="A30" s="292" t="s">
        <v>11</v>
      </c>
      <c r="B30" s="292" t="s">
        <v>4</v>
      </c>
      <c r="C30" s="388" t="s">
        <v>5</v>
      </c>
      <c r="D30" s="292" t="s">
        <v>12</v>
      </c>
      <c r="E30" s="466" t="s">
        <v>13</v>
      </c>
      <c r="F30" s="467"/>
      <c r="G30" s="292" t="s">
        <v>14</v>
      </c>
      <c r="H30" s="292" t="s">
        <v>15</v>
      </c>
      <c r="I30" s="292" t="s">
        <v>16</v>
      </c>
    </row>
    <row r="31" spans="1:9">
      <c r="A31" s="293"/>
      <c r="B31" s="293"/>
      <c r="C31" s="293"/>
      <c r="D31" s="293"/>
      <c r="E31" s="468"/>
      <c r="F31" s="469"/>
      <c r="G31" s="293"/>
      <c r="H31" s="293"/>
      <c r="I31" s="293"/>
    </row>
    <row r="32" spans="1:9">
      <c r="A32" s="472"/>
      <c r="B32" s="449">
        <f>пр.хода!I14</f>
        <v>0</v>
      </c>
      <c r="C32" s="471" t="e">
        <f>VLOOKUP(B32,пр.взв!B3:D22,2,FALSE)</f>
        <v>#N/A</v>
      </c>
      <c r="D32" s="471" t="e">
        <f>VLOOKUP(B32,пр.взв!B3:F22,3,FALSE)</f>
        <v>#N/A</v>
      </c>
      <c r="E32" s="470" t="e">
        <f>VLOOKUP(B32,пр.взв!B3:F22,4,FALSE)</f>
        <v>#N/A</v>
      </c>
      <c r="F32" s="471" t="e">
        <f>VLOOKUP(B32,пр.взв!B3:G22,5,FALSE)</f>
        <v>#N/A</v>
      </c>
      <c r="G32" s="384"/>
      <c r="H32" s="387"/>
      <c r="I32" s="292"/>
    </row>
    <row r="33" spans="1:9">
      <c r="A33" s="472"/>
      <c r="B33" s="292"/>
      <c r="C33" s="471"/>
      <c r="D33" s="471"/>
      <c r="E33" s="470"/>
      <c r="F33" s="471"/>
      <c r="G33" s="384"/>
      <c r="H33" s="387"/>
      <c r="I33" s="292"/>
    </row>
    <row r="34" spans="1:9">
      <c r="A34" s="473"/>
      <c r="B34" s="449">
        <f>пр.хода!M14</f>
        <v>0</v>
      </c>
      <c r="C34" s="471" t="e">
        <f>VLOOKUP(B34,пр.взв!B3:D22,2,FALSE)</f>
        <v>#N/A</v>
      </c>
      <c r="D34" s="471" t="e">
        <f>VLOOKUP(B34,пр.взв!B3:F22,3,FALSE)</f>
        <v>#N/A</v>
      </c>
      <c r="E34" s="470" t="e">
        <f>VLOOKUP(B34,пр.взв!B3:F22,4,FALSE)</f>
        <v>#N/A</v>
      </c>
      <c r="F34" s="471" t="e">
        <f>VLOOKUP(B34,пр.взв!B3:G22,5,FALSE)</f>
        <v>#N/A</v>
      </c>
      <c r="G34" s="384"/>
      <c r="H34" s="292"/>
      <c r="I34" s="292"/>
    </row>
    <row r="35" spans="1:9">
      <c r="A35" s="473"/>
      <c r="B35" s="292"/>
      <c r="C35" s="471"/>
      <c r="D35" s="471"/>
      <c r="E35" s="470"/>
      <c r="F35" s="471"/>
      <c r="G35" s="384"/>
      <c r="H35" s="292"/>
      <c r="I35" s="292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87</v>
      </c>
      <c r="B42" s="49"/>
      <c r="C42" s="49"/>
      <c r="D42" s="49"/>
      <c r="E42" s="4"/>
      <c r="F42" s="57" t="s">
        <v>87</v>
      </c>
      <c r="G42" s="51" t="s">
        <v>87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87</v>
      </c>
      <c r="C44" s="49"/>
      <c r="D44" s="49"/>
      <c r="E44" s="50"/>
      <c r="F44" s="57" t="s">
        <v>87</v>
      </c>
      <c r="G44" s="52" t="s">
        <v>87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indexed="10"/>
  </sheetPr>
  <dimension ref="A1:AO38"/>
  <sheetViews>
    <sheetView workbookViewId="0">
      <selection activeCell="F8" sqref="F8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81" t="s">
        <v>22</v>
      </c>
      <c r="B1" s="381"/>
      <c r="C1" s="381"/>
      <c r="D1" s="381"/>
      <c r="E1" s="381"/>
      <c r="F1" s="381"/>
      <c r="G1" s="381"/>
      <c r="H1" s="381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82" t="s">
        <v>92</v>
      </c>
      <c r="C2" s="482"/>
      <c r="D2" s="483" t="str">
        <f>пр.взв!B2</f>
        <v>Кубок России по самбо среди мужчин (№ ЕКП 1801)</v>
      </c>
      <c r="E2" s="484"/>
      <c r="F2" s="484"/>
      <c r="G2" s="484"/>
      <c r="H2" s="485"/>
      <c r="T2" s="287">
        <f>SUMIF(J14:J16,V1,$K$14:$K$17)</f>
        <v>2</v>
      </c>
      <c r="U2" s="287"/>
      <c r="V2" s="287"/>
      <c r="W2" s="287"/>
      <c r="X2" s="287"/>
    </row>
    <row r="3" spans="1:41" ht="24.75" customHeight="1" thickBot="1">
      <c r="A3" s="110"/>
      <c r="B3" s="490" t="str">
        <f>пр.взв!A3</f>
        <v>21-25 ноября 2022 года                          г. Кстово, Нижегородская область</v>
      </c>
      <c r="C3" s="490"/>
      <c r="D3" s="490"/>
      <c r="E3" s="490"/>
      <c r="F3" s="490"/>
      <c r="G3" s="482" t="str">
        <f>пр.взв!D4</f>
        <v>В.к. 98+ кг.</v>
      </c>
      <c r="H3" s="491"/>
    </row>
    <row r="4" spans="1:41" ht="12.75" customHeight="1" thickBot="1">
      <c r="A4" s="492" t="s">
        <v>43</v>
      </c>
      <c r="B4" s="494" t="s">
        <v>4</v>
      </c>
      <c r="C4" s="496" t="s">
        <v>5</v>
      </c>
      <c r="D4" s="445" t="s">
        <v>6</v>
      </c>
      <c r="E4" s="444" t="s">
        <v>7</v>
      </c>
      <c r="F4" s="445"/>
      <c r="G4" s="488" t="s">
        <v>9</v>
      </c>
      <c r="H4" s="486" t="s">
        <v>8</v>
      </c>
      <c r="J4" s="499" t="e">
        <f>IFERROR(LEFT(F6,FIND(",",F6)-1),F6)</f>
        <v>#N/A</v>
      </c>
      <c r="K4" s="498">
        <v>1</v>
      </c>
      <c r="L4" s="507" t="s">
        <v>51</v>
      </c>
      <c r="M4" s="505" t="s">
        <v>52</v>
      </c>
      <c r="N4" s="500"/>
      <c r="O4" s="501"/>
      <c r="P4" s="501"/>
      <c r="Q4" s="502"/>
      <c r="S4" s="503" t="s">
        <v>51</v>
      </c>
      <c r="T4" s="505" t="s">
        <v>52</v>
      </c>
      <c r="U4" s="500"/>
      <c r="V4" s="501"/>
      <c r="W4" s="501"/>
      <c r="X4" s="502"/>
      <c r="AC4" s="503" t="s">
        <v>51</v>
      </c>
      <c r="AD4" s="505" t="s">
        <v>52</v>
      </c>
      <c r="AE4" s="500"/>
      <c r="AF4" s="501"/>
      <c r="AG4" s="501"/>
      <c r="AH4" s="502"/>
      <c r="AJ4" s="503" t="s">
        <v>51</v>
      </c>
      <c r="AK4" s="505" t="s">
        <v>52</v>
      </c>
      <c r="AL4" s="500"/>
      <c r="AM4" s="501"/>
      <c r="AN4" s="501"/>
      <c r="AO4" s="502"/>
    </row>
    <row r="5" spans="1:41" ht="16.5" thickBot="1">
      <c r="A5" s="493"/>
      <c r="B5" s="495"/>
      <c r="C5" s="497"/>
      <c r="D5" s="469"/>
      <c r="E5" s="468"/>
      <c r="F5" s="469"/>
      <c r="G5" s="489"/>
      <c r="H5" s="487"/>
      <c r="J5" s="499"/>
      <c r="K5" s="498"/>
      <c r="L5" s="508"/>
      <c r="M5" s="506"/>
      <c r="N5" s="91">
        <v>1</v>
      </c>
      <c r="O5" s="92">
        <v>2</v>
      </c>
      <c r="P5" s="92">
        <v>3</v>
      </c>
      <c r="Q5" s="93">
        <v>5</v>
      </c>
      <c r="S5" s="504"/>
      <c r="T5" s="506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504"/>
      <c r="AD5" s="509"/>
      <c r="AE5" s="194">
        <v>1</v>
      </c>
      <c r="AF5" s="195">
        <v>2</v>
      </c>
      <c r="AG5" s="195">
        <v>3</v>
      </c>
      <c r="AH5" s="196">
        <v>5</v>
      </c>
      <c r="AJ5" s="504"/>
      <c r="AK5" s="509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9" t="s">
        <v>53</v>
      </c>
      <c r="K6" s="498">
        <v>1</v>
      </c>
      <c r="L6" s="94">
        <v>1</v>
      </c>
      <c r="M6" s="95" t="s">
        <v>54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9"/>
      <c r="K7" s="498"/>
      <c r="L7" s="98">
        <v>2</v>
      </c>
      <c r="M7" s="95" t="s">
        <v>55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8" t="e">
        <f>IFERROR(LEFT(F7,FIND(",",F7)-1),F7)</f>
        <v>#N/A</v>
      </c>
      <c r="K8" s="498">
        <v>1</v>
      </c>
      <c r="L8" s="99">
        <v>3</v>
      </c>
      <c r="M8" s="95" t="s">
        <v>56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8"/>
      <c r="K9" s="498"/>
      <c r="L9" s="98">
        <v>4</v>
      </c>
      <c r="M9" s="95" t="s">
        <v>57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8" t="e">
        <f>IFERROR(LEFT(F8,FIND(",",F8)-1),F8)</f>
        <v>#N/A</v>
      </c>
      <c r="K10" s="498">
        <v>1</v>
      </c>
      <c r="L10" s="99">
        <v>5</v>
      </c>
      <c r="M10" s="95" t="s">
        <v>58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8"/>
      <c r="K11" s="498"/>
      <c r="L11" s="98">
        <v>6</v>
      </c>
      <c r="M11" s="95" t="s">
        <v>59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42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8" t="e">
        <f>IFERROR(LEFT(F9,FIND(",",F9)-1),F9)</f>
        <v>#N/A</v>
      </c>
      <c r="K12" s="498">
        <v>1</v>
      </c>
      <c r="L12" s="99">
        <v>7</v>
      </c>
      <c r="M12" s="95" t="s">
        <v>60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42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8"/>
      <c r="K13" s="498"/>
      <c r="L13" s="98">
        <v>8</v>
      </c>
      <c r="M13" s="95" t="s">
        <v>61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49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8" t="e">
        <f>IFERROR(LEFT(F10,FIND(",",F10)-1),F10)</f>
        <v>#N/A</v>
      </c>
      <c r="K14" s="498">
        <v>1</v>
      </c>
      <c r="L14" s="99">
        <v>9</v>
      </c>
      <c r="M14" s="95" t="s">
        <v>62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49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8"/>
      <c r="K15" s="498"/>
      <c r="L15" s="98">
        <v>10</v>
      </c>
      <c r="M15" s="95" t="s">
        <v>63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49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8" t="e">
        <f>IFERROR(LEFT(F11,FIND(",",F11)-1),F11)</f>
        <v>#N/A</v>
      </c>
      <c r="K16" s="498">
        <v>1</v>
      </c>
      <c r="L16" s="99">
        <v>11</v>
      </c>
      <c r="M16" s="105" t="s">
        <v>64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49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8"/>
      <c r="K17" s="498"/>
      <c r="L17" s="98">
        <v>12</v>
      </c>
      <c r="M17" s="105" t="s">
        <v>67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50</v>
      </c>
      <c r="B18" s="269">
        <f>пр.хода!Z29</f>
        <v>1</v>
      </c>
      <c r="C18" s="270" t="str">
        <f>VLOOKUP(B18,пр.взв!B3:H22,2,FALSE)</f>
        <v>СОЛДАТЕНКОВ Степан Дмитриевич</v>
      </c>
      <c r="D18" s="270" t="str">
        <f>VLOOKUP(B18,пр.взв!B3:H101,3,FALSE)</f>
        <v>18.11.2002, МС</v>
      </c>
      <c r="E18" s="271" t="str">
        <f>VLOOKUP(B18,пр.взв!B3:H22,4,FALSE)</f>
        <v>ЦФО</v>
      </c>
      <c r="F18" s="270" t="str">
        <f>VLOOKUP(B18,пр.взв!B3:H22,5,FALSE)</f>
        <v>Московская, Королев</v>
      </c>
      <c r="G18" s="270">
        <f>VLOOKUP(B18,пр.взв!B3:H22,6,FALSE)</f>
        <v>0</v>
      </c>
      <c r="H18" s="276" t="str">
        <f>VLOOKUP(B18,пр.взв!B3:H103,7,FALSE)</f>
        <v>Малов М. В., Бирюков ВВ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50</v>
      </c>
      <c r="B19" s="269">
        <f>пр.хода!Z30</f>
        <v>2</v>
      </c>
      <c r="C19" s="270" t="str">
        <f>VLOOKUP(B19,пр.взв!B3:H22,2,FALSE)</f>
        <v>ПОЗНАХИРКО Глеб Игоревич</v>
      </c>
      <c r="D19" s="270" t="str">
        <f>VLOOKUP(B19,пр.взв!B3:H103,3,FALSE)</f>
        <v>20.04.1999, МСМК</v>
      </c>
      <c r="E19" s="271" t="str">
        <f>VLOOKUP(B19,пр.взв!B3:H22,4,FALSE)</f>
        <v>УФО</v>
      </c>
      <c r="F19" s="270" t="str">
        <f>VLOOKUP(B19,пр.взв!B3:H22,5,FALSE)</f>
        <v>Свердловская, Верхняя Пышма</v>
      </c>
      <c r="G19" s="270">
        <f>VLOOKUP(B19,пр.взв!B3:H22,6,FALSE)</f>
        <v>0</v>
      </c>
      <c r="H19" s="276" t="str">
        <f>VLOOKUP(B19,пр.взв!B3:H105,7,FALSE)</f>
        <v>В.П. Стороженко,  В.Г. Стенников</v>
      </c>
    </row>
    <row r="20" spans="1:24" ht="24" customHeight="1">
      <c r="A20" s="281" t="s">
        <v>50</v>
      </c>
      <c r="B20" s="269">
        <f>пр.хода!Z31</f>
        <v>3</v>
      </c>
      <c r="C20" s="270" t="str">
        <f>VLOOKUP(B20,пр.взв!B3:H22,2,FALSE)</f>
        <v>ТАЧКОВ Иван Дмитриевич</v>
      </c>
      <c r="D20" s="270" t="str">
        <f>VLOOKUP(B20,пр.взв!B3:H105,3,FALSE)</f>
        <v>25.03.1997, МС</v>
      </c>
      <c r="E20" s="271" t="str">
        <f>VLOOKUP(B20,пр.взв!B3:H22,4,FALSE)</f>
        <v>УФО</v>
      </c>
      <c r="F20" s="270" t="str">
        <f>VLOOKUP(B20,пр.взв!B3:H22,5,FALSE)</f>
        <v>Свердловская, Екатеринбург</v>
      </c>
      <c r="G20" s="270">
        <f>VLOOKUP(B20,пр.взв!B3:H22,6,FALSE)</f>
        <v>0</v>
      </c>
      <c r="H20" s="276" t="str">
        <f>VLOOKUP(B20,пр.взв!B3:H107,7,FALSE)</f>
        <v>Бородин ОБ</v>
      </c>
    </row>
    <row r="21" spans="1:24" ht="24" customHeight="1" thickBot="1">
      <c r="A21" s="282" t="s">
        <v>50</v>
      </c>
      <c r="B21" s="277">
        <f>пр.хода!Z32</f>
        <v>12</v>
      </c>
      <c r="C21" s="267" t="e">
        <f>VLOOKUP(B21,пр.взв!B3:H22,2,FALSE)</f>
        <v>#N/A</v>
      </c>
      <c r="D21" s="267" t="e">
        <f>VLOOKUP(B21,пр.взв!B3:H107,3,FALSE)</f>
        <v>#N/A</v>
      </c>
      <c r="E21" s="278" t="e">
        <f>VLOOKUP(B21,пр.взв!B3:H22,4,FALSE)</f>
        <v>#N/A</v>
      </c>
      <c r="F21" s="267" t="e">
        <f>VLOOKUP(B21,пр.взв!B3:H22,5,FALSE)</f>
        <v>#N/A</v>
      </c>
      <c r="G21" s="267" t="e">
        <f>VLOOKUP(B21,пр.взв!B3:H22,6,FALSE)</f>
        <v>#N/A</v>
      </c>
      <c r="H21" s="268" t="e">
        <f>VLOOKUP(B21,пр.взв!B3:H109,7,FALSE)</f>
        <v>#N/A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Р.М. Болотский</v>
      </c>
    </row>
    <row r="25" spans="1:24" ht="1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А.А. Зарипов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18" t="str">
        <f>пр.взв!B2</f>
        <v>Кубок России по самбо среди мужчин (№ ЕКП 1801)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44"/>
      <c r="M1" s="44"/>
      <c r="N1" s="44"/>
      <c r="O1" s="44"/>
      <c r="P1" s="44"/>
    </row>
    <row r="2" spans="1:19" ht="12.75" customHeight="1">
      <c r="A2" s="519" t="str">
        <f>пр.взв!A3</f>
        <v>21-25 ноября 2022 года                          г. Кстово, Нижегородская область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98+ кг.</v>
      </c>
      <c r="G3" s="46"/>
      <c r="H3" s="46"/>
      <c r="I3" s="46"/>
      <c r="J3" s="46"/>
      <c r="K3" s="46"/>
      <c r="L3" s="46"/>
    </row>
    <row r="4" spans="1:19" ht="16.5" thickBot="1">
      <c r="A4" s="517" t="s">
        <v>0</v>
      </c>
      <c r="B4" s="517"/>
      <c r="C4" s="5"/>
    </row>
    <row r="5" spans="1:19" ht="12.75" customHeight="1" thickBot="1">
      <c r="A5" s="520">
        <v>1</v>
      </c>
      <c r="B5" s="521" t="str">
        <f>VLOOKUP(A5,пр.взв!B5:C22,2,FALSE)</f>
        <v>СОЛДАТЕНКОВ Степан Дмитриевич</v>
      </c>
      <c r="C5" s="523" t="str">
        <f>VLOOKUP(A5,пр.взв!B5:F22,3,FALSE)</f>
        <v>18.11.2002, МС</v>
      </c>
      <c r="D5" s="521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0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0">
        <v>9</v>
      </c>
      <c r="B7" s="512" t="str">
        <f>VLOOKUP(A7,пр.взв!B7:C22,2,FALSE)</f>
        <v>ХАПЦЕВ Артур Русланович</v>
      </c>
      <c r="C7" s="514" t="str">
        <f>VLOOKUP(A7,пр.взв!B5:F22,3,FALSE)</f>
        <v>15.01.1988, МСМК</v>
      </c>
      <c r="D7" s="516" t="str">
        <f>VLOOKUP(A7,пр.взв!B1:G22,5,FALSE)</f>
        <v>Свердловская, Верхняя Пышма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1"/>
      <c r="B8" s="513"/>
      <c r="C8" s="515"/>
      <c r="D8" s="513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0">
        <v>5</v>
      </c>
      <c r="B9" s="521" t="str">
        <f>VLOOKUP(A9,пр.взв!B9:C22,2,FALSE)</f>
        <v>САФАРОВ Булуд Рамиз Оглы</v>
      </c>
      <c r="C9" s="523" t="str">
        <f>VLOOKUP(A9,пр.взв!B5:E22,3,FALSE)</f>
        <v>14.05.2002, МС</v>
      </c>
      <c r="D9" s="521" t="str">
        <f>VLOOKUP(A9,пр.взв!B3:G22,5,FALSE)</f>
        <v>Свердловская, Екатеринбург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0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0">
        <v>13</v>
      </c>
      <c r="B11" s="512" t="e">
        <f>VLOOKUP(A11,пр.взв!B5:C22,2,FALSE)</f>
        <v>#N/A</v>
      </c>
      <c r="C11" s="514" t="e">
        <f>VLOOKUP(A11,пр.взв!B5:E22,3,FALSE)</f>
        <v>#N/A</v>
      </c>
      <c r="D11" s="516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1"/>
      <c r="B12" s="513"/>
      <c r="C12" s="515"/>
      <c r="D12" s="513"/>
      <c r="E12" s="17"/>
      <c r="F12" s="525"/>
      <c r="G12" s="525"/>
      <c r="H12" s="25"/>
      <c r="I12" s="19"/>
      <c r="J12" s="13"/>
      <c r="K12" s="13"/>
      <c r="L12" s="13"/>
    </row>
    <row r="13" spans="1:19" ht="12.75" customHeight="1" thickBot="1">
      <c r="A13" s="520">
        <v>3</v>
      </c>
      <c r="B13" s="521" t="str">
        <f>VLOOKUP(A13,пр.взв!B5:C22,2,FALSE)</f>
        <v>ТАЧКОВ Иван Дмитриевич</v>
      </c>
      <c r="C13" s="523" t="str">
        <f>VLOOKUP(A13,пр.взв!B5:E22,3,FALSE)</f>
        <v>25.03.1997, МС</v>
      </c>
      <c r="D13" s="521" t="str">
        <f>VLOOKUP(A13,пр.взв!B7:G22,5,FALSE)</f>
        <v>Свердловская, Екатеринбург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0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0">
        <v>11</v>
      </c>
      <c r="B15" s="512" t="str">
        <f>VLOOKUP(A15,пр.взв!B15:C22,2,FALSE)</f>
        <v>ВЕНИКОВ Сергей Артёмович</v>
      </c>
      <c r="C15" s="514" t="str">
        <f>VLOOKUP(A15,пр.взв!B5:E22,3,FALSE)</f>
        <v>28.08.2000, КМС</v>
      </c>
      <c r="D15" s="516" t="str">
        <f>VLOOKUP(A15,пр.взв!B9:G22,5,FALSE)</f>
        <v>Краснодарский, Сочи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1"/>
      <c r="B16" s="513"/>
      <c r="C16" s="515"/>
      <c r="D16" s="513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0">
        <v>7</v>
      </c>
      <c r="B17" s="521" t="str">
        <f>VLOOKUP(A17,пр.взв!B9:C22,2,FALSE)</f>
        <v>ШАВОЛИН Иван Алексеевич</v>
      </c>
      <c r="C17" s="523" t="str">
        <f>VLOOKUP(A17,пр.взв!B5:E22,3,FALSE)</f>
        <v>29.09.2001, МС</v>
      </c>
      <c r="D17" s="521" t="str">
        <f>VLOOKUP(A17,пр.взв!B11:G22,5,FALSE)</f>
        <v xml:space="preserve">Кемеровская 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0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0">
        <v>15</v>
      </c>
      <c r="B19" s="512" t="e">
        <f>VLOOKUP(A19,пр.взв!B19:C22,2,FALSE)</f>
        <v>#N/A</v>
      </c>
      <c r="C19" s="514" t="e">
        <f>VLOOKUP(A19,пр.взв!B5:E22,3,FALSE)</f>
        <v>#N/A</v>
      </c>
      <c r="D19" s="516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1"/>
      <c r="B20" s="513"/>
      <c r="C20" s="515"/>
      <c r="D20" s="513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0">
        <v>2</v>
      </c>
      <c r="B22" s="521" t="str">
        <f>VLOOKUP(A22,пр.взв!B7:E22,2,FALSE)</f>
        <v>ПОЗНАХИРКО Глеб Игоревич</v>
      </c>
      <c r="C22" s="523" t="str">
        <f>VLOOKUP(A22,пр.взв!B7:E22,3,FALSE)</f>
        <v>20.04.1999, МСМК</v>
      </c>
      <c r="D22" s="521" t="str">
        <f>пр.взв!F9</f>
        <v>Свердловская, Екатеринбург</v>
      </c>
      <c r="E22" s="12"/>
      <c r="F22" s="13"/>
      <c r="G22" s="13"/>
      <c r="H22" s="13"/>
      <c r="I22" s="13"/>
      <c r="J22" s="4"/>
      <c r="K22" s="16"/>
    </row>
    <row r="23" spans="1:13" ht="15.75">
      <c r="A23" s="510"/>
      <c r="B23" s="522"/>
      <c r="C23" s="524"/>
      <c r="D23" s="516"/>
      <c r="E23" s="88"/>
      <c r="F23" s="15"/>
      <c r="G23" s="15"/>
      <c r="H23" s="13"/>
      <c r="I23" s="13"/>
      <c r="J23" s="4"/>
      <c r="K23" s="31"/>
    </row>
    <row r="24" spans="1:13" ht="16.5" thickBot="1">
      <c r="A24" s="510">
        <v>10</v>
      </c>
      <c r="B24" s="512" t="str">
        <f>VLOOKUP(A24,пр.взв!B7:E22,2,FALSE)</f>
        <v>ФАРГАТОВ Курбан Расимович</v>
      </c>
      <c r="C24" s="514" t="str">
        <f>VLOOKUP(A24,пр.взв!B7:E22,3,FALSE)</f>
        <v>17.01.2000, МС</v>
      </c>
      <c r="D24" s="516" t="str">
        <f>VLOOKUP(A24,пр.взв!B8:G22,5,FALSE)</f>
        <v>Краснодарский, Курганинск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1"/>
      <c r="B25" s="513"/>
      <c r="C25" s="515"/>
      <c r="D25" s="526"/>
      <c r="E25" s="17"/>
      <c r="F25" s="21"/>
      <c r="G25" s="19"/>
      <c r="H25" s="13"/>
      <c r="I25" s="13"/>
      <c r="J25" s="4"/>
      <c r="K25" s="31"/>
    </row>
    <row r="26" spans="1:13" ht="16.5" thickBot="1">
      <c r="A26" s="520">
        <v>6</v>
      </c>
      <c r="B26" s="521" t="str">
        <f>VLOOKUP(A26,пр.взв!B7:E22,2,FALSE)</f>
        <v>ЮСУФОВ Гаджи Чингизович</v>
      </c>
      <c r="C26" s="523" t="str">
        <f>VLOOKUP(A26,пр.взв!B7:E22,3,FALSE)</f>
        <v>08.05.1990, МС</v>
      </c>
      <c r="D26" s="521" t="str">
        <f>VLOOKUP(A26,пр.взв!B2:G22,5,FALSE)</f>
        <v>Пермский, Пермь</v>
      </c>
      <c r="E26" s="12"/>
      <c r="F26" s="21"/>
      <c r="G26" s="16"/>
      <c r="H26" s="26"/>
      <c r="I26" s="13"/>
      <c r="J26" s="4"/>
      <c r="K26" s="31"/>
    </row>
    <row r="27" spans="1:13" ht="15.75">
      <c r="A27" s="510"/>
      <c r="B27" s="522"/>
      <c r="C27" s="524"/>
      <c r="D27" s="516"/>
      <c r="E27" s="88"/>
      <c r="F27" s="24"/>
      <c r="G27" s="15"/>
      <c r="H27" s="25"/>
      <c r="I27" s="13"/>
      <c r="J27" s="4"/>
      <c r="K27" s="31"/>
    </row>
    <row r="28" spans="1:13" ht="16.5" thickBot="1">
      <c r="A28" s="510">
        <v>14</v>
      </c>
      <c r="B28" s="512" t="e">
        <f>VLOOKUP(A28,пр.взв!B7:E22,2,FALSE)</f>
        <v>#N/A</v>
      </c>
      <c r="C28" s="514" t="e">
        <f>VLOOKUP(A28,пр.взв!B7:E22,3,FALSE)</f>
        <v>#N/A</v>
      </c>
      <c r="D28" s="516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1"/>
      <c r="B29" s="513"/>
      <c r="C29" s="515"/>
      <c r="D29" s="526"/>
      <c r="E29" s="17"/>
      <c r="F29" s="525"/>
      <c r="G29" s="525"/>
      <c r="H29" s="25"/>
      <c r="I29" s="19"/>
      <c r="J29" s="3"/>
      <c r="K29" s="30"/>
    </row>
    <row r="30" spans="1:13" ht="16.5" thickBot="1">
      <c r="A30" s="520">
        <v>4</v>
      </c>
      <c r="B30" s="521" t="str">
        <f>VLOOKUP(A30,пр.взв!B7:E22,2,FALSE)</f>
        <v>ЖЕЛТОВ Роман Игоревич</v>
      </c>
      <c r="C30" s="523" t="str">
        <f>VLOOKUP(A30,пр.взв!B7:E22,3,FALSE)</f>
        <v>14.08.2002, МС</v>
      </c>
      <c r="D30" s="521" t="str">
        <f>VLOOKUP(A30,пр.взв!B6:G22,5,FALSE)</f>
        <v>Свердловская, Екатеринбург</v>
      </c>
      <c r="E30" s="12"/>
      <c r="F30" s="15"/>
      <c r="G30" s="15"/>
      <c r="H30" s="25"/>
      <c r="I30" s="16"/>
    </row>
    <row r="31" spans="1:13" ht="15.75">
      <c r="A31" s="510"/>
      <c r="B31" s="522"/>
      <c r="C31" s="524"/>
      <c r="D31" s="516"/>
      <c r="E31" s="88"/>
      <c r="F31" s="15"/>
      <c r="G31" s="15"/>
      <c r="H31" s="25"/>
      <c r="I31" s="13"/>
    </row>
    <row r="32" spans="1:13" ht="16.5" thickBot="1">
      <c r="A32" s="510">
        <v>12</v>
      </c>
      <c r="B32" s="512" t="e">
        <f>VLOOKUP(A32,пр.взв!B7:E22,2,FALSE)</f>
        <v>#N/A</v>
      </c>
      <c r="C32" s="514" t="e">
        <f>VLOOKUP(A32,пр.взв!B7:E22,3,FALSE)</f>
        <v>#N/A</v>
      </c>
      <c r="D32" s="516" t="e">
        <f>VLOOKUP(A32,пр.взв!B8:G22,5,FALSE)</f>
        <v>#N/A</v>
      </c>
      <c r="E32" s="89"/>
      <c r="F32" s="20"/>
      <c r="G32" s="15"/>
      <c r="H32" s="25"/>
      <c r="I32" s="13"/>
    </row>
    <row r="33" spans="1:13" ht="16.5" thickBot="1">
      <c r="A33" s="511"/>
      <c r="B33" s="513"/>
      <c r="C33" s="515"/>
      <c r="D33" s="526"/>
      <c r="E33" s="17"/>
      <c r="F33" s="21"/>
      <c r="G33" s="19"/>
      <c r="H33" s="27"/>
      <c r="I33" s="13"/>
    </row>
    <row r="34" spans="1:13" ht="16.5" thickBot="1">
      <c r="A34" s="520">
        <v>8</v>
      </c>
      <c r="B34" s="521" t="str">
        <f>VLOOKUP(A34,пр.взв!B7:E22,2,FALSE)</f>
        <v>ТУНАКОВ Александр Сергеевич</v>
      </c>
      <c r="C34" s="523" t="str">
        <f>VLOOKUP(A34,пр.взв!B7:E22,3,FALSE)</f>
        <v>25.08.1994, МСМК</v>
      </c>
      <c r="D34" s="521" t="str">
        <f>VLOOKUP(A34,пр.взв!B10:G22,5,FALSE)</f>
        <v>Ивановская, Кинешма</v>
      </c>
      <c r="E34" s="12"/>
      <c r="F34" s="22"/>
      <c r="G34" s="16"/>
      <c r="H34" s="10"/>
      <c r="I34" s="10"/>
    </row>
    <row r="35" spans="1:13" ht="15.75">
      <c r="A35" s="510"/>
      <c r="B35" s="522"/>
      <c r="C35" s="524"/>
      <c r="D35" s="516"/>
      <c r="E35" s="88"/>
      <c r="F35" s="23"/>
      <c r="G35" s="17"/>
      <c r="H35" s="18"/>
      <c r="I35" s="18"/>
    </row>
    <row r="36" spans="1:13" ht="16.5" thickBot="1">
      <c r="A36" s="510">
        <v>16</v>
      </c>
      <c r="B36" s="512" t="e">
        <f>VLOOKUP(A36,пр.взв!B7:E22,2,FALSE)</f>
        <v>#N/A</v>
      </c>
      <c r="C36" s="514" t="e">
        <f>VLOOKUP(A36,пр.взв!B7:E22,3,FALSE)</f>
        <v>#N/A</v>
      </c>
      <c r="D36" s="516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1"/>
      <c r="B37" s="513"/>
      <c r="C37" s="515"/>
      <c r="D37" s="526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7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7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8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8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indexed="15"/>
  </sheetPr>
  <dimension ref="A1:J44"/>
  <sheetViews>
    <sheetView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29" t="str">
        <f>пр.взв!B2</f>
        <v>Кубок России по самбо среди мужчин (№ ЕКП 1801)</v>
      </c>
      <c r="B1" s="530"/>
      <c r="C1" s="530"/>
      <c r="D1" s="530"/>
      <c r="E1" s="530"/>
      <c r="F1" s="530"/>
      <c r="G1" s="530"/>
      <c r="H1" s="531"/>
    </row>
    <row r="2" spans="1:10">
      <c r="A2" s="532" t="str">
        <f>пр.взв!A3</f>
        <v>21-25 ноября 2022 года                          г. Кстово, Нижегородская область</v>
      </c>
      <c r="B2" s="532"/>
      <c r="C2" s="532"/>
      <c r="D2" s="532"/>
      <c r="E2" s="532"/>
      <c r="F2" s="532"/>
      <c r="G2" s="532"/>
      <c r="H2" s="532"/>
    </row>
    <row r="3" spans="1:10" ht="18.75" thickBot="1">
      <c r="A3" s="533" t="s">
        <v>26</v>
      </c>
      <c r="B3" s="533"/>
      <c r="C3" s="533"/>
      <c r="D3" s="533"/>
      <c r="E3" s="533"/>
      <c r="F3" s="533"/>
      <c r="G3" s="533"/>
      <c r="H3" s="533"/>
    </row>
    <row r="4" spans="1:10" ht="18.75" thickBot="1">
      <c r="B4" s="70"/>
      <c r="C4" s="71"/>
      <c r="D4" s="534" t="str">
        <f>HYPERLINK(пр.взв!D4)</f>
        <v>В.к. 98+ кг.</v>
      </c>
      <c r="E4" s="535"/>
      <c r="F4" s="536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37" t="s">
        <v>27</v>
      </c>
      <c r="B6" s="546" t="e">
        <f>VLOOKUP(J6,пр.взв!B7:G22,2,FALSE)</f>
        <v>#N/A</v>
      </c>
      <c r="C6" s="546"/>
      <c r="D6" s="546"/>
      <c r="E6" s="546"/>
      <c r="F6" s="546"/>
      <c r="G6" s="546"/>
      <c r="H6" s="540" t="e">
        <f>VLOOKUP(J6,пр.взв!B7:G22,3,FALSE)</f>
        <v>#N/A</v>
      </c>
      <c r="I6" s="71"/>
      <c r="J6" s="69">
        <f>пр.хода!H8</f>
        <v>0</v>
      </c>
    </row>
    <row r="7" spans="1:10" ht="18">
      <c r="A7" s="538"/>
      <c r="B7" s="547"/>
      <c r="C7" s="547"/>
      <c r="D7" s="547"/>
      <c r="E7" s="547"/>
      <c r="F7" s="547"/>
      <c r="G7" s="547"/>
      <c r="H7" s="541"/>
      <c r="I7" s="71"/>
      <c r="J7" s="69"/>
    </row>
    <row r="8" spans="1:10" ht="18">
      <c r="A8" s="538"/>
      <c r="B8" s="542" t="e">
        <f>VLOOKUP(J6,пр.взв!B7:G22,4,FALSE)</f>
        <v>#N/A</v>
      </c>
      <c r="C8" s="542"/>
      <c r="D8" s="542" t="e">
        <f>VLOOKUP(J6,пр.взв!B7:G22,5,FALSE)</f>
        <v>#N/A</v>
      </c>
      <c r="E8" s="542"/>
      <c r="F8" s="542"/>
      <c r="G8" s="542"/>
      <c r="H8" s="544"/>
      <c r="I8" s="71"/>
      <c r="J8" s="69"/>
    </row>
    <row r="9" spans="1:10" ht="18.75" thickBot="1">
      <c r="A9" s="539"/>
      <c r="B9" s="543"/>
      <c r="C9" s="543"/>
      <c r="D9" s="543"/>
      <c r="E9" s="543"/>
      <c r="F9" s="543"/>
      <c r="G9" s="543"/>
      <c r="H9" s="545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5" t="s">
        <v>28</v>
      </c>
      <c r="B11" s="546" t="e">
        <f>VLOOKUP(J11,пр.взв!B2:G22,2,FALSE)</f>
        <v>#N/A</v>
      </c>
      <c r="C11" s="546"/>
      <c r="D11" s="546"/>
      <c r="E11" s="546"/>
      <c r="F11" s="546"/>
      <c r="G11" s="546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56"/>
      <c r="B12" s="547"/>
      <c r="C12" s="547"/>
      <c r="D12" s="547"/>
      <c r="E12" s="547"/>
      <c r="F12" s="547"/>
      <c r="G12" s="547"/>
      <c r="H12" s="541"/>
      <c r="I12" s="71"/>
      <c r="J12" s="69"/>
    </row>
    <row r="13" spans="1:10" ht="18">
      <c r="A13" s="556"/>
      <c r="B13" s="542" t="e">
        <f>VLOOKUP(J11,пр.взв!B2:G22,4,FALSE)</f>
        <v>#N/A</v>
      </c>
      <c r="C13" s="542"/>
      <c r="D13" s="542" t="e">
        <f>VLOOKUP(J11,пр.взв!B2:G22,5,FALSE)</f>
        <v>#N/A</v>
      </c>
      <c r="E13" s="542"/>
      <c r="F13" s="542"/>
      <c r="G13" s="542"/>
      <c r="H13" s="544"/>
      <c r="I13" s="71"/>
      <c r="J13" s="69"/>
    </row>
    <row r="14" spans="1:10" ht="18.75" thickBot="1">
      <c r="A14" s="557"/>
      <c r="B14" s="543"/>
      <c r="C14" s="543"/>
      <c r="D14" s="543"/>
      <c r="E14" s="543"/>
      <c r="F14" s="543"/>
      <c r="G14" s="543"/>
      <c r="H14" s="545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52" t="s">
        <v>29</v>
      </c>
      <c r="B16" s="546" t="e">
        <f>VLOOKUP(J16,пр.взв!B4:G33,2,FALSE)</f>
        <v>#N/A</v>
      </c>
      <c r="C16" s="546"/>
      <c r="D16" s="546"/>
      <c r="E16" s="546"/>
      <c r="F16" s="546"/>
      <c r="G16" s="546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53"/>
      <c r="B17" s="547"/>
      <c r="C17" s="547"/>
      <c r="D17" s="547"/>
      <c r="E17" s="547"/>
      <c r="F17" s="547"/>
      <c r="G17" s="547"/>
      <c r="H17" s="541"/>
      <c r="I17" s="71"/>
      <c r="J17" s="69"/>
    </row>
    <row r="18" spans="1:10" ht="18">
      <c r="A18" s="553"/>
      <c r="B18" s="542" t="e">
        <f>VLOOKUP(J16,пр.взв!B7:G22,4,FALSE)</f>
        <v>#N/A</v>
      </c>
      <c r="C18" s="542"/>
      <c r="D18" s="542" t="e">
        <f>VLOOKUP(J16,пр.взв!B7:G22,5,FALSE)</f>
        <v>#N/A</v>
      </c>
      <c r="E18" s="542"/>
      <c r="F18" s="542"/>
      <c r="G18" s="542"/>
      <c r="H18" s="544"/>
      <c r="I18" s="71"/>
      <c r="J18" s="69"/>
    </row>
    <row r="19" spans="1:10" ht="18.75" thickBot="1">
      <c r="A19" s="554"/>
      <c r="B19" s="543"/>
      <c r="C19" s="543"/>
      <c r="D19" s="543"/>
      <c r="E19" s="543"/>
      <c r="F19" s="543"/>
      <c r="G19" s="543"/>
      <c r="H19" s="545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52" t="s">
        <v>29</v>
      </c>
      <c r="B21" s="546" t="e">
        <f>VLOOKUP(J21,пр.взв!B2:G22,2,FALSE)</f>
        <v>#N/A</v>
      </c>
      <c r="C21" s="546"/>
      <c r="D21" s="546"/>
      <c r="E21" s="546"/>
      <c r="F21" s="546"/>
      <c r="G21" s="546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53"/>
      <c r="B22" s="547"/>
      <c r="C22" s="547"/>
      <c r="D22" s="547"/>
      <c r="E22" s="547"/>
      <c r="F22" s="547"/>
      <c r="G22" s="547"/>
      <c r="H22" s="541"/>
      <c r="I22" s="71"/>
      <c r="J22" s="69"/>
    </row>
    <row r="23" spans="1:10" ht="18">
      <c r="A23" s="553"/>
      <c r="B23" s="542" t="e">
        <f>VLOOKUP(J21,пр.взв!B6:G22,4,FALSE)</f>
        <v>#N/A</v>
      </c>
      <c r="C23" s="542"/>
      <c r="D23" s="542" t="e">
        <f>VLOOKUP(J21,пр.взв!B6:G22,5,FALSE)</f>
        <v>#N/A</v>
      </c>
      <c r="E23" s="542"/>
      <c r="F23" s="542"/>
      <c r="G23" s="542"/>
      <c r="H23" s="544"/>
      <c r="I23" s="71"/>
    </row>
    <row r="24" spans="1:10" ht="18.75" thickBot="1">
      <c r="A24" s="554"/>
      <c r="B24" s="543"/>
      <c r="C24" s="543"/>
      <c r="D24" s="543"/>
      <c r="E24" s="543"/>
      <c r="F24" s="543"/>
      <c r="G24" s="543"/>
      <c r="H24" s="545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44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8" t="e">
        <f>VLOOKUP(J28,пр.взв!B7:H22,7,FALSE)</f>
        <v>#N/A</v>
      </c>
      <c r="B28" s="549"/>
      <c r="C28" s="549"/>
      <c r="D28" s="549"/>
      <c r="E28" s="549"/>
      <c r="F28" s="549"/>
      <c r="G28" s="549"/>
      <c r="H28" s="550"/>
      <c r="J28">
        <f>пр.хода!H8</f>
        <v>0</v>
      </c>
    </row>
    <row r="29" spans="1:10" ht="13.5" thickBot="1">
      <c r="A29" s="551"/>
      <c r="B29" s="543"/>
      <c r="C29" s="543"/>
      <c r="D29" s="543"/>
      <c r="E29" s="543"/>
      <c r="F29" s="543"/>
      <c r="G29" s="543"/>
      <c r="H29" s="545"/>
    </row>
    <row r="32" spans="1:10" hidden="1"/>
    <row r="36" spans="1:8" ht="18">
      <c r="A36" s="71" t="s">
        <v>30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2021-11-07T17:46:41Z</cp:lastPrinted>
  <dcterms:created xsi:type="dcterms:W3CDTF">1996-10-08T23:32:33Z</dcterms:created>
  <dcterms:modified xsi:type="dcterms:W3CDTF">2022-11-21T18:19:10Z</dcterms:modified>
</cp:coreProperties>
</file>