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1220" yWindow="-230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<sst xmlns="http://schemas.openxmlformats.org/spreadsheetml/2006/main" count="247" uniqueCount="118">
  <si>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</si>
  <si>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</si>
  <si>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</si>
  <si>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</si>
  <si>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</si>
  <si>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</si>
  <si>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</si>
  <si>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</si>
  <si>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</si>
  <si>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</si>
  <si>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</si>
  <si>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</si>
  <si>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</si>
  <si>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</si>
  <si>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</si>
  <si>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</si>
  <si>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</si>
  <si>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</si>
  <si>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</si>
  <si>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</si>
  <si>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</si>
  <si>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</si>
  <si>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</si>
  <si>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</si>
  <si>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</si>
  <si>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</si>
  <si>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</si>
  <si>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</si>
  <si>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</si>
  <si>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</si>
  <si>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</si>
  <si>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</si>
  <si>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</si>
  <si>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</si>
  <si>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</si>
  <si>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</si>
  <si>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</si>
  <si>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</si>
  <si>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</si>
  <si>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</si>
  <si>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</si>
  <si>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</si>
  <si>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</si>
  <si>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</si>
  <si>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</si>
  <si>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</si>
  <si>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</si>
  <si>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</si>
  <si>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</si>
  <si>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</si>
  <si>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</si>
  <si>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</si>
  <si>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</si>
  <si>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</si>
  <si>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</si>
  <si>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</si>
  <si>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</si>
  <si>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</si>
  <si>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</si>
  <si>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</si>
  <si>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</si>
  <si>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</si>
  <si>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</si>
  <si>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</si>
  <si>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</si>
  <si>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</si>
  <si>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</si>
  <si>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</si>
  <si>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</si>
  <si>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</si>
  <si>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</si>
  <si>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</si>
  <si>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</si>
  <si>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</si>
  <si>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</si>
  <si>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</si>
  <si>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</si>
  <si>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</si>
  <si>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</si>
  <si>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</si>
  <si>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</si>
  <si>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</si>
  <si>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</si>
  <si>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</si>
  <si>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</si>
  <si>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</si>
  <si>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ШУВАЛОВА Марина Николаевна</t>
  </si>
  <si>
    <t>14.10.2000, КМС</t>
  </si>
  <si>
    <t>ПФО</t>
  </si>
  <si>
    <t xml:space="preserve"> Нижегородская обл. Нижний Новгород</t>
  </si>
  <si>
    <t>Красноперова Е. Н.</t>
  </si>
  <si>
    <t>МАТВЕЕВА Анастасия Владимировна</t>
  </si>
  <si>
    <t>16.04.2000, МС</t>
  </si>
  <si>
    <t xml:space="preserve"> Оренбургская обл. Бузулук</t>
  </si>
  <si>
    <t>Плотников Петр Дмитриевич</t>
  </si>
  <si>
    <t>БАЛАШОВА Анна Викторовна</t>
  </si>
  <si>
    <t>18.11.1983, ЗМС</t>
  </si>
  <si>
    <t>УФО</t>
  </si>
  <si>
    <t xml:space="preserve"> Свердловская обл. Верхняя Пышма</t>
  </si>
  <si>
    <t>Стенников В.Г., Суханов М.И.</t>
  </si>
  <si>
    <t>ПОСЫЛКИНА Олеся Юрьевна</t>
  </si>
  <si>
    <t>01.01.1999, МС</t>
  </si>
  <si>
    <t xml:space="preserve"> Свердловская обл. Екатеринбург</t>
  </si>
  <si>
    <t>Бородин О.Б.</t>
  </si>
  <si>
    <t>ЛИХОТА Ольга Дмитриевна</t>
  </si>
  <si>
    <t>02.06.2000, КМС</t>
  </si>
  <si>
    <t xml:space="preserve">Никифорова Нюргуяна Селянина Ольга Васильевна </t>
  </si>
  <si>
    <t>ПЛЮСНИНА Екатерина Владиславовна</t>
  </si>
  <si>
    <t>06.04.1997, КМС</t>
  </si>
  <si>
    <t>МОС</t>
  </si>
  <si>
    <t xml:space="preserve"> г. Москва Москва</t>
  </si>
  <si>
    <t>Гусева ЕВ, Ганчук ЮЕ</t>
  </si>
  <si>
    <t>КОЗЫРЕВА Яна Александровна</t>
  </si>
  <si>
    <t>05.11.2001, КМС</t>
  </si>
  <si>
    <t>ЦФО</t>
  </si>
  <si>
    <t xml:space="preserve"> Смоленская обл. Смоленск</t>
  </si>
  <si>
    <t>Федяев В.А., Мальцев А. В.</t>
  </si>
  <si>
    <t>В.к.   80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</si>
</sst>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6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889000</xdr:colOff>
          <xdr:row>5</xdr:row>
          <xdr:rowOff>0</xdr:rowOff>
        </xdr:from>
        <xdr:to>
          <xdr:col>5</xdr:col>
          <xdr:colOff>1054100</xdr:colOff>
          <xdr:row>5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196850</xdr:colOff>
          <xdr:row>3</xdr:row>
          <xdr:rowOff>31750</xdr:rowOff>
        </xdr:from>
        <xdr:to>
          <xdr:col>1</xdr:col>
          <xdr:colOff>361950</xdr:colOff>
          <xdr:row>3</xdr:row>
          <xdr:rowOff>234950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0</xdr:row>
      <xdr:rowOff>25401</xdr:rowOff>
    </xdr:from>
    <xdr:to>
      <xdr:col>2</xdr:col>
      <xdr:colOff>67099</xdr:colOff>
      <xdr:row>1</xdr:row>
      <xdr:rowOff>228601</xdr:rowOff>
    </xdr:to>
    <xdr:pic>
      <xdr:nvPicPr>
        <xdr:cNvPr id="4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5401"/>
          <a:ext cx="511599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Кубок России по самбо среди женщин(ЕКП№1801).</v>
          </cell>
        </row>
        <row r="3">
          <cell r="A3" t="str">
            <v>21-25 ноября 2022 года                          г.Кстово, Нижегородская обл.</v>
          </cell>
        </row>
        <row r="6">
          <cell r="A6" t="str">
            <v>Гл. судья, судья ВК</v>
          </cell>
          <cell r="G6" t="str">
            <v>Болотский Р.М.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Зарипов А.А.</v>
          </cell>
        </row>
        <row r="9">
          <cell r="G9" t="str">
            <v>/г. 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topLeftCell="A4" workbookViewId="0">
      <selection activeCell="D18" sqref="D18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7" customWidth="1"/>
    <col min="6" max="6" width="15.1796875" customWidth="1"/>
    <col min="7" max="7" width="7.26953125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4" width="4.2695312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>Кубок России по самбо среди женщин(ЕКП№1801).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21-25 ноября 2022 года                          г.Кстово, Нижегородская обл.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117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ЗМС</v>
      </c>
      <c r="R6" s="189" t="str">
        <f>N8</f>
        <v>КМС</v>
      </c>
      <c r="S6" s="190" t="str">
        <f>N9</f>
        <v>МС</v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ЗМС</v>
      </c>
      <c r="AA6" s="119" t="str">
        <f t="shared" si="0"/>
        <v>КМС</v>
      </c>
      <c r="AB6" s="191" t="str">
        <f t="shared" si="0"/>
        <v>МС</v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86</v>
      </c>
      <c r="D7" s="195" t="s">
        <v>87</v>
      </c>
      <c r="E7" s="196" t="s">
        <v>88</v>
      </c>
      <c r="F7" s="195" t="s">
        <v>89</v>
      </c>
      <c r="G7" s="197"/>
      <c r="H7" s="198" t="s">
        <v>90</v>
      </c>
      <c r="I7" s="32"/>
      <c r="J7" s="199">
        <v>1</v>
      </c>
      <c r="K7" s="184" t="str">
        <f>IFERROR(RIGHT(D7,LEN(D7)-FIND("*",SUBSTITUTE(D7," ","*",LEN(D7)-LEN(SUBSTITUTE(D7," ",""))))),D7)</f>
        <v>КМС</v>
      </c>
      <c r="L7" s="184" t="str">
        <f>IFERROR(LEFT(F7,FIND(",",F7)-1),F7)</f>
        <v xml:space="preserve"> Нижегородская обл. Нижний Новгород</v>
      </c>
      <c r="M7" s="200" t="str">
        <f t="array" ref="M7">IFERROR(INDEX(субъект,MATCH(SUM(COUNTIF(M$6:M6,субъект)),COUNTIF(субъект,"&lt;"&amp;субъект),0)),"")</f>
        <v xml:space="preserve"> г. Москва Москва</v>
      </c>
      <c r="N7" s="200" t="str">
        <f t="array" ref="N7">IFERROR(INDEX(разряд,MATCH(SUM(COUNTIF(N$6:N6,разряд)),COUNTIF(разряд,"&lt;"&amp;разряд),0)),"")</f>
        <v>ЗМС</v>
      </c>
      <c r="O7" s="201">
        <v>1</v>
      </c>
      <c r="P7" s="120" t="str">
        <f t="shared" ref="P7:P14" si="1">M7</f>
        <v xml:space="preserve"> г. Москва Москва</v>
      </c>
      <c r="Q7" s="202">
        <f t="shared" ref="Q7:Q14" si="2">SUMIFS($J$7:$J$30,$L$7:$L$30,P7,$K$7:$K$30,Q$6)</f>
        <v>0</v>
      </c>
      <c r="R7" s="202">
        <f t="shared" ref="R7:R14" si="3">SUMIFS($J$7:$J$30,$L$7:$L$30,P7,$K$7:$K$30,R$6)</f>
        <v>1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 xml:space="preserve"> г. Москва Москва</v>
      </c>
      <c r="Z7" s="150" t="str">
        <f>IF(Q7=0," ",Q7)</f>
        <v xml:space="preserve"> </v>
      </c>
      <c r="AA7" s="150">
        <f>IF(R7=0," ",R7)</f>
        <v>1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7</v>
      </c>
      <c r="AI7" s="240"/>
    </row>
    <row r="8" spans="1:35" ht="24" customHeight="1" thickBot="1">
      <c r="A8" s="192" t="s">
        <v>53</v>
      </c>
      <c r="B8" s="193">
        <v>2</v>
      </c>
      <c r="C8" s="194" t="s">
        <v>100</v>
      </c>
      <c r="D8" s="195" t="s">
        <v>101</v>
      </c>
      <c r="E8" s="196" t="s">
        <v>97</v>
      </c>
      <c r="F8" s="195" t="s">
        <v>102</v>
      </c>
      <c r="G8" s="197"/>
      <c r="H8" s="198" t="s">
        <v>103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МС</v>
      </c>
      <c r="L8" s="184" t="str">
        <f t="shared" ref="L8:L14" si="11">IFERROR(LEFT(F8,FIND(",",F8)-1),F8)</f>
        <v xml:space="preserve"> Свердловская обл. Екатеринбург</v>
      </c>
      <c r="M8" s="200" t="str">
        <f t="array" ref="M8">IFERROR(INDEX(субъект,MATCH(SUM(COUNTIF(M$6:M7,субъект)),COUNTIF(субъект,"&lt;"&amp;субъект),0)),"")</f>
        <v xml:space="preserve"> Нижегородская обл. Нижний Новгород</v>
      </c>
      <c r="N8" s="200" t="str">
        <f t="array" ref="N8">IFERROR(INDEX(разряд,MATCH(SUM(COUNTIF(N$6:N7,разряд)),COUNTIF(разряд,"&lt;"&amp;разряд),0)),"")</f>
        <v>КМС</v>
      </c>
      <c r="O8" s="201">
        <v>2</v>
      </c>
      <c r="P8" s="120" t="str">
        <f t="shared" si="1"/>
        <v xml:space="preserve"> Нижегородская обл. Нижний Новгород</v>
      </c>
      <c r="Q8" s="202">
        <f t="shared" si="2"/>
        <v>0</v>
      </c>
      <c r="R8" s="202">
        <f t="shared" si="3"/>
        <v>1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 xml:space="preserve"> Нижегородская обл. Нижний Новгород</v>
      </c>
      <c r="Z8" s="118" t="str">
        <f>IF($Y$8=$Y$7," ",IF(Q8=0," ",Q8))</f>
        <v xml:space="preserve"> </v>
      </c>
      <c r="AA8" s="118">
        <f>IF($Y$8=$Y$7," ",IF(R8=0," ",R8))</f>
        <v>1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104</v>
      </c>
      <c r="D9" s="195" t="s">
        <v>105</v>
      </c>
      <c r="E9" s="196" t="s">
        <v>97</v>
      </c>
      <c r="F9" s="195" t="s">
        <v>102</v>
      </c>
      <c r="G9" s="197"/>
      <c r="H9" s="198" t="s">
        <v>106</v>
      </c>
      <c r="I9" s="32"/>
      <c r="J9" s="199">
        <v>1</v>
      </c>
      <c r="K9" s="184" t="str">
        <f t="shared" si="10"/>
        <v>КМС</v>
      </c>
      <c r="L9" s="184" t="str">
        <f t="shared" si="11"/>
        <v xml:space="preserve"> Свердловская обл. Екатеринбург</v>
      </c>
      <c r="M9" s="200" t="str">
        <f t="array" ref="M9">IFERROR(INDEX(субъект,MATCH(SUM(COUNTIF(M$6:M8,субъект)),COUNTIF(субъект,"&lt;"&amp;субъект),0)),"")</f>
        <v xml:space="preserve"> Оренбургская обл. Бузулук</v>
      </c>
      <c r="N9" s="200" t="str">
        <f t="array" ref="N9">IFERROR(INDEX(разряд,MATCH(SUM(COUNTIF(N$6:N8,разряд)),COUNTIF(разряд,"&lt;"&amp;разряд),0)),"")</f>
        <v>МС</v>
      </c>
      <c r="O9" s="201">
        <v>3</v>
      </c>
      <c r="P9" s="120" t="str">
        <f t="shared" si="1"/>
        <v xml:space="preserve"> Оренбургская обл. Бузулук</v>
      </c>
      <c r="Q9" s="202">
        <f t="shared" si="2"/>
        <v>0</v>
      </c>
      <c r="R9" s="202">
        <f t="shared" si="3"/>
        <v>0</v>
      </c>
      <c r="S9" s="203">
        <f t="shared" si="4"/>
        <v>1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 xml:space="preserve"> Оренбургская обл. Бузулук</v>
      </c>
      <c r="Z9" s="118" t="str">
        <f>IF(OR($Y9=$Y7,$Y9=$Y8)," ",IF(Q9=0," ",Q9))</f>
        <v xml:space="preserve"> </v>
      </c>
      <c r="AA9" s="118" t="str">
        <f>IF(OR($Y9=$Y7,$Y9=$Y8)," ",IF(R9=0," ",R9))</f>
        <v xml:space="preserve"> </v>
      </c>
      <c r="AB9" s="118">
        <f>IF(OR($Y9=$Y7,$Y9=$Y8)," ",IF(S9=0," ",S9))</f>
        <v>1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207">
        <v>4</v>
      </c>
      <c r="C10" s="183" t="s">
        <v>112</v>
      </c>
      <c r="D10" s="183" t="s">
        <v>113</v>
      </c>
      <c r="E10" s="183" t="s">
        <v>114</v>
      </c>
      <c r="F10" s="195" t="s">
        <v>115</v>
      </c>
      <c r="G10" s="208"/>
      <c r="H10" s="209" t="s">
        <v>116</v>
      </c>
      <c r="I10" s="32"/>
      <c r="J10" s="199">
        <v>1</v>
      </c>
      <c r="K10" s="184" t="str">
        <f t="shared" si="10"/>
        <v>КМС</v>
      </c>
      <c r="L10" s="184" t="str">
        <f t="shared" si="11"/>
        <v xml:space="preserve"> Смоленская обл. Смоленск</v>
      </c>
      <c r="M10" s="200" t="str">
        <f t="array" ref="M10">IFERROR(INDEX(субъект,MATCH(SUM(COUNTIF(M$6:M9,субъект)),COUNTIF(субъект,"&lt;"&amp;субъект),0)),"")</f>
        <v xml:space="preserve"> Свердловская обл. Верхняя Пышма</v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 xml:space="preserve"> Свердловская обл. Верхняя Пышма</v>
      </c>
      <c r="Q10" s="202">
        <f t="shared" si="2"/>
        <v>1</v>
      </c>
      <c r="R10" s="202">
        <f t="shared" si="3"/>
        <v>0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 xml:space="preserve"> Свердловская обл. Верхняя Пышма</v>
      </c>
      <c r="Z10" s="118">
        <f>IF(OR($Y10=$Y8,$Y10=$Y9,$Y10=$Y7)," ",IF(Q10=0," ",Q10))</f>
        <v>1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 t="s">
        <v>91</v>
      </c>
      <c r="D11" s="195" t="s">
        <v>92</v>
      </c>
      <c r="E11" s="196" t="s">
        <v>88</v>
      </c>
      <c r="F11" s="195" t="s">
        <v>93</v>
      </c>
      <c r="G11" s="197"/>
      <c r="H11" s="198" t="s">
        <v>94</v>
      </c>
      <c r="I11" s="32"/>
      <c r="J11" s="199">
        <v>1</v>
      </c>
      <c r="K11" s="184" t="str">
        <f t="shared" si="10"/>
        <v>МС</v>
      </c>
      <c r="L11" s="184" t="str">
        <f t="shared" si="11"/>
        <v xml:space="preserve"> Оренбургская обл. Бузулук</v>
      </c>
      <c r="M11" s="200" t="str">
        <f t="array" ref="M11">IFERROR(INDEX(субъект,MATCH(SUM(COUNTIF(M$6:M10,субъект)),COUNTIF(субъект,"&lt;"&amp;субъект),0)),"")</f>
        <v xml:space="preserve"> Свердловская обл. Екатеринбург</v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 xml:space="preserve"> Свердловская обл. Екатеринбург</v>
      </c>
      <c r="Q11" s="202">
        <f t="shared" si="2"/>
        <v>0</v>
      </c>
      <c r="R11" s="202">
        <f t="shared" si="3"/>
        <v>1</v>
      </c>
      <c r="S11" s="203">
        <f t="shared" si="4"/>
        <v>1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 xml:space="preserve"> Свердловская обл. Екатеринбург</v>
      </c>
      <c r="Z11" s="118" t="str">
        <f>IF(OR($Y11=$Y9,$Y11=$Y10,$Y11=$Y8,$Y11=$Y7)," ",IF(Q11=0," ",Q11))</f>
        <v xml:space="preserve"> </v>
      </c>
      <c r="AA11" s="118">
        <f>IF(OR($Y11=$Y9,$Y11=$Y10,$Y11=$Y8,$Y11=$Y7)," ",IF(R11=0," ",R11))</f>
        <v>1</v>
      </c>
      <c r="AB11" s="118">
        <f>IF(OR($Y11=$Y9,$Y11=$Y10,$Y11=$Y8,$Y11=$Y7)," ",IF(S11=0," ",S11))</f>
        <v>1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 t="s">
        <v>95</v>
      </c>
      <c r="D12" s="195" t="s">
        <v>96</v>
      </c>
      <c r="E12" s="196" t="s">
        <v>97</v>
      </c>
      <c r="F12" s="195" t="s">
        <v>98</v>
      </c>
      <c r="G12" s="197"/>
      <c r="H12" s="198" t="s">
        <v>99</v>
      </c>
      <c r="I12" s="32"/>
      <c r="J12" s="199">
        <v>1</v>
      </c>
      <c r="K12" s="184" t="str">
        <f t="shared" si="10"/>
        <v>ЗМС</v>
      </c>
      <c r="L12" s="184" t="str">
        <f t="shared" si="11"/>
        <v xml:space="preserve"> Свердловская обл. Верхняя Пышма</v>
      </c>
      <c r="M12" s="200" t="str">
        <f t="array" ref="M12">IFERROR(INDEX(субъект,MATCH(SUM(COUNTIF(M$6:M11,субъект)),COUNTIF(субъект,"&lt;"&amp;субъект),0)),"")</f>
        <v xml:space="preserve"> Смоленская обл. Смоленск</v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 xml:space="preserve"> Смоленская обл. Смоленск</v>
      </c>
      <c r="Q12" s="202">
        <f t="shared" si="2"/>
        <v>0</v>
      </c>
      <c r="R12" s="202">
        <f t="shared" si="3"/>
        <v>1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 xml:space="preserve"> Смоленская обл. Смоленск</v>
      </c>
      <c r="Z12" s="118" t="str">
        <f>IF(OR($Y12=$Y10,$Y12=$Y11,$Y12=$Y9,$Y12=$Y8,$Y12=$Y7)," ",IF(Q12=0," ",Q12))</f>
        <v xml:space="preserve"> </v>
      </c>
      <c r="AA12" s="118">
        <f>IF(OR($Y12=$Y10,$Y12=$Y11,$Y12=$Y9,$Y12=$Y8,$Y12=$Y7)," ",IF(R12=0," ",R12))</f>
        <v>1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193">
        <v>7</v>
      </c>
      <c r="C13" s="194" t="s">
        <v>107</v>
      </c>
      <c r="D13" s="195" t="s">
        <v>108</v>
      </c>
      <c r="E13" s="194" t="s">
        <v>109</v>
      </c>
      <c r="F13" s="195" t="s">
        <v>110</v>
      </c>
      <c r="G13" s="194"/>
      <c r="H13" s="198" t="s">
        <v>111</v>
      </c>
      <c r="I13" s="32"/>
      <c r="J13" s="199">
        <v>1</v>
      </c>
      <c r="K13" s="184" t="str">
        <f t="shared" si="10"/>
        <v>КМС</v>
      </c>
      <c r="L13" s="184" t="str">
        <f t="shared" si="11"/>
        <v xml:space="preserve"> г. Москва Москва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/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 ht="13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 ht="13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 ht="13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 ht="13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 ht="13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 ht="13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 ht="13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 ht="13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3">
    <sortCondition ref="B7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889000</xdr:colOff>
                    <xdr:row>5</xdr:row>
                    <xdr:rowOff>0</xdr:rowOff>
                  </from>
                  <to>
                    <xdr:col>5</xdr:col>
                    <xdr:colOff>1054100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196850</xdr:colOff>
                    <xdr:row>3</xdr:row>
                    <xdr:rowOff>31750</xdr:rowOff>
                  </from>
                  <to>
                    <xdr:col>1</xdr:col>
                    <xdr:colOff>361950</xdr:colOff>
                    <xdr:row>3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activeCell="W3" sqref="W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6" customHeight="1" thickBot="1">
      <c r="A3" s="88"/>
      <c r="B3" s="88"/>
      <c r="C3" s="296" t="str">
        <f>пр.взв!B2</f>
        <v>Кубок России по самбо среди женщин(ЕКП№1801).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21-25 ноября 2022 года                          г.Кстово, Нижегородская обл.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 80  кг.</v>
      </c>
      <c r="I5" s="315"/>
      <c r="J5" s="315"/>
      <c r="K5" s="315"/>
      <c r="L5" s="315"/>
      <c r="M5" s="315"/>
      <c r="N5" s="316"/>
      <c r="O5" s="306" t="str">
        <f>W5&amp;" "&amp;AB5</f>
        <v>7 участников</v>
      </c>
      <c r="P5" s="307"/>
      <c r="Q5" s="308"/>
      <c r="R5" s="159"/>
      <c r="S5" s="88"/>
      <c r="T5" s="88"/>
      <c r="U5" s="88"/>
      <c r="W5">
        <f>пр.взв!AH7</f>
        <v>7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>ШУВАЛОВА Марина Николаевна</v>
      </c>
      <c r="C8" s="258" t="str">
        <f>IFERROR(VLOOKUP(A8,пр.взв!$B$7:$H$14,3,0),"")</f>
        <v>14.10.2000, КМС</v>
      </c>
      <c r="D8" s="258" t="str">
        <f>IFERROR(VLOOKUP(A8,пр.взв!$B$7:$H$14,5,0),"")</f>
        <v xml:space="preserve"> Нижегородская обл. Нижний Новгород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>ПОСЫЛКИНА Олеся Юрьевна</v>
      </c>
      <c r="S8" s="258" t="str">
        <f>IFERROR(VLOOKUP(U8,пр.взв!$B$7:$H$14,3,0),"")</f>
        <v>01.01.1999, МС</v>
      </c>
      <c r="T8" s="258" t="str">
        <f>IFERROR(VLOOKUP(U8,пр.взв!$B$7:$H$14,5,0),"")</f>
        <v xml:space="preserve"> Свердловская обл. Екатеринбург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/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>МАТВЕЕВА Анастасия Владимировна</v>
      </c>
      <c r="C10" s="272" t="str">
        <f>IFERROR(VLOOKUP(A10,пр.взв!$B$7:$H$14,3,0),"")</f>
        <v>16.04.2000, МС</v>
      </c>
      <c r="D10" s="272" t="str">
        <f>IFERROR(VLOOKUP(A10,пр.взв!$B$7:$H$14,5,0),"")</f>
        <v xml:space="preserve"> Оренбургская обл. Бузулук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255" t="str">
        <f>IFERROR(VLOOKUP(U10,пр.взв!$B$7:$H$14,2,0),"")</f>
        <v>БАЛАШОВА Анна Викторовна</v>
      </c>
      <c r="S10" s="272" t="str">
        <f>IFERROR(VLOOKUP(U10,пр.взв!$B$7:$H$14,3,0),"")</f>
        <v>18.11.1983, ЗМС</v>
      </c>
      <c r="T10" s="272" t="str">
        <f>IFERROR(VLOOKUP(U10,пр.взв!$B$7:$H$14,5,0),"")</f>
        <v xml:space="preserve"> Свердловская обл. Верхняя Пышма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256"/>
      <c r="S11" s="273"/>
      <c r="T11" s="273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>ЛИХОТА Ольга Дмитриевна</v>
      </c>
      <c r="C12" s="270" t="str">
        <f>IFERROR(VLOOKUP(A12,пр.взв!$B$7:$H$14,3,0),"")</f>
        <v>02.06.2000, КМС</v>
      </c>
      <c r="D12" s="270" t="str">
        <f>IFERROR(VLOOKUP(A12,пр.взв!$B$7:$H$14,5,0),"")</f>
        <v xml:space="preserve"> Свердловская обл. Екатеринбург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>КОЗЫРЕВА Яна Александровна</v>
      </c>
      <c r="S12" s="270" t="str">
        <f>IFERROR(VLOOKUP(U12,пр.взв!$B$7:$H$14,3,0),"")</f>
        <v>05.11.2001, КМС</v>
      </c>
      <c r="T12" s="270" t="str">
        <f>IFERROR(VLOOKUP(U12,пр.взв!$B$7:$H$14,5,0),"")</f>
        <v xml:space="preserve"> Смоленская обл. Смоленск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/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255" t="str">
        <f>IFERROR(VLOOKUP(пр.хода!A14,пр.взв!$B$7:$H$14,2,0),"")</f>
        <v>ПЛЮСНИНА Екатерина Владиславовна</v>
      </c>
      <c r="C14" s="272" t="str">
        <f>IFERROR(VLOOKUP(A14,пр.взв!$B$7:$H$14,3,0),"")</f>
        <v>06.04.1997, КМС</v>
      </c>
      <c r="D14" s="272" t="str">
        <f>IFERROR(VLOOKUP(A14,пр.взв!$B$7:$H$14,5,0),"")</f>
        <v xml:space="preserve"> г. Москва Москва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255" t="str">
        <f>IFERROR(VLOOKUP(U14,пр.взв!$B$7:$H$14,2,0),"")</f>
        <v/>
      </c>
      <c r="S14" s="272" t="str">
        <f>IFERROR(VLOOKUP(U14,пр.взв!$B$7:$H$14,3,0),"")</f>
        <v/>
      </c>
      <c r="T14" s="272" t="str">
        <f>IFERROR(VLOOKUP(U14,пр.взв!$B$7:$H$14,5,0),"")</f>
        <v/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256"/>
      <c r="C15" s="273"/>
      <c r="D15" s="273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256"/>
      <c r="S15" s="273"/>
      <c r="T15" s="273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 t="str">
        <f>IFERROR(VLOOKUP(U21,пр.взв!$B$7:$H$14,2,0),"")</f>
        <v/>
      </c>
      <c r="T21" s="267"/>
      <c r="U21" s="69" t="str">
        <f>Y22</f>
        <v xml:space="preserve"> 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 t="str">
        <f>IF(U10=""," ",IF(Q9=""," ",IF(Q9=U8,U10,IF(Q9=U10,U8,"Х"))))</f>
        <v xml:space="preserve"> </v>
      </c>
      <c r="Z22" s="113" t="str">
        <f>IF(R22=""," ",IF(R22=Q25,S27,R22))</f>
        <v xml:space="preserve"> </v>
      </c>
      <c r="AA22" s="111"/>
    </row>
    <row r="23" spans="1:27" ht="12.75" customHeight="1">
      <c r="A23" s="68" t="str">
        <f>Y23</f>
        <v xml:space="preserve"> </v>
      </c>
      <c r="B23" s="272" t="str">
        <f>IFERROR(VLOOKUP(A23,пр.взв!$B$7:$H$14,2,0),"")</f>
        <v/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 t="str">
        <f>IFERROR(VLOOKUP(U23,пр.взв!$B$7:$H$14,2,0),"")</f>
        <v/>
      </c>
      <c r="T23" s="312"/>
      <c r="U23" s="69">
        <f>Y24</f>
        <v>8</v>
      </c>
      <c r="V23" s="88"/>
      <c r="X23" s="111"/>
      <c r="Y23" s="112" t="str">
        <f>IF(A14=""," ",IF(E13=""," ",IF(E13=A12,A14,IF(E13=A14,A12,"Х"))))</f>
        <v xml:space="preserve"> </v>
      </c>
      <c r="Z23" s="113" t="str">
        <f>IF(A23="","",IF(A23=C22,A21,A23))</f>
        <v xml:space="preserve"> 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 ht="13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 ht="13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9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5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Болотский Р.М.</v>
      </c>
      <c r="O31" s="88"/>
      <c r="P31" s="91"/>
      <c r="Q31" s="91"/>
      <c r="R31" s="181" t="str">
        <f>[1]реквизиты!$G$7</f>
        <v>/г.Москва/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5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Зарипов А.А.</v>
      </c>
      <c r="O33" s="88"/>
      <c r="P33" s="179"/>
      <c r="Q33" s="179"/>
      <c r="R33" s="181" t="str">
        <f>[1]реквизиты!$G$9</f>
        <v>/г. Казань/</v>
      </c>
      <c r="S33" s="88"/>
      <c r="T33" s="88"/>
      <c r="U33" s="88"/>
      <c r="X33" s="111"/>
      <c r="Y33" s="111"/>
      <c r="Z33" s="111"/>
      <c r="AA33" s="111"/>
    </row>
    <row r="34" spans="1:27" ht="15.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 ht="13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A10" workbookViewId="0">
      <selection activeCell="C2" sqref="C2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 80 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 80  кг.</v>
      </c>
      <c r="P2" s="336"/>
      <c r="Q2" s="232"/>
      <c r="R2" s="232"/>
      <c r="S2" s="232"/>
      <c r="T2" s="232"/>
    </row>
    <row r="3" spans="1:20" ht="16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>ШУВАЛОВА Марина Николаевна</v>
      </c>
      <c r="D6" s="365" t="str">
        <f>IFERROR(VLOOKUP(B6,пр.взв!$B$7:$H$14,3,0),"")</f>
        <v>14.10.2000, КМС</v>
      </c>
      <c r="E6" s="318" t="str">
        <f>IFERROR(VLOOKUP(B6,пр.взв!$B$7:$H$14,4,0),"")</f>
        <v>ПФО</v>
      </c>
      <c r="F6" s="365" t="str">
        <f>IFERROR(VLOOKUP(B6,пр.взв!$B$7:$H$14,5,0),"")</f>
        <v xml:space="preserve"> Нижегородская обл. Нижний Новгород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>ПОСЫЛКИНА Олеся Юрьевна</v>
      </c>
      <c r="N6" s="365" t="str">
        <f>IFERROR(VLOOKUP(L6,пр.взв!$B$7:$H$14,3,0),"")</f>
        <v>01.01.1999, МС</v>
      </c>
      <c r="O6" s="318" t="str">
        <f>IFERROR(VLOOKUP(L6,пр.взв!$B$7:$H$14,4,0),"")</f>
        <v>УФО</v>
      </c>
      <c r="P6" s="365" t="str">
        <f>IFERROR(VLOOKUP(L6,пр.взв!$B$7:$H$14,5,0),"")</f>
        <v xml:space="preserve"> Свердловская обл. Екатеринбург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>МАТВЕЕВА Анастасия Владимировна</v>
      </c>
      <c r="D8" s="320" t="str">
        <f>IFERROR(VLOOKUP(B8,пр.взв!$B$7:$H$14,3,0),"")</f>
        <v>16.04.2000, МС</v>
      </c>
      <c r="E8" s="320" t="str">
        <f>IFERROR(VLOOKUP(B8,пр.взв!$B$7:$H$14,4,0),"")</f>
        <v>ПФО</v>
      </c>
      <c r="F8" s="320" t="str">
        <f>IFERROR(VLOOKUP(B8,пр.взв!$B$7:$H$14,5,0),"")</f>
        <v xml:space="preserve"> Оренбургская обл. Бузулук</v>
      </c>
      <c r="G8" s="341"/>
      <c r="H8" s="341"/>
      <c r="I8" s="246"/>
      <c r="J8" s="246"/>
      <c r="K8" s="350"/>
      <c r="L8" s="367">
        <v>6</v>
      </c>
      <c r="M8" s="328" t="str">
        <f>IFERROR(VLOOKUP(L8,пр.взв!$B$7:$H$14,2,0),"")</f>
        <v>БАЛАШОВА Анна Викторовна</v>
      </c>
      <c r="N8" s="320" t="str">
        <f>IFERROR(VLOOKUP(L8,пр.взв!$B$7:$H$14,3,0),"")</f>
        <v>18.11.1983, ЗМС</v>
      </c>
      <c r="O8" s="320" t="str">
        <f>IFERROR(VLOOKUP(L8,пр.взв!$B$7:$H$14,4,0),"")</f>
        <v>УФО</v>
      </c>
      <c r="P8" s="320" t="str">
        <f>IFERROR(VLOOKUP(L8,пр.взв!$B$7:$H$14,5,0),"")</f>
        <v xml:space="preserve"> Свердловская обл. Верхняя Пышма</v>
      </c>
      <c r="Q8" s="341"/>
      <c r="R8" s="341"/>
      <c r="S8" s="246"/>
      <c r="T8" s="246"/>
    </row>
    <row r="9" spans="1:20" ht="13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>ЛИХОТА Ольга Дмитриевна</v>
      </c>
      <c r="D10" s="318" t="str">
        <f>IFERROR(VLOOKUP(B10,пр.взв!$B$7:$H$14,3,0),"")</f>
        <v>02.06.2000, КМС</v>
      </c>
      <c r="E10" s="318" t="str">
        <f>IFERROR(VLOOKUP(B10,пр.взв!$B$7:$H$14,4,0),"")</f>
        <v>УФО</v>
      </c>
      <c r="F10" s="318" t="str">
        <f>IFERROR(VLOOKUP(B10,пр.взв!$B$7:$H$14,5,0),"")</f>
        <v xml:space="preserve"> Свердловская обл. Екатеринбург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>КОЗЫРЕВА Яна Александровна</v>
      </c>
      <c r="N10" s="318" t="str">
        <f>IFERROR(VLOOKUP(L10,пр.взв!$B$7:$H$14,3,0),"")</f>
        <v>05.11.2001, КМС</v>
      </c>
      <c r="O10" s="318" t="str">
        <f>IFERROR(VLOOKUP(L10,пр.взв!$B$7:$H$14,4,0),"")</f>
        <v>ЦФО</v>
      </c>
      <c r="P10" s="318" t="str">
        <f>IFERROR(VLOOKUP(L10,пр.взв!$B$7:$H$14,5,0),"")</f>
        <v xml:space="preserve"> Смоленская обл. Смоленск</v>
      </c>
      <c r="Q10" s="356"/>
      <c r="R10" s="358"/>
      <c r="S10" s="337"/>
      <c r="T10" s="365"/>
    </row>
    <row r="11" spans="1:20" ht="12.65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 t="str">
        <f>IFERROR(VLOOKUP(B12,пр.взв!$B$7:$H$14,2,0),"")</f>
        <v>ПЛЮСНИНА Екатерина Владиславовна</v>
      </c>
      <c r="D12" s="320" t="str">
        <f>IFERROR(VLOOKUP(B12,пр.взв!$B$7:$H$14,3,0),"")</f>
        <v>06.04.1997, КМС</v>
      </c>
      <c r="E12" s="320" t="str">
        <f>IFERROR(VLOOKUP(B12,пр.взв!$B$7:$H$14,4,0),"")</f>
        <v>МОС</v>
      </c>
      <c r="F12" s="320" t="str">
        <f>IFERROR(VLOOKUP(B12,пр.взв!$B$7:$H$14,5,0),"")</f>
        <v xml:space="preserve"> г. Москва Москва</v>
      </c>
      <c r="G12" s="341"/>
      <c r="H12" s="341"/>
      <c r="I12" s="246"/>
      <c r="J12" s="246"/>
      <c r="K12" s="350"/>
      <c r="L12" s="367">
        <v>8</v>
      </c>
      <c r="M12" s="328" t="str">
        <f>IFERROR(VLOOKUP(L12,пр.взв!$B$7:$H$14,2,0),"")</f>
        <v/>
      </c>
      <c r="N12" s="320" t="str">
        <f>IFERROR(VLOOKUP(L12,пр.взв!$B$7:$H$14,3,0),"")</f>
        <v/>
      </c>
      <c r="O12" s="320" t="str">
        <f>IFERROR(VLOOKUP(L12,пр.взв!$B$7:$H$14,4,0),"")</f>
        <v/>
      </c>
      <c r="P12" s="320" t="str">
        <f>IFERROR(VLOOKUP(L12,пр.взв!$B$7:$H$14,5,0),"")</f>
        <v/>
      </c>
      <c r="Q12" s="341"/>
      <c r="R12" s="341"/>
      <c r="S12" s="246"/>
      <c r="T12" s="246"/>
    </row>
    <row r="13" spans="1:20" ht="13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5">
      <c r="B14" s="231">
        <f>B2</f>
        <v>0</v>
      </c>
      <c r="C14" s="232" t="s">
        <v>84</v>
      </c>
      <c r="D14" s="232"/>
      <c r="E14" s="336" t="str">
        <f>E2</f>
        <v>В.к.   80 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 80  кг.</v>
      </c>
      <c r="P14" s="336"/>
      <c r="Q14" s="232"/>
      <c r="R14" s="232"/>
      <c r="S14" s="232"/>
      <c r="T14" s="232"/>
    </row>
    <row r="15" spans="1:20" ht="16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0</v>
      </c>
      <c r="M18" s="354" t="str">
        <f>IFERROR(VLOOKUP(L18,пр.взв!$B$7:$H$14,2,0),"")</f>
        <v/>
      </c>
      <c r="N18" s="318" t="str">
        <f>IFERROR(VLOOKUP(L18,пр.взв!$B$7:$H$14,3,0),"")</f>
        <v/>
      </c>
      <c r="O18" s="318" t="str">
        <f>IFERROR(VLOOKUP(L18,пр.взв!$B$7:$H$14,4,0),"")</f>
        <v/>
      </c>
      <c r="P18" s="318" t="str">
        <f>IFERROR(VLOOKUP(L18,пр.взв!$B$7:$H$14,5,0),"")</f>
        <v/>
      </c>
      <c r="Q18" s="356"/>
      <c r="R18" s="358"/>
      <c r="S18" s="337"/>
      <c r="T18" s="322"/>
    </row>
    <row r="19" spans="1:20" ht="12.65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0</v>
      </c>
      <c r="C20" s="328" t="str">
        <f>IFERROR(VLOOKUP(B20,пр.взв!$B$7:$H$14,2,0),"")</f>
        <v/>
      </c>
      <c r="D20" s="320" t="str">
        <f>IFERROR(VLOOKUP(B20,пр.взв!$B$7:$H$14,3,0),"")</f>
        <v/>
      </c>
      <c r="E20" s="320" t="str">
        <f>IFERROR(VLOOKUP(B20,пр.взв!$B$7:$H$14,4,0),"")</f>
        <v/>
      </c>
      <c r="F20" s="320" t="str">
        <f>IFERROR(VLOOKUP(B20,пр.взв!$B$7:$H$14,5,0),"")</f>
        <v/>
      </c>
      <c r="G20" s="341"/>
      <c r="H20" s="341"/>
      <c r="I20" s="246"/>
      <c r="J20" s="246"/>
      <c r="K20" s="361"/>
      <c r="L20" s="364">
        <f>пр.хода!Q13</f>
        <v>4</v>
      </c>
      <c r="M20" s="328" t="str">
        <f>IFERROR(VLOOKUP(L20,пр.взв!$B$7:$H$14,2,0),"")</f>
        <v>КОЗЫРЕВА Яна Александровна</v>
      </c>
      <c r="N20" s="320" t="str">
        <f>IFERROR(VLOOKUP(L20,пр.взв!$B$7:$H$14,3,0),"")</f>
        <v>05.11.2001, КМС</v>
      </c>
      <c r="O20" s="320" t="str">
        <f>IFERROR(VLOOKUP(L20,пр.взв!$B$7:$H$14,4,0),"")</f>
        <v>ЦФО</v>
      </c>
      <c r="P20" s="320" t="str">
        <f>IFERROR(VLOOKUP(L20,пр.взв!$B$7:$H$14,5,0),"")</f>
        <v xml:space="preserve"> Смоленская обл. Смоленск</v>
      </c>
      <c r="Q20" s="341"/>
      <c r="R20" s="341"/>
      <c r="S20" s="246"/>
      <c r="T20" s="246"/>
    </row>
    <row r="21" spans="1:20" ht="13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5">
      <c r="B22" s="231">
        <f>B14</f>
        <v>0</v>
      </c>
      <c r="C22" s="232" t="s">
        <v>84</v>
      </c>
      <c r="D22" s="232"/>
      <c r="E22" s="336" t="str">
        <f>E14</f>
        <v>В.к.   80 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 80  кг.</v>
      </c>
      <c r="P22" s="336"/>
      <c r="Q22" s="232"/>
      <c r="R22" s="232"/>
      <c r="S22" s="232"/>
      <c r="T22" s="232"/>
    </row>
    <row r="23" spans="1:20" ht="15.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 t="str">
        <f>пр.хода!U21</f>
        <v xml:space="preserve"> </v>
      </c>
      <c r="M27" s="354" t="str">
        <f>IFERROR(VLOOKUP(L27,пр.взв!$B$7:$H$14,2,0),"")</f>
        <v/>
      </c>
      <c r="N27" s="318" t="str">
        <f>IFERROR(VLOOKUP(L27,пр.взв!$B$7:$H$14,3,0),"")</f>
        <v/>
      </c>
      <c r="O27" s="318" t="str">
        <f>IFERROR(VLOOKUP(L27,пр.взв!$B$7:$H$14,4,0),"")</f>
        <v/>
      </c>
      <c r="P27" s="318" t="str">
        <f>IFERROR(VLOOKUP(L27,пр.взв!$B$7:$H$14,5,0),"")</f>
        <v/>
      </c>
      <c r="Q27" s="356"/>
      <c r="R27" s="358"/>
      <c r="S27" s="337"/>
      <c r="T27" s="322"/>
    </row>
    <row r="28" spans="1:20" ht="12.65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 t="str">
        <f>пр.хода!A23</f>
        <v xml:space="preserve"> </v>
      </c>
      <c r="C29" s="328" t="str">
        <f>IFERROR(VLOOKUP(B29,пр.взв!$B$7:$H$14,2,0),"")</f>
        <v/>
      </c>
      <c r="D29" s="320" t="str">
        <f>IFERROR(VLOOKUP(B29,пр.взв!$B$7:$H$14,3,0),"")</f>
        <v/>
      </c>
      <c r="E29" s="320" t="str">
        <f>IFERROR(VLOOKUP(B29,пр.взв!$B$7:$H$14,4,0),"")</f>
        <v/>
      </c>
      <c r="F29" s="320" t="str">
        <f>IFERROR(VLOOKUP(B29,пр.взв!$B$7:$H$14,5,0),"")</f>
        <v/>
      </c>
      <c r="G29" s="341"/>
      <c r="H29" s="341"/>
      <c r="I29" s="246"/>
      <c r="J29" s="246"/>
      <c r="K29" s="350"/>
      <c r="L29" s="339">
        <f>пр.хода!U23</f>
        <v>8</v>
      </c>
      <c r="M29" s="328" t="str">
        <f>IFERROR(VLOOKUP(L29,пр.взв!$B$7:$H$14,2,0),"")</f>
        <v/>
      </c>
      <c r="N29" s="320" t="str">
        <f>IFERROR(VLOOKUP(L29,пр.взв!$B$7:$H$14,3,0),"")</f>
        <v/>
      </c>
      <c r="O29" s="320" t="str">
        <f>IFERROR(VLOOKUP(L29,пр.взв!$B$7:$H$14,4,0),"")</f>
        <v/>
      </c>
      <c r="P29" s="320" t="str">
        <f>IFERROR(VLOOKUP(L29,пр.взв!$B$7:$H$14,5,0),"")</f>
        <v/>
      </c>
      <c r="Q29" s="341"/>
      <c r="R29" s="341"/>
      <c r="S29" s="246"/>
      <c r="T29" s="246"/>
    </row>
    <row r="30" spans="1:20" ht="13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>Кубок России по самбо среди женщин(ЕКП№1801).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21-25 ноября 2022 года                          г.Кстово, Нижегородская обл.</v>
      </c>
      <c r="C3" s="395"/>
      <c r="D3" s="395"/>
      <c r="E3" s="395"/>
      <c r="F3" s="395"/>
      <c r="G3" s="396" t="str">
        <f>пр.взв!D4</f>
        <v>В.к.   80 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 t="str">
        <f>пр.хода!Z23</f>
        <v xml:space="preserve"> </v>
      </c>
      <c r="C12" s="220" t="str">
        <f>IFERROR(VLOOKUP(B12,пр.взв!$B$7:$H$14,2,0),"")</f>
        <v/>
      </c>
      <c r="D12" s="221" t="str">
        <f>IFERROR(VLOOKUP(B12,пр.взв!$B$7:$H$14,3,0),"")</f>
        <v/>
      </c>
      <c r="E12" s="217" t="str">
        <f>IFERROR(VLOOKUP(B12,пр.взв!$B$7:$H$14,4,0),"")</f>
        <v/>
      </c>
      <c r="F12" s="217" t="str">
        <f>IFERROR(VLOOKUP(B12,пр.взв!$B$7:$H$14,5,0),"")</f>
        <v/>
      </c>
      <c r="G12" s="217" t="str">
        <f>IFERROR(VLOOKUP(B12,пр.взв!$B$7:$H$14,6,0),"")</f>
        <v/>
      </c>
      <c r="H12" s="222" t="str">
        <f>IFERROR(VLOOKUP(B12,пр.взв!$B$7:$H$14,7,0),"")</f>
        <v/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>
        <f>пр.хода!Z24</f>
        <v>8</v>
      </c>
      <c r="C13" s="226" t="str">
        <f>IFERROR(VLOOKUP(B13,пр.взв!$B$7:$H$14,2,0),"")</f>
        <v/>
      </c>
      <c r="D13" s="227" t="str">
        <f>IFERROR(VLOOKUP(B13,пр.взв!$B$7:$H$14,3,0),"")</f>
        <v/>
      </c>
      <c r="E13" s="228" t="str">
        <f>IFERROR(VLOOKUP(B13,пр.взв!$B$7:$H$14,4,0),"")</f>
        <v/>
      </c>
      <c r="F13" s="228" t="str">
        <f>IFERROR(VLOOKUP(B13,пр.взв!$B$7:$H$14,5,0),"")</f>
        <v/>
      </c>
      <c r="G13" s="228" t="str">
        <f>IFERROR(VLOOKUP(B13,пр.взв!$B$7:$H$14,6,0),"")</f>
        <v/>
      </c>
      <c r="H13" s="229" t="str">
        <f>IFERROR(VLOOKUP(B13,пр.взв!$B$7:$H$14,7,0),"")</f>
        <v/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5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3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Болотский Р.М.</v>
      </c>
      <c r="H21" s="122"/>
      <c r="I21" s="122"/>
    </row>
    <row r="22" spans="1:24" ht="15.5">
      <c r="A22" s="126"/>
      <c r="B22" s="126"/>
      <c r="C22" s="128"/>
      <c r="D22" s="185"/>
      <c r="E22" s="129"/>
      <c r="F22" s="129"/>
      <c r="G22" s="158" t="str">
        <f>[1]реквизиты!$G$7</f>
        <v>/г.Москва/</v>
      </c>
      <c r="H22" s="122"/>
      <c r="I22" s="122"/>
    </row>
    <row r="23" spans="1:24" ht="15.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.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Зарипов А.А.</v>
      </c>
      <c r="H24" s="122"/>
      <c r="I24" s="122"/>
    </row>
    <row r="25" spans="1:24" ht="15.5">
      <c r="A25" s="126"/>
      <c r="B25" s="126"/>
      <c r="C25" s="126"/>
      <c r="D25" s="129"/>
      <c r="E25" s="129"/>
      <c r="F25" s="129"/>
      <c r="G25" s="158" t="str">
        <f>[1]реквизиты!$G$9</f>
        <v>/г. Казань/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M7" sqref="M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9" ht="33.75" customHeight="1" thickBot="1">
      <c r="A1" s="408" t="str">
        <f>пр.хода!C3</f>
        <v>Кубок России по самбо среди женщин(ЕКП№1801).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 80  кг.</v>
      </c>
    </row>
    <row r="3" spans="1:9" ht="13">
      <c r="C3" s="10" t="s">
        <v>21</v>
      </c>
    </row>
    <row r="4" spans="1:9" ht="13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5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5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49999999999999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49999999999999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49999999999999" customHeight="1"/>
    <row r="15" spans="1:9" ht="20.149999999999999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 80 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5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5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49999999999999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49999999999999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49999999999999" customHeight="1">
      <c r="J26" s="3"/>
    </row>
    <row r="27" spans="1:10" ht="20.149999999999999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 80 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5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5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49999999999999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6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7"/>
      <c r="H43" s="3"/>
    </row>
    <row r="44" spans="1:9" ht="20.149999999999999" customHeight="1">
      <c r="A44" s="13"/>
      <c r="C44" s="9"/>
      <c r="D44" s="9"/>
      <c r="E44" s="9"/>
      <c r="F44" s="13"/>
      <c r="G44" s="46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29" t="str">
        <f>пр.взв!B2</f>
        <v>Кубок России по самбо среди женщин(ЕКП№1801).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21-25 ноября 2022 года                          г.Кстово, Нижегородская обл.</v>
      </c>
      <c r="B2" s="432"/>
      <c r="C2" s="432"/>
      <c r="D2" s="432"/>
      <c r="E2" s="432"/>
      <c r="F2" s="432"/>
      <c r="G2" s="432"/>
      <c r="H2" s="432"/>
    </row>
    <row r="3" spans="1:10" ht="18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5" thickBot="1">
      <c r="B4" s="74"/>
      <c r="C4" s="75"/>
      <c r="D4" s="434" t="str">
        <f>пр.взв!D4</f>
        <v>В.к.   80  кг.</v>
      </c>
      <c r="E4" s="435"/>
      <c r="F4" s="436"/>
      <c r="G4" s="75"/>
      <c r="H4" s="75"/>
    </row>
    <row r="5" spans="1:10" ht="18" thickBot="1">
      <c r="A5" s="75"/>
      <c r="B5" s="75"/>
      <c r="C5" s="75"/>
      <c r="D5" s="75"/>
      <c r="E5" s="75"/>
      <c r="F5" s="75"/>
      <c r="G5" s="75"/>
      <c r="H5" s="75"/>
    </row>
    <row r="6" spans="1:10" ht="17.5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7.5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7.5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7.5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7.5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7.5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7.5">
      <c r="A25" s="75"/>
      <c r="B25" s="75"/>
      <c r="C25" s="75"/>
      <c r="D25" s="75"/>
      <c r="E25" s="75"/>
      <c r="F25" s="75"/>
      <c r="G25" s="75"/>
      <c r="H25" s="75"/>
    </row>
    <row r="26" spans="1:10" ht="17.5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7.5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7.5">
      <c r="A37" s="75"/>
      <c r="B37" s="75"/>
      <c r="C37" s="75"/>
      <c r="D37" s="75"/>
      <c r="E37" s="75"/>
      <c r="F37" s="75"/>
      <c r="G37" s="75"/>
      <c r="H37" s="75"/>
    </row>
    <row r="38" spans="1:8" ht="17.5">
      <c r="A38" s="75"/>
      <c r="B38" s="75"/>
      <c r="C38" s="75"/>
      <c r="D38" s="75"/>
      <c r="E38" s="75"/>
      <c r="F38" s="75"/>
      <c r="G38" s="75"/>
      <c r="H38" s="75"/>
    </row>
    <row r="39" spans="1:8" ht="17.5">
      <c r="A39" s="77"/>
      <c r="B39" s="77"/>
      <c r="C39" s="77"/>
      <c r="D39" s="77"/>
      <c r="E39" s="77"/>
      <c r="F39" s="77"/>
      <c r="G39" s="77"/>
      <c r="H39" s="77"/>
    </row>
    <row r="40" spans="1:8" ht="17.5">
      <c r="A40" s="78"/>
      <c r="B40" s="78"/>
      <c r="C40" s="78"/>
      <c r="D40" s="78"/>
      <c r="E40" s="78"/>
      <c r="F40" s="78"/>
      <c r="G40" s="78"/>
      <c r="H40" s="78"/>
    </row>
    <row r="41" spans="1:8" ht="17.5">
      <c r="A41" s="77"/>
      <c r="B41" s="77"/>
      <c r="C41" s="77"/>
      <c r="D41" s="77"/>
      <c r="E41" s="77"/>
      <c r="F41" s="77"/>
      <c r="G41" s="77"/>
      <c r="H41" s="77"/>
    </row>
    <row r="42" spans="1:8" ht="17.5">
      <c r="A42" s="79"/>
      <c r="B42" s="79"/>
      <c r="C42" s="79"/>
      <c r="D42" s="79"/>
      <c r="E42" s="79"/>
      <c r="F42" s="79"/>
      <c r="G42" s="79"/>
      <c r="H42" s="79"/>
    </row>
    <row r="43" spans="1:8" ht="17.5">
      <c r="A43" s="77"/>
      <c r="B43" s="77"/>
      <c r="C43" s="77"/>
      <c r="D43" s="77"/>
      <c r="E43" s="77"/>
      <c r="F43" s="77"/>
      <c r="G43" s="77"/>
      <c r="H43" s="77"/>
    </row>
    <row r="44" spans="1:8" ht="17.5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>Кубок России по самбо среди женщин(ЕКП№1801).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21-25 ноября 2022 года                          г.Кстово, Нижегородская обл.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 80  кг.</v>
      </c>
      <c r="G4" s="50"/>
      <c r="H4" s="50"/>
      <c r="I4" s="50"/>
      <c r="J4" s="50"/>
      <c r="K4" s="50"/>
      <c r="L4" s="49"/>
      <c r="M4" s="49"/>
    </row>
    <row r="5" spans="1:36" ht="16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>ШУВАЛОВА Марина Николаевна</v>
      </c>
      <c r="C6" s="258" t="str">
        <f>VLOOKUP(A6,пр.взв!B6:H14,3,FALSE)</f>
        <v>14.10.2000, КМС</v>
      </c>
      <c r="D6" s="258" t="str">
        <f>VLOOKUP(A6,пр.взв!B6:H14,5,FALSE)</f>
        <v xml:space="preserve"> Нижегородская обл. Нижний Новгород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>МАТВЕЕВА Анастасия Владимировна</v>
      </c>
      <c r="C8" s="271" t="str">
        <f>VLOOKUP(A8,пр.взв!B6:H14,3,FALSE)</f>
        <v>16.04.2000, МС</v>
      </c>
      <c r="D8" s="271" t="str">
        <f>VLOOKUP(A8,пр.взв!B6:H14,5,FALSE)</f>
        <v xml:space="preserve"> Оренбургская обл. Бузулук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02.06.2000, КМС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 t="str">
        <f>VLOOKUP('стартвый '!A12:A13,пр.взв!B12:C14,2,FALSE)</f>
        <v>ПЛЮСНИНА Екатерина Владиславовна</v>
      </c>
      <c r="C12" s="271" t="str">
        <f>VLOOKUP(A12,пр.взв!B6:H14,3,FALSE)</f>
        <v>06.04.1997, КМС</v>
      </c>
      <c r="D12" s="271" t="str">
        <f>VLOOKUP(A12,пр.взв!B10:H14,5,FALSE)</f>
        <v xml:space="preserve"> г. Москва Москва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" thickBot="1">
      <c r="A17" s="257">
        <v>2</v>
      </c>
      <c r="B17" s="287" t="str">
        <f>VLOOKUP(A17,пр.взв!B7:H14,2,FALSE)</f>
        <v>ПОСЫЛКИНА Олеся Юрьевна</v>
      </c>
      <c r="C17" s="258" t="str">
        <f>VLOOKUP(A17,пр.взв!B7:H14,3,FALSE)</f>
        <v>01.01.1999, МС</v>
      </c>
      <c r="D17" s="258" t="str">
        <f>VLOOKUP(A17,пр.взв!B7:H14,5,FALSE)</f>
        <v xml:space="preserve"> Свердловская обл. Екатеринбург</v>
      </c>
      <c r="E17" s="17"/>
      <c r="F17" s="17"/>
      <c r="G17" s="17"/>
      <c r="H17" s="17"/>
      <c r="I17" s="32"/>
      <c r="J17" s="3"/>
    </row>
    <row r="18" spans="1:12" ht="13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" thickBot="1">
      <c r="A19" s="253">
        <v>6</v>
      </c>
      <c r="B19" s="275" t="str">
        <f>VLOOKUP('стартвый '!A19:A20,пр.взв!B7:H14,2,FALSE)</f>
        <v>БАЛАШОВА Анна Викторовна</v>
      </c>
      <c r="C19" s="271" t="str">
        <f>VLOOKUP(A19,пр.взв!B7:H14,3,FALSE)</f>
        <v>18.11.1983, ЗМС</v>
      </c>
      <c r="D19" s="271" t="str">
        <f>VLOOKUP(A19,пр.взв!B7:H14,5,FALSE)</f>
        <v xml:space="preserve"> Свердловская обл. Верхняя Пышма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" thickBot="1">
      <c r="A21" s="257">
        <v>4</v>
      </c>
      <c r="B21" s="287" t="str">
        <f>VLOOKUP('стартвый '!A21:A22,пр.взв!B7:H14,2,FALSE)</f>
        <v>КОЗЫРЕВА Яна Александровна</v>
      </c>
      <c r="C21" s="258" t="str">
        <f>VLOOKUP(A21,пр.взв!B7:H14,3,FALSE)</f>
        <v>05.11.2001, КМС</v>
      </c>
      <c r="D21" s="258" t="e">
        <f>VLOOKUP(A21,пр.взв!B11:H14,5,FALSE)</f>
        <v>#N/A</v>
      </c>
      <c r="E21" s="17"/>
      <c r="F21" s="21"/>
      <c r="G21" s="18"/>
      <c r="H21" s="3"/>
    </row>
    <row r="22" spans="1:12" ht="13">
      <c r="A22" s="254"/>
      <c r="B22" s="288"/>
      <c r="C22" s="286"/>
      <c r="D22" s="286"/>
      <c r="E22" s="19"/>
      <c r="F22" s="22"/>
      <c r="G22" s="23"/>
      <c r="H22" s="21"/>
    </row>
    <row r="23" spans="1:12" ht="13" thickBot="1">
      <c r="A23" s="253">
        <v>8</v>
      </c>
      <c r="B23" s="275" t="e">
        <f>VLOOKUP('стартвый '!A23:A24,пр.взв!B7:H14,2,FALSE)</f>
        <v>#N/A</v>
      </c>
      <c r="C23" s="271" t="e">
        <f>VLOOKUP(A23,пр.взв!B7:H14,3,FALSE)</f>
        <v>#N/A</v>
      </c>
      <c r="D23" s="271" t="e">
        <f>VLOOKUP(A23,пр.взв!B11:H14,5,FALSE)</f>
        <v>#N/A</v>
      </c>
      <c r="E23" s="18"/>
      <c r="F23" s="17"/>
      <c r="G23" s="24"/>
      <c r="H23" s="21"/>
    </row>
    <row r="24" spans="1:12" ht="13" thickBot="1">
      <c r="A24" s="277"/>
      <c r="B24" s="462"/>
      <c r="C24" s="259"/>
      <c r="D24" s="259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 ht="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Болотский Р.М.</v>
      </c>
      <c r="J38" s="3"/>
      <c r="K38" s="14" t="str">
        <f>пр.хода!R31</f>
        <v>/г.Москва/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Зарипов А.А.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2018-11-25T03:31:09Z</cp:lastPrinted>
  <dcterms:created xsi:type="dcterms:W3CDTF">1996-10-08T23:32:33Z</dcterms:created>
  <dcterms:modified xsi:type="dcterms:W3CDTF">2022-11-21T16:17:54Z</dcterms:modified>
</cp:coreProperties>
</file>