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24519"/>
</workbook>
</file>

<file path=xl/calcChain.xml><?xml version="1.0" encoding="utf-8"?>
<calcChain xmlns="http://schemas.openxmlformats.org/spreadsheetml/2006/main">
  <c r="A2" i="6"/>
  <c r="A1"/>
  <c r="B3" i="1"/>
  <c r="D2"/>
  <c r="F43" i="3"/>
  <c r="F42"/>
  <c r="F41"/>
  <c r="F40"/>
  <c r="A42"/>
  <c r="A40"/>
  <c r="F4"/>
  <c r="C3"/>
  <c r="A3" i="2"/>
  <c r="A2"/>
  <c r="L104" i="7" l="1"/>
  <c r="B104"/>
  <c r="E2"/>
  <c r="O2" s="1"/>
  <c r="L2" l="1"/>
  <c r="L38" s="1"/>
  <c r="L58" s="1"/>
  <c r="L70" s="1"/>
  <c r="L78" s="1"/>
  <c r="B38"/>
  <c r="B58" s="1"/>
  <c r="B70" s="1"/>
  <c r="B78" s="1"/>
  <c r="L91" l="1"/>
  <c r="B91"/>
  <c r="K35" i="4"/>
  <c r="J35"/>
  <c r="I35"/>
  <c r="D35"/>
  <c r="C35"/>
  <c r="B35"/>
  <c r="K33"/>
  <c r="J33"/>
  <c r="I33"/>
  <c r="D33"/>
  <c r="C33"/>
  <c r="B33"/>
  <c r="K31"/>
  <c r="J31"/>
  <c r="I31"/>
  <c r="D31"/>
  <c r="C31"/>
  <c r="B31"/>
  <c r="K29"/>
  <c r="J29"/>
  <c r="I29"/>
  <c r="D29"/>
  <c r="C29"/>
  <c r="B29"/>
  <c r="K27"/>
  <c r="J27"/>
  <c r="I27"/>
  <c r="D27"/>
  <c r="C27"/>
  <c r="B27"/>
  <c r="K25"/>
  <c r="J25"/>
  <c r="I25"/>
  <c r="D25"/>
  <c r="C25"/>
  <c r="B25"/>
  <c r="K23"/>
  <c r="J23"/>
  <c r="I23"/>
  <c r="D23"/>
  <c r="C23"/>
  <c r="B23"/>
  <c r="K21"/>
  <c r="J21"/>
  <c r="I21"/>
  <c r="D21"/>
  <c r="C21"/>
  <c r="B21"/>
  <c r="K19"/>
  <c r="J19"/>
  <c r="I19"/>
  <c r="D19"/>
  <c r="C19"/>
  <c r="B19"/>
  <c r="K17"/>
  <c r="J17"/>
  <c r="I17"/>
  <c r="D17"/>
  <c r="C17"/>
  <c r="B17"/>
  <c r="K15"/>
  <c r="J15"/>
  <c r="I15"/>
  <c r="D15"/>
  <c r="C15"/>
  <c r="B15"/>
  <c r="K13"/>
  <c r="J13"/>
  <c r="I13"/>
  <c r="D13"/>
  <c r="C13"/>
  <c r="B13"/>
  <c r="K11"/>
  <c r="J11"/>
  <c r="I11"/>
  <c r="D11"/>
  <c r="C11"/>
  <c r="B11"/>
  <c r="K9"/>
  <c r="J9"/>
  <c r="I9"/>
  <c r="D9"/>
  <c r="C9"/>
  <c r="B9"/>
  <c r="K7"/>
  <c r="J7"/>
  <c r="I7"/>
  <c r="D7"/>
  <c r="C7"/>
  <c r="B7"/>
  <c r="K5"/>
  <c r="J5"/>
  <c r="I5"/>
  <c r="D5"/>
  <c r="C5"/>
  <c r="B5"/>
  <c r="J3"/>
  <c r="C3"/>
  <c r="J28" i="6"/>
  <c r="A28" s="1"/>
  <c r="J21"/>
  <c r="B21" s="1"/>
  <c r="J16"/>
  <c r="H16" s="1"/>
  <c r="J6"/>
  <c r="E8" s="1"/>
  <c r="D4"/>
  <c r="T12" i="1"/>
  <c r="B6"/>
  <c r="F6" s="1"/>
  <c r="J4" s="1"/>
  <c r="H3"/>
  <c r="B34" i="5"/>
  <c r="F34" s="1"/>
  <c r="B32"/>
  <c r="F32" s="1"/>
  <c r="E29"/>
  <c r="B19"/>
  <c r="F19" s="1"/>
  <c r="B7"/>
  <c r="F7" s="1"/>
  <c r="E2"/>
  <c r="E16" s="1"/>
  <c r="L111" i="7"/>
  <c r="N111" s="1"/>
  <c r="B111"/>
  <c r="E111" s="1"/>
  <c r="L109"/>
  <c r="P109" s="1"/>
  <c r="B109"/>
  <c r="F109" s="1"/>
  <c r="L100"/>
  <c r="M100" s="1"/>
  <c r="B100"/>
  <c r="E100" s="1"/>
  <c r="L96"/>
  <c r="P96" s="1"/>
  <c r="B96"/>
  <c r="F96" s="1"/>
  <c r="G80"/>
  <c r="G93" s="1"/>
  <c r="G106" s="1"/>
  <c r="L76"/>
  <c r="O76" s="1"/>
  <c r="B76"/>
  <c r="F76" s="1"/>
  <c r="L74"/>
  <c r="P74" s="1"/>
  <c r="B74"/>
  <c r="F74" s="1"/>
  <c r="L68"/>
  <c r="P68" s="1"/>
  <c r="B68"/>
  <c r="F68" s="1"/>
  <c r="L66"/>
  <c r="O66" s="1"/>
  <c r="B66"/>
  <c r="D66" s="1"/>
  <c r="L64"/>
  <c r="O64" s="1"/>
  <c r="B64"/>
  <c r="F64" s="1"/>
  <c r="L62"/>
  <c r="P62" s="1"/>
  <c r="B62"/>
  <c r="F62" s="1"/>
  <c r="L56"/>
  <c r="P56" s="1"/>
  <c r="B56"/>
  <c r="F56" s="1"/>
  <c r="L54"/>
  <c r="O54" s="1"/>
  <c r="B54"/>
  <c r="D54" s="1"/>
  <c r="L52"/>
  <c r="O52" s="1"/>
  <c r="B52"/>
  <c r="F52" s="1"/>
  <c r="L50"/>
  <c r="P50" s="1"/>
  <c r="B50"/>
  <c r="F50" s="1"/>
  <c r="L48"/>
  <c r="P48" s="1"/>
  <c r="B48"/>
  <c r="C48" s="1"/>
  <c r="L46"/>
  <c r="O46" s="1"/>
  <c r="B46"/>
  <c r="D46" s="1"/>
  <c r="L44"/>
  <c r="O44" s="1"/>
  <c r="B44"/>
  <c r="F44" s="1"/>
  <c r="L42"/>
  <c r="P42" s="1"/>
  <c r="B42"/>
  <c r="F42" s="1"/>
  <c r="G39"/>
  <c r="Q39" s="1"/>
  <c r="P36"/>
  <c r="O36"/>
  <c r="N36"/>
  <c r="M36"/>
  <c r="F36"/>
  <c r="E36"/>
  <c r="D36"/>
  <c r="C36"/>
  <c r="P34"/>
  <c r="O34"/>
  <c r="N34"/>
  <c r="M34"/>
  <c r="F34"/>
  <c r="E34"/>
  <c r="D34"/>
  <c r="C34"/>
  <c r="P32"/>
  <c r="O32"/>
  <c r="N32"/>
  <c r="M32"/>
  <c r="F32"/>
  <c r="E32"/>
  <c r="D32"/>
  <c r="C32"/>
  <c r="P30"/>
  <c r="O30"/>
  <c r="N30"/>
  <c r="M30"/>
  <c r="F30"/>
  <c r="E30"/>
  <c r="D30"/>
  <c r="C30"/>
  <c r="P28"/>
  <c r="O28"/>
  <c r="N28"/>
  <c r="M28"/>
  <c r="F28"/>
  <c r="E28"/>
  <c r="D28"/>
  <c r="C28"/>
  <c r="P26"/>
  <c r="O26"/>
  <c r="N26"/>
  <c r="M26"/>
  <c r="F26"/>
  <c r="E26"/>
  <c r="D26"/>
  <c r="C26"/>
  <c r="P24"/>
  <c r="O24"/>
  <c r="N24"/>
  <c r="M24"/>
  <c r="F24"/>
  <c r="E24"/>
  <c r="D24"/>
  <c r="C24"/>
  <c r="P22"/>
  <c r="O22"/>
  <c r="N22"/>
  <c r="M22"/>
  <c r="F22"/>
  <c r="E22"/>
  <c r="D22"/>
  <c r="C22"/>
  <c r="P20"/>
  <c r="O20"/>
  <c r="N20"/>
  <c r="M20"/>
  <c r="F20"/>
  <c r="E20"/>
  <c r="D20"/>
  <c r="C20"/>
  <c r="P18"/>
  <c r="O18"/>
  <c r="N18"/>
  <c r="M18"/>
  <c r="F18"/>
  <c r="E18"/>
  <c r="D18"/>
  <c r="C18"/>
  <c r="P16"/>
  <c r="O16"/>
  <c r="N16"/>
  <c r="M16"/>
  <c r="F16"/>
  <c r="E16"/>
  <c r="D16"/>
  <c r="C16"/>
  <c r="P14"/>
  <c r="O14"/>
  <c r="N14"/>
  <c r="M14"/>
  <c r="F14"/>
  <c r="E14"/>
  <c r="D14"/>
  <c r="C14"/>
  <c r="P12"/>
  <c r="O12"/>
  <c r="N12"/>
  <c r="M12"/>
  <c r="F12"/>
  <c r="E12"/>
  <c r="D12"/>
  <c r="C12"/>
  <c r="P10"/>
  <c r="O10"/>
  <c r="N10"/>
  <c r="M10"/>
  <c r="F10"/>
  <c r="E10"/>
  <c r="D10"/>
  <c r="C10"/>
  <c r="P8"/>
  <c r="O8"/>
  <c r="N8"/>
  <c r="M8"/>
  <c r="F8"/>
  <c r="E8"/>
  <c r="D8"/>
  <c r="C8"/>
  <c r="P6"/>
  <c r="O6"/>
  <c r="N6"/>
  <c r="M6"/>
  <c r="F6"/>
  <c r="E6"/>
  <c r="D6"/>
  <c r="C6"/>
  <c r="G39" i="1"/>
  <c r="E39"/>
  <c r="A39"/>
  <c r="G38"/>
  <c r="E38"/>
  <c r="A38"/>
  <c r="P39" i="3"/>
  <c r="Q40" s="1"/>
  <c r="W37"/>
  <c r="V37"/>
  <c r="U37"/>
  <c r="D37"/>
  <c r="C37"/>
  <c r="B37"/>
  <c r="W35"/>
  <c r="V35"/>
  <c r="U35"/>
  <c r="D35"/>
  <c r="C35"/>
  <c r="B35"/>
  <c r="W33"/>
  <c r="V33"/>
  <c r="U33"/>
  <c r="D33"/>
  <c r="C33"/>
  <c r="B33"/>
  <c r="W31"/>
  <c r="V31"/>
  <c r="U31"/>
  <c r="D31"/>
  <c r="C31"/>
  <c r="B31"/>
  <c r="AA29"/>
  <c r="W29"/>
  <c r="V29"/>
  <c r="U29"/>
  <c r="D29"/>
  <c r="C29"/>
  <c r="B29"/>
  <c r="AA28"/>
  <c r="AC27"/>
  <c r="B25" i="1" s="1"/>
  <c r="F25" s="1"/>
  <c r="AA27" i="3"/>
  <c r="W27"/>
  <c r="V27"/>
  <c r="U27"/>
  <c r="D27"/>
  <c r="C27"/>
  <c r="B27"/>
  <c r="AE26"/>
  <c r="N41" s="1"/>
  <c r="AD21" s="1"/>
  <c r="B11" i="1" s="1"/>
  <c r="F11" s="1"/>
  <c r="J16" s="1"/>
  <c r="AA26" i="3"/>
  <c r="AE25"/>
  <c r="L40" s="1"/>
  <c r="W25"/>
  <c r="V25"/>
  <c r="U25"/>
  <c r="D25"/>
  <c r="C25"/>
  <c r="B25"/>
  <c r="AE24"/>
  <c r="L36" s="1"/>
  <c r="AA24"/>
  <c r="AE23"/>
  <c r="K39" s="1"/>
  <c r="L89" i="7" s="1"/>
  <c r="AA23" i="3"/>
  <c r="W23"/>
  <c r="V23"/>
  <c r="U23"/>
  <c r="D23"/>
  <c r="C23"/>
  <c r="B23"/>
  <c r="AE22"/>
  <c r="K37" s="1"/>
  <c r="AC22"/>
  <c r="B23" i="1" s="1"/>
  <c r="H23" s="1"/>
  <c r="AA22" i="3"/>
  <c r="AE21"/>
  <c r="K35" s="1"/>
  <c r="L85" i="7" s="1"/>
  <c r="AA21" i="3"/>
  <c r="W21"/>
  <c r="V21"/>
  <c r="U21"/>
  <c r="D21"/>
  <c r="C21"/>
  <c r="B21"/>
  <c r="AE20"/>
  <c r="K33" s="1"/>
  <c r="AA19"/>
  <c r="W19"/>
  <c r="V19"/>
  <c r="U19"/>
  <c r="D19"/>
  <c r="C19"/>
  <c r="B19"/>
  <c r="AD18"/>
  <c r="B13" i="1" s="1"/>
  <c r="F13" s="1"/>
  <c r="AA18" i="3"/>
  <c r="K18"/>
  <c r="AD17"/>
  <c r="B12" i="1" s="1"/>
  <c r="F12" s="1"/>
  <c r="AC17" i="3"/>
  <c r="B24" i="1" s="1"/>
  <c r="F24" s="1"/>
  <c r="AA17" i="3"/>
  <c r="W17"/>
  <c r="V17"/>
  <c r="U17"/>
  <c r="D17"/>
  <c r="C17"/>
  <c r="B17"/>
  <c r="AA16"/>
  <c r="W15"/>
  <c r="V15"/>
  <c r="U15"/>
  <c r="D15"/>
  <c r="C15"/>
  <c r="B15"/>
  <c r="AE14"/>
  <c r="K25" s="1"/>
  <c r="J11" i="6" s="1"/>
  <c r="AA14" i="3"/>
  <c r="AE13"/>
  <c r="N13" s="1"/>
  <c r="AA13"/>
  <c r="W13"/>
  <c r="V13"/>
  <c r="U13"/>
  <c r="D13"/>
  <c r="C13"/>
  <c r="B13"/>
  <c r="AE12"/>
  <c r="L12" s="1"/>
  <c r="AD13" s="1"/>
  <c r="B15" i="1" s="1"/>
  <c r="H15" s="1"/>
  <c r="AC12" i="3"/>
  <c r="B22" i="1" s="1"/>
  <c r="F22" s="1"/>
  <c r="AA12" i="3"/>
  <c r="AE11"/>
  <c r="L8" s="1"/>
  <c r="AD12" s="1"/>
  <c r="B14" i="1" s="1"/>
  <c r="F14" s="1"/>
  <c r="AA11" i="3"/>
  <c r="W11"/>
  <c r="V11"/>
  <c r="U11"/>
  <c r="D11"/>
  <c r="C11"/>
  <c r="B11"/>
  <c r="AE10"/>
  <c r="K11" s="1"/>
  <c r="B89" i="7" s="1"/>
  <c r="AE9" i="3"/>
  <c r="W9"/>
  <c r="V9"/>
  <c r="U9"/>
  <c r="K9"/>
  <c r="B87" i="7" s="1"/>
  <c r="D9" i="3"/>
  <c r="C9"/>
  <c r="B9"/>
  <c r="AE8"/>
  <c r="K7" s="1"/>
  <c r="B85" i="7" s="1"/>
  <c r="AE7" i="3"/>
  <c r="K5" s="1"/>
  <c r="W7"/>
  <c r="V7"/>
  <c r="U7"/>
  <c r="D7"/>
  <c r="C7"/>
  <c r="B7"/>
  <c r="O6"/>
  <c r="B8" i="1" s="1"/>
  <c r="F8" s="1"/>
  <c r="J10" s="1"/>
  <c r="V4" i="3"/>
  <c r="L38" i="2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A1" i="5"/>
  <c r="E18" i="6" l="1"/>
  <c r="E32" i="5"/>
  <c r="B18" i="6"/>
  <c r="AB18" i="3"/>
  <c r="B32" i="1" s="1"/>
  <c r="G32" s="1"/>
  <c r="C32" i="5"/>
  <c r="H6" i="6"/>
  <c r="L87" i="7"/>
  <c r="AD10" i="3"/>
  <c r="B21" i="1" s="1"/>
  <c r="E21" s="1"/>
  <c r="AB28" i="3"/>
  <c r="B33" i="1" s="1"/>
  <c r="F33" s="1"/>
  <c r="AB23" i="3"/>
  <c r="B31" i="1" s="1"/>
  <c r="F31" s="1"/>
  <c r="AB21" i="3"/>
  <c r="B27" i="1" s="1"/>
  <c r="H27" s="1"/>
  <c r="C7" i="5"/>
  <c r="D7"/>
  <c r="E7"/>
  <c r="B83" i="7"/>
  <c r="AD7" i="3"/>
  <c r="B18" i="1" s="1"/>
  <c r="E18" s="1"/>
  <c r="AB16" i="3"/>
  <c r="B28" i="1" s="1"/>
  <c r="G28" s="1"/>
  <c r="AB17" i="3"/>
  <c r="B36" i="1" s="1"/>
  <c r="G36" s="1"/>
  <c r="AB12" i="3"/>
  <c r="B34" i="1" s="1"/>
  <c r="E34" s="1"/>
  <c r="AB11" i="3"/>
  <c r="B26" i="1" s="1"/>
  <c r="E26" s="1"/>
  <c r="AB13" i="3"/>
  <c r="B30" i="1" s="1"/>
  <c r="E30" s="1"/>
  <c r="N64" i="7"/>
  <c r="E50"/>
  <c r="P44"/>
  <c r="N44"/>
  <c r="N54"/>
  <c r="O100"/>
  <c r="C42"/>
  <c r="N46"/>
  <c r="C52"/>
  <c r="N52"/>
  <c r="C62"/>
  <c r="M96"/>
  <c r="P52"/>
  <c r="N96"/>
  <c r="C111"/>
  <c r="O96"/>
  <c r="P46"/>
  <c r="E42"/>
  <c r="C54"/>
  <c r="E62"/>
  <c r="N66"/>
  <c r="C76"/>
  <c r="P66"/>
  <c r="D76"/>
  <c r="P54"/>
  <c r="C68"/>
  <c r="D111"/>
  <c r="E76"/>
  <c r="M44"/>
  <c r="M52"/>
  <c r="M64"/>
  <c r="N100"/>
  <c r="F111"/>
  <c r="C50"/>
  <c r="P100"/>
  <c r="C44"/>
  <c r="C46"/>
  <c r="D48"/>
  <c r="C56"/>
  <c r="P64"/>
  <c r="E74"/>
  <c r="N76"/>
  <c r="D44"/>
  <c r="E46"/>
  <c r="E48"/>
  <c r="D56"/>
  <c r="P76"/>
  <c r="D100"/>
  <c r="E44"/>
  <c r="F46"/>
  <c r="F48"/>
  <c r="D52"/>
  <c r="E54"/>
  <c r="E56"/>
  <c r="C64"/>
  <c r="C66"/>
  <c r="D68"/>
  <c r="F100"/>
  <c r="M109"/>
  <c r="M111"/>
  <c r="C74"/>
  <c r="M76"/>
  <c r="E52"/>
  <c r="F54"/>
  <c r="D64"/>
  <c r="E66"/>
  <c r="E68"/>
  <c r="N109"/>
  <c r="O111"/>
  <c r="E64"/>
  <c r="F66"/>
  <c r="O109"/>
  <c r="P111"/>
  <c r="M7" i="2" a="1"/>
  <c r="M7" s="1"/>
  <c r="M8" s="1" a="1"/>
  <c r="M8" s="1"/>
  <c r="P8" s="1"/>
  <c r="N7" a="1"/>
  <c r="N7" s="1"/>
  <c r="Q6" s="1"/>
  <c r="Z6" s="1"/>
  <c r="B9" i="5"/>
  <c r="AD20" i="3"/>
  <c r="B10" i="1" s="1"/>
  <c r="F10" s="1"/>
  <c r="J14" s="1"/>
  <c r="Q8" s="1"/>
  <c r="P85" i="7"/>
  <c r="O85"/>
  <c r="N85"/>
  <c r="M85"/>
  <c r="D85"/>
  <c r="C85"/>
  <c r="F85"/>
  <c r="E85"/>
  <c r="H11" i="6"/>
  <c r="B11"/>
  <c r="E13"/>
  <c r="B13"/>
  <c r="F89" i="7"/>
  <c r="E89"/>
  <c r="D89"/>
  <c r="C89"/>
  <c r="M89"/>
  <c r="P89"/>
  <c r="O89"/>
  <c r="N89"/>
  <c r="F83"/>
  <c r="E83"/>
  <c r="D83"/>
  <c r="C83"/>
  <c r="F87"/>
  <c r="E87"/>
  <c r="D87"/>
  <c r="C87"/>
  <c r="AD9" i="3"/>
  <c r="B20" i="1" s="1"/>
  <c r="G20" s="1"/>
  <c r="L83" i="7"/>
  <c r="AD14" i="3"/>
  <c r="B16" i="1" s="1"/>
  <c r="F16" s="1"/>
  <c r="L98" i="7"/>
  <c r="L102"/>
  <c r="AD15" i="3"/>
  <c r="B17" i="1" s="1"/>
  <c r="F17" s="1"/>
  <c r="O87" i="7"/>
  <c r="N87"/>
  <c r="M87"/>
  <c r="P87"/>
  <c r="H33" i="1"/>
  <c r="E33"/>
  <c r="P5" i="3"/>
  <c r="K26"/>
  <c r="D42" i="7"/>
  <c r="M46"/>
  <c r="D50"/>
  <c r="M54"/>
  <c r="D62"/>
  <c r="M66"/>
  <c r="D74"/>
  <c r="C100"/>
  <c r="B21" i="5"/>
  <c r="D32"/>
  <c r="B6" i="6"/>
  <c r="H21"/>
  <c r="B102" i="7"/>
  <c r="AB22" i="3"/>
  <c r="B35" i="1" s="1"/>
  <c r="F35" s="1"/>
  <c r="AB26" i="3"/>
  <c r="B29" i="1" s="1"/>
  <c r="H29" s="1"/>
  <c r="M48" i="7"/>
  <c r="M56"/>
  <c r="M68"/>
  <c r="B16" i="6"/>
  <c r="B23"/>
  <c r="AB27" i="3"/>
  <c r="B37" i="1" s="1"/>
  <c r="H37" s="1"/>
  <c r="N48" i="7"/>
  <c r="N56"/>
  <c r="N68"/>
  <c r="B8" i="6"/>
  <c r="E23"/>
  <c r="AD8" i="3"/>
  <c r="B19" i="1" s="1"/>
  <c r="F19" s="1"/>
  <c r="M42" i="7"/>
  <c r="O48"/>
  <c r="M50"/>
  <c r="O56"/>
  <c r="M62"/>
  <c r="O68"/>
  <c r="M74"/>
  <c r="C96"/>
  <c r="C109"/>
  <c r="C19" i="5"/>
  <c r="C34"/>
  <c r="B7" i="1"/>
  <c r="F7" s="1"/>
  <c r="J8" s="1"/>
  <c r="O11" s="1"/>
  <c r="N42" i="7"/>
  <c r="N50"/>
  <c r="N62"/>
  <c r="N74"/>
  <c r="D96"/>
  <c r="B98"/>
  <c r="D109"/>
  <c r="D19" i="5"/>
  <c r="D34"/>
  <c r="O42" i="7"/>
  <c r="O50"/>
  <c r="O62"/>
  <c r="O74"/>
  <c r="E96"/>
  <c r="E109"/>
  <c r="E19" i="5"/>
  <c r="E34"/>
  <c r="B9" i="1"/>
  <c r="F9" s="1"/>
  <c r="J12" s="1"/>
  <c r="P8" s="1"/>
  <c r="G71" i="7"/>
  <c r="Q80"/>
  <c r="Q93" s="1"/>
  <c r="Q106" s="1"/>
  <c r="D22" i="1"/>
  <c r="E8"/>
  <c r="E14"/>
  <c r="C22"/>
  <c r="E15"/>
  <c r="D12"/>
  <c r="H22"/>
  <c r="H12"/>
  <c r="C12"/>
  <c r="E12"/>
  <c r="G25"/>
  <c r="H13"/>
  <c r="C6"/>
  <c r="H6"/>
  <c r="H11"/>
  <c r="G14"/>
  <c r="D28"/>
  <c r="D6"/>
  <c r="C8"/>
  <c r="H8"/>
  <c r="D11"/>
  <c r="G12"/>
  <c r="D13"/>
  <c r="C14"/>
  <c r="H14"/>
  <c r="E22"/>
  <c r="E23"/>
  <c r="C25"/>
  <c r="E28"/>
  <c r="D32"/>
  <c r="G6"/>
  <c r="G11"/>
  <c r="G8"/>
  <c r="C11"/>
  <c r="C13"/>
  <c r="H25"/>
  <c r="E6"/>
  <c r="D8"/>
  <c r="E11"/>
  <c r="G13"/>
  <c r="D14"/>
  <c r="G22"/>
  <c r="D25"/>
  <c r="H28"/>
  <c r="E32"/>
  <c r="N17"/>
  <c r="N16"/>
  <c r="N15"/>
  <c r="N14"/>
  <c r="N12"/>
  <c r="N11"/>
  <c r="N10"/>
  <c r="N9"/>
  <c r="N8"/>
  <c r="N13"/>
  <c r="T6"/>
  <c r="N6"/>
  <c r="N7"/>
  <c r="E24"/>
  <c r="H24"/>
  <c r="D24"/>
  <c r="G24"/>
  <c r="C24"/>
  <c r="F27"/>
  <c r="E27"/>
  <c r="D27"/>
  <c r="P9"/>
  <c r="G27"/>
  <c r="E16"/>
  <c r="F15"/>
  <c r="F23"/>
  <c r="E13"/>
  <c r="C15"/>
  <c r="G15"/>
  <c r="D20"/>
  <c r="C23"/>
  <c r="G23"/>
  <c r="E25"/>
  <c r="H32"/>
  <c r="D15"/>
  <c r="H20"/>
  <c r="D23"/>
  <c r="C30"/>
  <c r="G30"/>
  <c r="F30"/>
  <c r="F28"/>
  <c r="C29"/>
  <c r="D30"/>
  <c r="H30"/>
  <c r="F32"/>
  <c r="D37"/>
  <c r="C28"/>
  <c r="C32"/>
  <c r="D33"/>
  <c r="G18"/>
  <c r="D18"/>
  <c r="C20" l="1"/>
  <c r="E20"/>
  <c r="G9"/>
  <c r="E29"/>
  <c r="C9"/>
  <c r="D31"/>
  <c r="G31"/>
  <c r="E31"/>
  <c r="H18"/>
  <c r="D9"/>
  <c r="E9"/>
  <c r="C18"/>
  <c r="F18"/>
  <c r="F36"/>
  <c r="D36"/>
  <c r="G33"/>
  <c r="C33"/>
  <c r="H31"/>
  <c r="C31"/>
  <c r="C26"/>
  <c r="F34"/>
  <c r="F26"/>
  <c r="H34"/>
  <c r="D26"/>
  <c r="G26"/>
  <c r="D34"/>
  <c r="G34"/>
  <c r="H26"/>
  <c r="C34"/>
  <c r="C7"/>
  <c r="H9"/>
  <c r="F21"/>
  <c r="C17"/>
  <c r="G17"/>
  <c r="H16"/>
  <c r="D16"/>
  <c r="C21"/>
  <c r="H21"/>
  <c r="D17"/>
  <c r="E17"/>
  <c r="D29"/>
  <c r="G29"/>
  <c r="E37"/>
  <c r="H7"/>
  <c r="O8"/>
  <c r="D7"/>
  <c r="O12"/>
  <c r="E7"/>
  <c r="O14"/>
  <c r="O13"/>
  <c r="G7"/>
  <c r="G21"/>
  <c r="F29"/>
  <c r="D21"/>
  <c r="H17"/>
  <c r="G37"/>
  <c r="C37"/>
  <c r="F37"/>
  <c r="C27"/>
  <c r="F20"/>
  <c r="C16"/>
  <c r="G16"/>
  <c r="H35"/>
  <c r="G35"/>
  <c r="E35"/>
  <c r="Q12"/>
  <c r="Q9"/>
  <c r="Q16"/>
  <c r="Q10"/>
  <c r="Q6"/>
  <c r="Q14"/>
  <c r="Q7"/>
  <c r="Q15"/>
  <c r="E10"/>
  <c r="Q11"/>
  <c r="D10"/>
  <c r="Q17"/>
  <c r="G10"/>
  <c r="H10"/>
  <c r="C10"/>
  <c r="T7"/>
  <c r="U7" s="1"/>
  <c r="C36"/>
  <c r="H36"/>
  <c r="G19"/>
  <c r="C19"/>
  <c r="E36"/>
  <c r="E19"/>
  <c r="D19"/>
  <c r="T11"/>
  <c r="X11" s="1"/>
  <c r="T10"/>
  <c r="U10" s="1"/>
  <c r="P11"/>
  <c r="P7"/>
  <c r="V1"/>
  <c r="T2" s="1"/>
  <c r="P7" i="2"/>
  <c r="P12" i="1"/>
  <c r="P15"/>
  <c r="P10"/>
  <c r="P16"/>
  <c r="O17"/>
  <c r="P6"/>
  <c r="P14"/>
  <c r="Q13"/>
  <c r="O6"/>
  <c r="O15"/>
  <c r="T13"/>
  <c r="O7"/>
  <c r="O16"/>
  <c r="N8" i="2" a="1"/>
  <c r="N8" s="1"/>
  <c r="R6" s="1"/>
  <c r="AA6" s="1"/>
  <c r="T8" i="1"/>
  <c r="O10"/>
  <c r="O9"/>
  <c r="P17"/>
  <c r="T9"/>
  <c r="X9" s="1"/>
  <c r="P13"/>
  <c r="D35"/>
  <c r="C35"/>
  <c r="P83" i="7"/>
  <c r="O83"/>
  <c r="N83"/>
  <c r="M83"/>
  <c r="H19" i="1"/>
  <c r="F21" i="5"/>
  <c r="E21"/>
  <c r="D21"/>
  <c r="C21"/>
  <c r="M102" i="7"/>
  <c r="P102"/>
  <c r="O102"/>
  <c r="N102"/>
  <c r="D98"/>
  <c r="C98"/>
  <c r="F98"/>
  <c r="E98"/>
  <c r="F102"/>
  <c r="E102"/>
  <c r="D102"/>
  <c r="C102"/>
  <c r="P98"/>
  <c r="O98"/>
  <c r="N98"/>
  <c r="M98"/>
  <c r="D9" i="5"/>
  <c r="C9"/>
  <c r="F9"/>
  <c r="E9"/>
  <c r="Y8" i="2"/>
  <c r="Q8"/>
  <c r="Q71" i="7"/>
  <c r="Q59" s="1"/>
  <c r="G59"/>
  <c r="Q7" i="2"/>
  <c r="Z7" s="1"/>
  <c r="Y7"/>
  <c r="M9" a="1"/>
  <c r="M9" s="1"/>
  <c r="P9" s="1"/>
  <c r="N18" i="1"/>
  <c r="Z6"/>
  <c r="AB6" s="1"/>
  <c r="AD6" s="1"/>
  <c r="U6"/>
  <c r="X6"/>
  <c r="W6"/>
  <c r="V6"/>
  <c r="V7" l="1"/>
  <c r="U9"/>
  <c r="V11"/>
  <c r="Q18"/>
  <c r="U11"/>
  <c r="W11"/>
  <c r="W10"/>
  <c r="V10"/>
  <c r="Z11"/>
  <c r="X10"/>
  <c r="X7"/>
  <c r="W9"/>
  <c r="W7"/>
  <c r="V9"/>
  <c r="T1"/>
  <c r="P18"/>
  <c r="Z8"/>
  <c r="W8"/>
  <c r="Z7"/>
  <c r="V8"/>
  <c r="Z10"/>
  <c r="U8"/>
  <c r="Z9"/>
  <c r="X8"/>
  <c r="O18"/>
  <c r="N9" i="2" a="1"/>
  <c r="N9" s="1"/>
  <c r="S6" s="1"/>
  <c r="AB6" s="1"/>
  <c r="R8"/>
  <c r="AA8" s="1"/>
  <c r="R7"/>
  <c r="AA7" s="1"/>
  <c r="Z8"/>
  <c r="M10" a="1"/>
  <c r="M10" s="1"/>
  <c r="P10" s="1"/>
  <c r="Q9"/>
  <c r="R9"/>
  <c r="Y9"/>
  <c r="AA7" i="1"/>
  <c r="AF6"/>
  <c r="AG6"/>
  <c r="AE6"/>
  <c r="AH6"/>
  <c r="AK6"/>
  <c r="AB7" l="1"/>
  <c r="U18"/>
  <c r="V18"/>
  <c r="W18"/>
  <c r="X18"/>
  <c r="AB9"/>
  <c r="AB8"/>
  <c r="AB10"/>
  <c r="AB11"/>
  <c r="S9" i="2"/>
  <c r="AB9" s="1"/>
  <c r="S8"/>
  <c r="AB8" s="1"/>
  <c r="N10" a="1"/>
  <c r="N10" s="1"/>
  <c r="T6" s="1"/>
  <c r="S7"/>
  <c r="AB7" s="1"/>
  <c r="M11" a="1"/>
  <c r="M11" s="1"/>
  <c r="P11" s="1"/>
  <c r="Q11" s="1"/>
  <c r="Y10"/>
  <c r="S10"/>
  <c r="R10"/>
  <c r="Q10"/>
  <c r="Z9"/>
  <c r="AA9"/>
  <c r="AL6" i="1"/>
  <c r="AN6"/>
  <c r="AO6"/>
  <c r="AM6"/>
  <c r="AD8" l="1"/>
  <c r="AF8" s="1"/>
  <c r="AM8" s="1"/>
  <c r="AD7"/>
  <c r="AF7" s="1"/>
  <c r="AD9"/>
  <c r="AH9" s="1"/>
  <c r="AO9" s="1"/>
  <c r="AD11"/>
  <c r="AK11" s="1"/>
  <c r="AD10"/>
  <c r="AH10" s="1"/>
  <c r="AO10" s="1"/>
  <c r="T9" i="2"/>
  <c r="AC9" s="1"/>
  <c r="T10"/>
  <c r="AC10" s="1"/>
  <c r="T8"/>
  <c r="AC8" s="1"/>
  <c r="N11" a="1"/>
  <c r="N11" s="1"/>
  <c r="U6" s="1"/>
  <c r="U9" s="1"/>
  <c r="AD9" s="1"/>
  <c r="S11"/>
  <c r="M12" a="1"/>
  <c r="M12" s="1"/>
  <c r="P12" s="1"/>
  <c r="Y12" s="1"/>
  <c r="R11"/>
  <c r="T7"/>
  <c r="AC7" s="1"/>
  <c r="AC6"/>
  <c r="T11"/>
  <c r="Y11"/>
  <c r="Z11" s="1"/>
  <c r="AB10"/>
  <c r="AA10"/>
  <c r="Z10"/>
  <c r="AC11" l="1"/>
  <c r="AA11"/>
  <c r="AG8" i="1"/>
  <c r="AN8" s="1"/>
  <c r="AG11"/>
  <c r="AN11" s="1"/>
  <c r="AG7"/>
  <c r="AN7" s="1"/>
  <c r="AF11"/>
  <c r="AM11" s="1"/>
  <c r="AH8"/>
  <c r="AO8" s="1"/>
  <c r="AK8"/>
  <c r="AE8"/>
  <c r="AL8" s="1"/>
  <c r="AE10"/>
  <c r="AL10" s="1"/>
  <c r="AK9"/>
  <c r="AK7"/>
  <c r="AE9"/>
  <c r="AL9" s="1"/>
  <c r="AF9"/>
  <c r="AM9" s="1"/>
  <c r="AE7"/>
  <c r="AL7" s="1"/>
  <c r="AH7"/>
  <c r="AO7" s="1"/>
  <c r="AK10"/>
  <c r="AH11"/>
  <c r="AO11" s="1"/>
  <c r="AF10"/>
  <c r="AM10" s="1"/>
  <c r="AE11"/>
  <c r="AL11" s="1"/>
  <c r="AG9"/>
  <c r="AN9" s="1"/>
  <c r="AG10"/>
  <c r="AN10" s="1"/>
  <c r="AB11" i="2"/>
  <c r="U10"/>
  <c r="AD10" s="1"/>
  <c r="U11"/>
  <c r="AD11" s="1"/>
  <c r="AD6"/>
  <c r="N12" a="1"/>
  <c r="N12" s="1"/>
  <c r="V6" s="1"/>
  <c r="V11" s="1"/>
  <c r="AE11" s="1"/>
  <c r="U8"/>
  <c r="AD8" s="1"/>
  <c r="U7"/>
  <c r="AD7" s="1"/>
  <c r="Q12"/>
  <c r="Z12" s="1"/>
  <c r="U12"/>
  <c r="AD12" s="1"/>
  <c r="T12"/>
  <c r="AC12" s="1"/>
  <c r="R12"/>
  <c r="AA12" s="1"/>
  <c r="M13" a="1"/>
  <c r="M13" s="1"/>
  <c r="M14" s="1" a="1"/>
  <c r="M14" s="1"/>
  <c r="P14" s="1"/>
  <c r="S12"/>
  <c r="AB12" s="1"/>
  <c r="AM7" i="1"/>
  <c r="AL12" l="1"/>
  <c r="AE12"/>
  <c r="AH12"/>
  <c r="AG12"/>
  <c r="AN12"/>
  <c r="AF12"/>
  <c r="AM12"/>
  <c r="AO12"/>
  <c r="N13" i="2" a="1"/>
  <c r="N13" s="1"/>
  <c r="W6" s="1"/>
  <c r="AF6" s="1"/>
  <c r="AE6"/>
  <c r="V9"/>
  <c r="AE9" s="1"/>
  <c r="V10"/>
  <c r="AE10" s="1"/>
  <c r="V12"/>
  <c r="AE12" s="1"/>
  <c r="V7"/>
  <c r="AE7" s="1"/>
  <c r="V8"/>
  <c r="AE8" s="1"/>
  <c r="V14"/>
  <c r="AE14" s="1"/>
  <c r="R14"/>
  <c r="U14"/>
  <c r="AD14" s="1"/>
  <c r="S14"/>
  <c r="Q14"/>
  <c r="T14"/>
  <c r="Y14"/>
  <c r="M15" a="1"/>
  <c r="M15" s="1"/>
  <c r="P15" s="1"/>
  <c r="P13"/>
  <c r="T13" s="1"/>
  <c r="R13"/>
  <c r="Y13" l="1"/>
  <c r="Q13"/>
  <c r="N14" a="1"/>
  <c r="N14" s="1"/>
  <c r="N15" s="1" a="1"/>
  <c r="N15" s="1"/>
  <c r="W10"/>
  <c r="AF10" s="1"/>
  <c r="W9"/>
  <c r="AF9" s="1"/>
  <c r="W14"/>
  <c r="AF14" s="1"/>
  <c r="W8"/>
  <c r="AF8" s="1"/>
  <c r="W7"/>
  <c r="AF7" s="1"/>
  <c r="Z14"/>
  <c r="W12"/>
  <c r="AF12" s="1"/>
  <c r="U13"/>
  <c r="AD13" s="1"/>
  <c r="W11"/>
  <c r="AF11" s="1"/>
  <c r="M16" a="1"/>
  <c r="M16" s="1"/>
  <c r="M17" s="1" a="1"/>
  <c r="M17" s="1"/>
  <c r="V13"/>
  <c r="AE13" s="1"/>
  <c r="W13"/>
  <c r="AF13" s="1"/>
  <c r="S13"/>
  <c r="AB13" s="1"/>
  <c r="AA13"/>
  <c r="Z13"/>
  <c r="AC13"/>
  <c r="AA14"/>
  <c r="AB14"/>
  <c r="V15"/>
  <c r="AE15" s="1"/>
  <c r="R15"/>
  <c r="U15"/>
  <c r="AD15" s="1"/>
  <c r="Q15"/>
  <c r="Y15"/>
  <c r="T15"/>
  <c r="W15"/>
  <c r="AF15" s="1"/>
  <c r="S15"/>
  <c r="AC14"/>
  <c r="N16" l="1" a="1"/>
  <c r="N16" s="1"/>
  <c r="N17" s="1" a="1"/>
  <c r="N17" s="1"/>
  <c r="P16"/>
  <c r="Y16" s="1"/>
  <c r="P17"/>
  <c r="M18" a="1"/>
  <c r="M18" s="1"/>
  <c r="AA15"/>
  <c r="Z15"/>
  <c r="AC15"/>
  <c r="AB15"/>
  <c r="U16" l="1"/>
  <c r="AD16" s="1"/>
  <c r="Q16"/>
  <c r="Z16" s="1"/>
  <c r="R16"/>
  <c r="AA16" s="1"/>
  <c r="V16"/>
  <c r="AE16" s="1"/>
  <c r="S16"/>
  <c r="AB16" s="1"/>
  <c r="W16"/>
  <c r="AF16" s="1"/>
  <c r="T16"/>
  <c r="AC16" s="1"/>
  <c r="N18" a="1"/>
  <c r="N18" s="1"/>
  <c r="N19" s="1" a="1"/>
  <c r="N19" s="1"/>
  <c r="N20" s="1" a="1"/>
  <c r="N20" s="1"/>
  <c r="N21" s="1" a="1"/>
  <c r="N21" s="1"/>
  <c r="N22" s="1" a="1"/>
  <c r="N22" s="1"/>
  <c r="N23" s="1" a="1"/>
  <c r="N23" s="1"/>
  <c r="N24" s="1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P18"/>
  <c r="M19" a="1"/>
  <c r="M19" s="1"/>
  <c r="U17"/>
  <c r="AD17" s="1"/>
  <c r="Q17"/>
  <c r="Y17"/>
  <c r="S17"/>
  <c r="W17"/>
  <c r="AF17" s="1"/>
  <c r="R17"/>
  <c r="V17"/>
  <c r="AE17" s="1"/>
  <c r="T17"/>
  <c r="P19" l="1"/>
  <c r="M20" a="1"/>
  <c r="M20" s="1"/>
  <c r="Z17"/>
  <c r="AC17"/>
  <c r="AB17"/>
  <c r="AA17"/>
  <c r="W18"/>
  <c r="AF18" s="1"/>
  <c r="S18"/>
  <c r="V18"/>
  <c r="AE18" s="1"/>
  <c r="Q18"/>
  <c r="U18"/>
  <c r="AD18" s="1"/>
  <c r="T18"/>
  <c r="Y18"/>
  <c r="R18"/>
  <c r="P20" l="1"/>
  <c r="M21" a="1"/>
  <c r="M21" s="1"/>
  <c r="AB18"/>
  <c r="AC18"/>
  <c r="AA18"/>
  <c r="Z18"/>
  <c r="U19"/>
  <c r="AD19" s="1"/>
  <c r="Q19"/>
  <c r="Z19" s="1"/>
  <c r="V19"/>
  <c r="AE19" s="1"/>
  <c r="T19"/>
  <c r="AC19" s="1"/>
  <c r="Y19"/>
  <c r="S19"/>
  <c r="AB19" s="1"/>
  <c r="R19"/>
  <c r="AA19" s="1"/>
  <c r="W19"/>
  <c r="AF19" s="1"/>
  <c r="P21" l="1"/>
  <c r="M22" a="1"/>
  <c r="M22" s="1"/>
  <c r="W20"/>
  <c r="AF20" s="1"/>
  <c r="S20"/>
  <c r="AB20" s="1"/>
  <c r="T20"/>
  <c r="AC20" s="1"/>
  <c r="Y20"/>
  <c r="R20"/>
  <c r="AA20" s="1"/>
  <c r="V20"/>
  <c r="AE20" s="1"/>
  <c r="Q20"/>
  <c r="Z20" s="1"/>
  <c r="U20"/>
  <c r="AD20" s="1"/>
  <c r="P22" l="1"/>
  <c r="M23" a="1"/>
  <c r="M23" s="1"/>
  <c r="U21"/>
  <c r="AD21" s="1"/>
  <c r="Q21"/>
  <c r="Z21" s="1"/>
  <c r="Y21"/>
  <c r="S21"/>
  <c r="AB21" s="1"/>
  <c r="W21"/>
  <c r="AF21" s="1"/>
  <c r="R21"/>
  <c r="AA21" s="1"/>
  <c r="V21"/>
  <c r="AE21" s="1"/>
  <c r="T21"/>
  <c r="AC21" s="1"/>
  <c r="P23" l="1"/>
  <c r="M24" a="1"/>
  <c r="M24" s="1"/>
  <c r="U22"/>
  <c r="AD22" s="1"/>
  <c r="Y22"/>
  <c r="S22"/>
  <c r="AB22" s="1"/>
  <c r="W22"/>
  <c r="AF22" s="1"/>
  <c r="Q22"/>
  <c r="Z22" s="1"/>
  <c r="V22"/>
  <c r="AE22" s="1"/>
  <c r="T22"/>
  <c r="AC22" s="1"/>
  <c r="R22"/>
  <c r="AA22" s="1"/>
  <c r="P24" l="1"/>
  <c r="M25" a="1"/>
  <c r="M25" s="1"/>
  <c r="W23"/>
  <c r="AF23" s="1"/>
  <c r="S23"/>
  <c r="AB23" s="1"/>
  <c r="V23"/>
  <c r="AE23" s="1"/>
  <c r="Q23"/>
  <c r="Z23" s="1"/>
  <c r="U23"/>
  <c r="AD23" s="1"/>
  <c r="T23"/>
  <c r="AC23" s="1"/>
  <c r="R23"/>
  <c r="AA23" s="1"/>
  <c r="Y23"/>
  <c r="P25" l="1"/>
  <c r="M26" a="1"/>
  <c r="M26" s="1"/>
  <c r="U24"/>
  <c r="AD24" s="1"/>
  <c r="Q24"/>
  <c r="Z24" s="1"/>
  <c r="V24"/>
  <c r="AE24" s="1"/>
  <c r="S24"/>
  <c r="AB24" s="1"/>
  <c r="Y24"/>
  <c r="R24"/>
  <c r="AA24" s="1"/>
  <c r="W24"/>
  <c r="AF24" s="1"/>
  <c r="T24"/>
  <c r="AC24" s="1"/>
  <c r="P26" l="1"/>
  <c r="M27" a="1"/>
  <c r="M27" s="1"/>
  <c r="W25"/>
  <c r="AF25" s="1"/>
  <c r="S25"/>
  <c r="AB25" s="1"/>
  <c r="T25"/>
  <c r="AC25" s="1"/>
  <c r="V25"/>
  <c r="AE25" s="1"/>
  <c r="U25"/>
  <c r="AD25" s="1"/>
  <c r="R25"/>
  <c r="AA25" s="1"/>
  <c r="Y25"/>
  <c r="Q25"/>
  <c r="Z25" s="1"/>
  <c r="P27" l="1"/>
  <c r="M28" a="1"/>
  <c r="M28" s="1"/>
  <c r="U26"/>
  <c r="AD26" s="1"/>
  <c r="Q26"/>
  <c r="Z26" s="1"/>
  <c r="Y26"/>
  <c r="S26"/>
  <c r="AB26" s="1"/>
  <c r="V26"/>
  <c r="AE26" s="1"/>
  <c r="T26"/>
  <c r="AC26" s="1"/>
  <c r="R26"/>
  <c r="AA26" s="1"/>
  <c r="W26"/>
  <c r="AF26" s="1"/>
  <c r="P28" l="1"/>
  <c r="M29" a="1"/>
  <c r="M29" s="1"/>
  <c r="W27"/>
  <c r="AF27" s="1"/>
  <c r="S27"/>
  <c r="AB27" s="1"/>
  <c r="V27"/>
  <c r="AE27" s="1"/>
  <c r="Q27"/>
  <c r="Z27" s="1"/>
  <c r="T27"/>
  <c r="AC27" s="1"/>
  <c r="R27"/>
  <c r="AA27" s="1"/>
  <c r="Y27"/>
  <c r="U27"/>
  <c r="AD27" s="1"/>
  <c r="P29" l="1"/>
  <c r="M30" a="1"/>
  <c r="M30" s="1"/>
  <c r="U28"/>
  <c r="AD28" s="1"/>
  <c r="Q28"/>
  <c r="Z28" s="1"/>
  <c r="V28"/>
  <c r="AE28" s="1"/>
  <c r="Y28"/>
  <c r="R28"/>
  <c r="AA28" s="1"/>
  <c r="W28"/>
  <c r="AF28" s="1"/>
  <c r="T28"/>
  <c r="AC28" s="1"/>
  <c r="S28"/>
  <c r="AB28" s="1"/>
  <c r="P30" l="1"/>
  <c r="M31" a="1"/>
  <c r="M31" s="1"/>
  <c r="W29"/>
  <c r="AF29" s="1"/>
  <c r="S29"/>
  <c r="AB29" s="1"/>
  <c r="T29"/>
  <c r="AC29" s="1"/>
  <c r="U29"/>
  <c r="AD29" s="1"/>
  <c r="R29"/>
  <c r="AA29" s="1"/>
  <c r="Y29"/>
  <c r="Q29"/>
  <c r="Z29" s="1"/>
  <c r="V29"/>
  <c r="AE29" s="1"/>
  <c r="P31" l="1"/>
  <c r="M32" a="1"/>
  <c r="M32" s="1"/>
  <c r="U30"/>
  <c r="AD30" s="1"/>
  <c r="Q30"/>
  <c r="Z30" s="1"/>
  <c r="Y30"/>
  <c r="S30"/>
  <c r="AB30" s="1"/>
  <c r="T30"/>
  <c r="AC30" s="1"/>
  <c r="R30"/>
  <c r="AA30" s="1"/>
  <c r="W30"/>
  <c r="AF30" s="1"/>
  <c r="V30"/>
  <c r="AE30" s="1"/>
  <c r="P32" l="1"/>
  <c r="M33" a="1"/>
  <c r="M33" s="1"/>
  <c r="W31"/>
  <c r="AF31" s="1"/>
  <c r="S31"/>
  <c r="AB31" s="1"/>
  <c r="V31"/>
  <c r="AE31" s="1"/>
  <c r="Q31"/>
  <c r="Z31" s="1"/>
  <c r="R31"/>
  <c r="AA31" s="1"/>
  <c r="Y31"/>
  <c r="U31"/>
  <c r="AD31" s="1"/>
  <c r="T31"/>
  <c r="AC31" s="1"/>
  <c r="P33" l="1"/>
  <c r="M34" a="1"/>
  <c r="M34" s="1"/>
  <c r="U32"/>
  <c r="AD32" s="1"/>
  <c r="Q32"/>
  <c r="Z32" s="1"/>
  <c r="V32"/>
  <c r="AE32" s="1"/>
  <c r="Y32"/>
  <c r="S32"/>
  <c r="AB32" s="1"/>
  <c r="R32"/>
  <c r="AA32" s="1"/>
  <c r="W32"/>
  <c r="AF32" s="1"/>
  <c r="T32"/>
  <c r="AC32" s="1"/>
  <c r="P34" l="1"/>
  <c r="M35" a="1"/>
  <c r="M35" s="1"/>
  <c r="W33"/>
  <c r="AF33" s="1"/>
  <c r="S33"/>
  <c r="AB33" s="1"/>
  <c r="T33"/>
  <c r="AC33" s="1"/>
  <c r="V33"/>
  <c r="AE33" s="1"/>
  <c r="Q33"/>
  <c r="Z33" s="1"/>
  <c r="Y33"/>
  <c r="U33"/>
  <c r="AD33" s="1"/>
  <c r="R33"/>
  <c r="AA33" s="1"/>
  <c r="P35" l="1"/>
  <c r="M36" a="1"/>
  <c r="M36" s="1"/>
  <c r="U34"/>
  <c r="AD34" s="1"/>
  <c r="Q34"/>
  <c r="Z34" s="1"/>
  <c r="Y34"/>
  <c r="S34"/>
  <c r="AB34" s="1"/>
  <c r="W34"/>
  <c r="AF34" s="1"/>
  <c r="R34"/>
  <c r="AA34" s="1"/>
  <c r="V34"/>
  <c r="AE34" s="1"/>
  <c r="T34"/>
  <c r="AC34" s="1"/>
  <c r="P36" l="1"/>
  <c r="M37" a="1"/>
  <c r="M37" s="1"/>
  <c r="W35"/>
  <c r="AF35" s="1"/>
  <c r="S35"/>
  <c r="AB35" s="1"/>
  <c r="V35"/>
  <c r="AE35" s="1"/>
  <c r="Q35"/>
  <c r="Z35" s="1"/>
  <c r="U35"/>
  <c r="AD35" s="1"/>
  <c r="T35"/>
  <c r="AC35" s="1"/>
  <c r="R35"/>
  <c r="AA35" s="1"/>
  <c r="Y35"/>
  <c r="P37" l="1"/>
  <c r="M38" a="1"/>
  <c r="M38" s="1"/>
  <c r="P38" s="1"/>
  <c r="U36"/>
  <c r="AD36" s="1"/>
  <c r="Q36"/>
  <c r="Z36" s="1"/>
  <c r="V36"/>
  <c r="AE36" s="1"/>
  <c r="T36"/>
  <c r="AC36" s="1"/>
  <c r="Y36"/>
  <c r="S36"/>
  <c r="AB36" s="1"/>
  <c r="W36"/>
  <c r="AF36" s="1"/>
  <c r="R36"/>
  <c r="AA36" s="1"/>
  <c r="V38" l="1"/>
  <c r="AE38" s="1"/>
  <c r="R38"/>
  <c r="AA38" s="1"/>
  <c r="U38"/>
  <c r="AD38" s="1"/>
  <c r="Q38"/>
  <c r="Z38" s="1"/>
  <c r="Y38"/>
  <c r="T38"/>
  <c r="AC38" s="1"/>
  <c r="S38"/>
  <c r="AB38" s="1"/>
  <c r="W38"/>
  <c r="AF38" s="1"/>
  <c r="W37"/>
  <c r="AF37" s="1"/>
  <c r="S37"/>
  <c r="AB37" s="1"/>
  <c r="T37"/>
  <c r="AC37" s="1"/>
  <c r="Y37"/>
  <c r="R37"/>
  <c r="AA37" s="1"/>
  <c r="V37"/>
  <c r="AE37" s="1"/>
  <c r="Q37"/>
  <c r="Z37" s="1"/>
  <c r="U37"/>
  <c r="AD37" s="1"/>
  <c r="AH7" l="1"/>
  <c r="AG5" i="3" s="1"/>
  <c r="U4" s="1"/>
</calcChain>
</file>

<file path=xl/sharedStrings.xml><?xml version="1.0" encoding="utf-8"?>
<sst xmlns="http://schemas.openxmlformats.org/spreadsheetml/2006/main" count="477" uniqueCount="193">
  <si>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</si>
  <si>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</si>
  <si>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</si>
  <si>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</si>
  <si>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</si>
  <si>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</si>
  <si>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</si>
  <si>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</si>
  <si>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</si>
  <si>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</si>
  <si>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</si>
  <si>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</si>
  <si>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</si>
  <si>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</si>
  <si>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</si>
  <si>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</si>
  <si>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</si>
  <si>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</si>
  <si>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</si>
  <si>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</si>
  <si>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</si>
  <si>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</si>
  <si>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</si>
  <si>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</si>
  <si>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</si>
  <si>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</si>
  <si>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</si>
  <si>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</si>
  <si>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</si>
  <si>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</si>
  <si>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</si>
  <si>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</si>
  <si>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</si>
  <si>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</si>
  <si>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</si>
  <si>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</si>
  <si>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</si>
  <si>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</si>
  <si>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</si>
  <si>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</si>
  <si>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</si>
  <si>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</si>
  <si>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</si>
  <si>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</si>
  <si>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</si>
  <si>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</si>
  <si>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</si>
  <si>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</si>
  <si>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</si>
  <si>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</si>
  <si>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</si>
  <si>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</si>
  <si>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</si>
  <si>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</si>
  <si>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</si>
  <si>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</si>
  <si>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</si>
  <si>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</si>
  <si>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</si>
  <si>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</si>
  <si>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</si>
  <si>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</si>
  <si>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</si>
  <si>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</si>
  <si>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</si>
  <si>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</si>
  <si>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</si>
  <si>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</si>
  <si>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</si>
  <si>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</si>
  <si>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</si>
  <si>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</si>
  <si>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</si>
  <si>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</si>
  <si>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</si>
  <si>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</si>
  <si>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</si>
  <si>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</si>
  <si>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</si>
  <si>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</si>
  <si>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</si>
  <si>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</si>
  <si>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</si>
  <si>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</si>
  <si>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</si>
  <si>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</si>
  <si>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</si>
  <si>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</si>
  <si>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</si>
  <si>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</si>
  <si>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</si>
  <si>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</si>
  <si>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</si>
  <si>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</si>
  <si>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</si>
  <si>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</si>
  <si>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</si>
  <si>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</si>
  <si>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</si>
  <si>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</si>
  <si>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</si>
  <si>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</si>
  <si>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</si>
  <si>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</si>
  <si>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</si>
  <si>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</si>
  <si>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</si>
  <si>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</si>
  <si>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</si>
  <si>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</si>
  <si>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</si>
  <si>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</si>
  <si>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</si>
  <si>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ПРОТОКОЛ ВЗВЕШИВАНИЯ МУЖЧИНЫ</t>
  </si>
  <si>
    <t>ПРОТОКОЛ ХОДА СОРЕВНОВАНИЙ МУЖЧИНЫ</t>
  </si>
  <si>
    <t>ИТОГОВЫЙ ПРОТОКОЛ МУЖЧИНЫ</t>
  </si>
  <si>
    <t>ПОРТЫШЕВ Владимир Владимирович</t>
  </si>
  <si>
    <t>01.06.1994, МС</t>
  </si>
  <si>
    <t>СФО</t>
  </si>
  <si>
    <t xml:space="preserve">Кемеровская, Новокузнецк </t>
  </si>
  <si>
    <t>Параскивопуло И.В.</t>
  </si>
  <si>
    <t>ТЛЕУЖ Азмет Юрьевич</t>
  </si>
  <si>
    <t>16.06.1999, МС</t>
  </si>
  <si>
    <t>ЮФО</t>
  </si>
  <si>
    <t>Р. Адыгея Майкоп</t>
  </si>
  <si>
    <t>Джаримок Р.Н., Джаримок А.Н.</t>
  </si>
  <si>
    <t>ЖИДЕЛЕВ Яков Евгеньевич</t>
  </si>
  <si>
    <t>26.09.2001, МС</t>
  </si>
  <si>
    <t>МОС</t>
  </si>
  <si>
    <t>Москва</t>
  </si>
  <si>
    <t>Кабанов Д.Б., Сальников В.В.</t>
  </si>
  <si>
    <t>КОТОВ Сергей Валерьевич</t>
  </si>
  <si>
    <t>30.11.1990, МС</t>
  </si>
  <si>
    <t>ТОРГАШОВ Дмитрий Сергеевич</t>
  </si>
  <si>
    <t>16.03.1993, МСМК</t>
  </si>
  <si>
    <t>УФО</t>
  </si>
  <si>
    <t>Свердловская, Верхняя Пышма</t>
  </si>
  <si>
    <t>Хлыбов ИЕ, Суханов МИ</t>
  </si>
  <si>
    <t>ГУСАРОВ Андрей Андреевич</t>
  </si>
  <si>
    <t>21.10.99, МСМК</t>
  </si>
  <si>
    <t>Павлов ДА, Фунтиков ПВ</t>
  </si>
  <si>
    <t>КУРБАНОВ Аслан Юрьевич</t>
  </si>
  <si>
    <t>17.10.1991, МС</t>
  </si>
  <si>
    <t>СКФО</t>
  </si>
  <si>
    <t>Р. Дагестан, Махачкала</t>
  </si>
  <si>
    <t>Магомедов М.А.</t>
  </si>
  <si>
    <t>КУЗНЕЦОВ Сергей Владимирович</t>
  </si>
  <si>
    <t>21.11.2022, МС</t>
  </si>
  <si>
    <t xml:space="preserve"> Пленкин А.В., Хлыбов И.Е.</t>
  </si>
  <si>
    <t>ПОДГОРНЫЙ Артем Андреевич</t>
  </si>
  <si>
    <t>27.01.2000, КМС</t>
  </si>
  <si>
    <t>СПБ</t>
  </si>
  <si>
    <t>Санкт-Петербург</t>
  </si>
  <si>
    <t>Микайлов М.М.</t>
  </si>
  <si>
    <t>НИКУЛИН Иван Дмитриевич</t>
  </si>
  <si>
    <t>20.03.1993, МСМК</t>
  </si>
  <si>
    <t>ТАРАНКОВ Никита Сергеевич</t>
  </si>
  <si>
    <t>25.08.2000, КМС</t>
  </si>
  <si>
    <t>ПФО</t>
  </si>
  <si>
    <t>Нижегородская, Нижний Новгород</t>
  </si>
  <si>
    <t>Симанов ДВ</t>
  </si>
  <si>
    <t>МЕРЗЛЯКОВ Максим Максимович</t>
  </si>
  <si>
    <t>23.09.2003, МС</t>
  </si>
  <si>
    <t>Селяков СВ, Мизяев КГ</t>
  </si>
  <si>
    <t>ГАДЕЛИЯ Инал Бадриевич</t>
  </si>
  <si>
    <t>19.11.1995, МС</t>
  </si>
  <si>
    <t>Ростовская, Таганрог</t>
  </si>
  <si>
    <t>Чайкин К.Г., Погосов А.Б.</t>
  </si>
  <si>
    <t>ГАЙБАЕВ Артем Римович</t>
  </si>
  <si>
    <t>06.08.1994, МС</t>
  </si>
  <si>
    <t>Пензенская, Пенза</t>
  </si>
  <si>
    <t>Можаров О.В., Парфенов АФ</t>
  </si>
  <si>
    <t>ФАРХОДОВ Закир Завкибекович</t>
  </si>
  <si>
    <t>11.06.2003, КМС</t>
  </si>
  <si>
    <t>Гасанов АЗ, Алимов МГ</t>
  </si>
  <si>
    <t>МАНУКЯН Леван Гарикович</t>
  </si>
  <si>
    <t>22.11.2002  МСМК</t>
  </si>
  <si>
    <t>Краснодарский, Сочи</t>
  </si>
  <si>
    <t>Антонян Р.А.</t>
  </si>
  <si>
    <t>ОСИПОВ Егор Дмитриевич</t>
  </si>
  <si>
    <t>05.07.2001, МС</t>
  </si>
  <si>
    <t>ЦФО</t>
  </si>
  <si>
    <t>Рязанская, Рязань</t>
  </si>
  <si>
    <t>Изместьев В.П., Савельев Е.А.</t>
  </si>
  <si>
    <t>ТАШЛАНОВ Даниил Иванович</t>
  </si>
  <si>
    <t>03.02.1998, МСМК</t>
  </si>
  <si>
    <t>Оренбургская, Бузулук</t>
  </si>
  <si>
    <t>Плотников П.Д</t>
  </si>
  <si>
    <t>АЮБОВ Андрей Ферузович</t>
  </si>
  <si>
    <t>05.05.2003, МС</t>
  </si>
  <si>
    <t>ХМАО-Свердловская, Верхняя Пышма</t>
  </si>
  <si>
    <t>Калачей А. Ю., Суханов М. И.</t>
  </si>
  <si>
    <t>В.к. 98 кг.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</si>
</sst>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3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rgb="FFFF0000"/>
      <name val="Arial Narrow"/>
      <family val="2"/>
      <charset val="204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2" fillId="0" borderId="0"/>
    <xf numFmtId="0" fontId="52" fillId="0" borderId="0"/>
    <xf numFmtId="0" fontId="2" fillId="0" borderId="0"/>
    <xf numFmtId="0" fontId="1" fillId="0" borderId="0"/>
  </cellStyleXfs>
  <cellXfs count="593">
    <xf numFmtId="0" fontId="0" fillId="0" borderId="0" xfId="0"/>
    <xf numFmtId="0" fontId="0" fillId="0" borderId="0" xfId="0" applyAlignment="1"/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/>
    <xf numFmtId="0" fontId="4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0" xfId="0" applyFont="1"/>
    <xf numFmtId="0" fontId="0" fillId="0" borderId="8" xfId="0" applyBorder="1"/>
    <xf numFmtId="0" fontId="9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49" fontId="0" fillId="0" borderId="0" xfId="0" applyNumberFormat="1"/>
    <xf numFmtId="0" fontId="10" fillId="0" borderId="0" xfId="1" applyNumberFormat="1" applyFont="1" applyAlignment="1" applyProtection="1">
      <alignment vertical="center" wrapText="1"/>
    </xf>
    <xf numFmtId="0" fontId="11" fillId="0" borderId="0" xfId="0" applyFont="1"/>
    <xf numFmtId="0" fontId="8" fillId="0" borderId="0" xfId="1" applyFont="1" applyFill="1" applyBorder="1" applyAlignment="1" applyProtection="1">
      <alignment horizontal="left"/>
    </xf>
    <xf numFmtId="0" fontId="8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8" fillId="0" borderId="0" xfId="0" applyFont="1" applyBorder="1"/>
    <xf numFmtId="0" fontId="8" fillId="0" borderId="0" xfId="0" applyFont="1"/>
    <xf numFmtId="0" fontId="3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4" fillId="0" borderId="9" xfId="0" applyFont="1" applyBorder="1" applyAlignment="1">
      <alignment horizontal="center" vertical="center" wrapText="1"/>
    </xf>
    <xf numFmtId="0" fontId="6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5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0" fillId="0" borderId="16" xfId="0" applyBorder="1"/>
    <xf numFmtId="0" fontId="8" fillId="0" borderId="0" xfId="1" applyFont="1" applyBorder="1" applyAlignment="1" applyProtection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0" fillId="0" borderId="17" xfId="0" applyBorder="1"/>
    <xf numFmtId="0" fontId="8" fillId="0" borderId="0" xfId="0" applyFont="1" applyBorder="1" applyAlignment="1">
      <alignment horizontal="center"/>
    </xf>
    <xf numFmtId="0" fontId="11" fillId="0" borderId="0" xfId="1" applyFont="1" applyAlignment="1" applyProtection="1"/>
    <xf numFmtId="0" fontId="11" fillId="0" borderId="0" xfId="0" applyFont="1" applyBorder="1"/>
    <xf numFmtId="0" fontId="8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6" fillId="0" borderId="0" xfId="1" applyFont="1" applyAlignment="1" applyProtection="1">
      <alignment horizontal="center" vertical="center"/>
    </xf>
    <xf numFmtId="0" fontId="23" fillId="0" borderId="0" xfId="0" applyFont="1"/>
    <xf numFmtId="0" fontId="22" fillId="0" borderId="0" xfId="0" applyFont="1"/>
    <xf numFmtId="0" fontId="22" fillId="0" borderId="8" xfId="0" applyFont="1" applyBorder="1"/>
    <xf numFmtId="0" fontId="22" fillId="0" borderId="0" xfId="0" applyFont="1" applyBorder="1"/>
    <xf numFmtId="0" fontId="22" fillId="0" borderId="9" xfId="0" applyFont="1" applyBorder="1"/>
    <xf numFmtId="0" fontId="0" fillId="0" borderId="0" xfId="0" applyAlignment="1">
      <alignment horizontal="right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49" fontId="15" fillId="0" borderId="18" xfId="0" applyNumberFormat="1" applyFont="1" applyBorder="1" applyAlignment="1">
      <alignment vertical="center"/>
    </xf>
    <xf numFmtId="0" fontId="6" fillId="0" borderId="18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5" fillId="0" borderId="0" xfId="0" applyNumberFormat="1" applyFont="1" applyAlignment="1">
      <alignment horizontal="center" vertical="center"/>
    </xf>
    <xf numFmtId="0" fontId="20" fillId="0" borderId="0" xfId="1" applyNumberFormat="1" applyFont="1" applyAlignment="1" applyProtection="1"/>
    <xf numFmtId="0" fontId="20" fillId="0" borderId="0" xfId="1" applyNumberFormat="1" applyFont="1" applyBorder="1" applyAlignment="1" applyProtection="1"/>
    <xf numFmtId="0" fontId="11" fillId="0" borderId="0" xfId="1" applyNumberFormat="1" applyFont="1" applyBorder="1" applyAlignment="1" applyProtection="1">
      <alignment horizontal="center"/>
    </xf>
    <xf numFmtId="49" fontId="6" fillId="0" borderId="1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" fillId="0" borderId="0" xfId="1" applyNumberFormat="1" applyFont="1" applyAlignment="1" applyProtection="1">
      <alignment vertical="center" wrapText="1"/>
      <protection locked="0"/>
    </xf>
    <xf numFmtId="0" fontId="2" fillId="0" borderId="0" xfId="1" applyNumberFormat="1" applyFont="1" applyBorder="1" applyAlignment="1" applyProtection="1">
      <alignment vertical="center" wrapText="1"/>
      <protection locked="0"/>
    </xf>
    <xf numFmtId="0" fontId="6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0" fillId="0" borderId="0" xfId="0" applyNumberFormat="1" applyFont="1" applyProtection="1">
      <protection locked="0"/>
    </xf>
    <xf numFmtId="0" fontId="6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6" fillId="0" borderId="4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40" fillId="0" borderId="0" xfId="0" applyNumberFormat="1" applyFont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NumberFormat="1" applyFont="1" applyProtection="1">
      <protection locked="0"/>
    </xf>
    <xf numFmtId="0" fontId="9" fillId="0" borderId="0" xfId="0" applyNumberFormat="1" applyFont="1" applyAlignment="1" applyProtection="1"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12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5" fillId="0" borderId="2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Protection="1"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9" fillId="0" borderId="7" xfId="0" applyNumberFormat="1" applyFont="1" applyBorder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49" fontId="11" fillId="0" borderId="22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1" fillId="0" borderId="8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8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4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NumberFormat="1" applyFont="1" applyBorder="1" applyAlignment="1" applyProtection="1">
      <alignment horizontal="center"/>
      <protection locked="0"/>
    </xf>
    <xf numFmtId="49" fontId="11" fillId="0" borderId="0" xfId="0" applyNumberFormat="1" applyFont="1" applyBorder="1" applyAlignment="1" applyProtection="1">
      <alignment horizontal="center"/>
      <protection locked="0"/>
    </xf>
    <xf numFmtId="0" fontId="12" fillId="0" borderId="5" xfId="0" applyNumberFormat="1" applyFont="1" applyBorder="1" applyAlignment="1" applyProtection="1">
      <alignment horizontal="center"/>
      <protection locked="0"/>
    </xf>
    <xf numFmtId="0" fontId="5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5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13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9" fillId="0" borderId="0" xfId="0" applyNumberFormat="1" applyFont="1" applyFill="1" applyAlignment="1" applyProtection="1">
      <protection locked="0"/>
    </xf>
    <xf numFmtId="0" fontId="9" fillId="0" borderId="0" xfId="0" applyNumberFormat="1" applyFont="1" applyAlignment="1" applyProtection="1">
      <alignment horizontal="center"/>
      <protection locked="0"/>
    </xf>
    <xf numFmtId="0" fontId="10" fillId="0" borderId="0" xfId="0" applyNumberFormat="1" applyFont="1" applyBorder="1" applyProtection="1">
      <protection locked="0"/>
    </xf>
    <xf numFmtId="0" fontId="8" fillId="0" borderId="14" xfId="0" applyNumberFormat="1" applyFont="1" applyBorder="1" applyAlignment="1" applyProtection="1"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9" fillId="0" borderId="26" xfId="0" applyNumberFormat="1" applyFont="1" applyBorder="1" applyAlignment="1" applyProtection="1">
      <alignment horizontal="center"/>
      <protection locked="0"/>
    </xf>
    <xf numFmtId="0" fontId="10" fillId="0" borderId="14" xfId="0" applyNumberFormat="1" applyFont="1" applyBorder="1" applyProtection="1">
      <protection locked="0"/>
    </xf>
    <xf numFmtId="0" fontId="9" fillId="0" borderId="12" xfId="0" applyNumberFormat="1" applyFont="1" applyBorder="1" applyAlignment="1" applyProtection="1">
      <alignment horizontal="center"/>
      <protection locked="0"/>
    </xf>
    <xf numFmtId="0" fontId="5" fillId="0" borderId="17" xfId="0" applyNumberFormat="1" applyFont="1" applyBorder="1" applyAlignment="1" applyProtection="1">
      <alignment horizontal="center"/>
      <protection locked="0"/>
    </xf>
    <xf numFmtId="0" fontId="8" fillId="0" borderId="9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1" fillId="0" borderId="0" xfId="0" applyNumberFormat="1" applyFont="1" applyProtection="1">
      <protection locked="0"/>
    </xf>
    <xf numFmtId="0" fontId="11" fillId="0" borderId="0" xfId="1" applyNumberFormat="1" applyFont="1" applyAlignment="1" applyProtection="1">
      <protection locked="0"/>
    </xf>
    <xf numFmtId="0" fontId="4" fillId="0" borderId="0" xfId="0" applyNumberFormat="1" applyFont="1" applyProtection="1">
      <protection locked="0"/>
    </xf>
    <xf numFmtId="0" fontId="4" fillId="0" borderId="0" xfId="0" applyNumberFormat="1" applyFont="1" applyBorder="1" applyProtection="1">
      <protection locked="0"/>
    </xf>
    <xf numFmtId="0" fontId="2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alignment horizontal="left"/>
      <protection locked="0"/>
    </xf>
    <xf numFmtId="0" fontId="11" fillId="0" borderId="0" xfId="0" applyNumberFormat="1" applyFont="1" applyProtection="1">
      <protection locked="0"/>
    </xf>
    <xf numFmtId="0" fontId="2" fillId="0" borderId="0" xfId="0" applyNumberFormat="1" applyFont="1" applyProtection="1">
      <protection locked="0"/>
    </xf>
    <xf numFmtId="0" fontId="11" fillId="0" borderId="8" xfId="0" applyNumberFormat="1" applyFont="1" applyBorder="1" applyProtection="1">
      <protection locked="0"/>
    </xf>
    <xf numFmtId="0" fontId="2" fillId="0" borderId="8" xfId="0" applyNumberFormat="1" applyFont="1" applyBorder="1" applyProtection="1">
      <protection locked="0"/>
    </xf>
    <xf numFmtId="0" fontId="36" fillId="0" borderId="0" xfId="1" applyNumberFormat="1" applyFont="1" applyBorder="1" applyAlignment="1" applyProtection="1">
      <protection locked="0"/>
    </xf>
    <xf numFmtId="0" fontId="11" fillId="0" borderId="9" xfId="0" applyNumberFormat="1" applyFont="1" applyBorder="1" applyProtection="1">
      <protection locked="0"/>
    </xf>
    <xf numFmtId="0" fontId="2" fillId="0" borderId="9" xfId="0" applyNumberFormat="1" applyFont="1" applyBorder="1" applyProtection="1">
      <protection locked="0"/>
    </xf>
    <xf numFmtId="0" fontId="19" fillId="0" borderId="0" xfId="0" applyNumberFormat="1" applyFont="1" applyProtection="1">
      <protection locked="0"/>
    </xf>
    <xf numFmtId="0" fontId="9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3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8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5" fillId="0" borderId="29" xfId="0" applyFont="1" applyFill="1" applyBorder="1" applyAlignment="1" applyProtection="1">
      <alignment horizontal="center" vertical="center"/>
      <protection locked="0"/>
    </xf>
    <xf numFmtId="0" fontId="5" fillId="0" borderId="30" xfId="0" applyFont="1" applyFill="1" applyBorder="1" applyAlignment="1" applyProtection="1">
      <alignment horizontal="center" vertical="center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/>
      <protection locked="0" hidden="1"/>
    </xf>
    <xf numFmtId="0" fontId="4" fillId="0" borderId="13" xfId="0" applyFont="1" applyBorder="1" applyAlignment="1">
      <alignment horizontal="left" vertical="center"/>
    </xf>
    <xf numFmtId="0" fontId="4" fillId="0" borderId="6" xfId="0" applyNumberFormat="1" applyFont="1" applyFill="1" applyBorder="1" applyAlignment="1" applyProtection="1">
      <alignment horizontal="center"/>
      <protection locked="0" hidden="1"/>
    </xf>
    <xf numFmtId="0" fontId="4" fillId="7" borderId="6" xfId="0" applyNumberFormat="1" applyFont="1" applyFill="1" applyBorder="1" applyAlignment="1" applyProtection="1">
      <alignment horizontal="center"/>
      <protection locked="0" hidden="1"/>
    </xf>
    <xf numFmtId="0" fontId="4" fillId="0" borderId="33" xfId="0" applyFont="1" applyBorder="1" applyAlignment="1" applyProtection="1">
      <alignment horizontal="center"/>
      <protection locked="0" hidden="1"/>
    </xf>
    <xf numFmtId="0" fontId="4" fillId="0" borderId="34" xfId="0" applyFont="1" applyBorder="1" applyAlignment="1" applyProtection="1">
      <alignment horizontal="center"/>
      <protection locked="0" hidden="1"/>
    </xf>
    <xf numFmtId="0" fontId="40" fillId="0" borderId="34" xfId="0" applyFont="1" applyBorder="1" applyAlignment="1" applyProtection="1">
      <alignment horizontal="center"/>
      <protection locked="0" hidden="1"/>
    </xf>
    <xf numFmtId="0" fontId="40" fillId="0" borderId="6" xfId="0" applyNumberFormat="1" applyFont="1" applyFill="1" applyBorder="1" applyAlignment="1" applyProtection="1">
      <alignment horizontal="center"/>
      <protection locked="0" hidden="1"/>
    </xf>
    <xf numFmtId="0" fontId="40" fillId="7" borderId="6" xfId="0" applyNumberFormat="1" applyFont="1" applyFill="1" applyBorder="1" applyAlignment="1" applyProtection="1">
      <alignment horizontal="center"/>
      <protection locked="0" hidden="1"/>
    </xf>
    <xf numFmtId="0" fontId="40" fillId="0" borderId="33" xfId="0" applyFont="1" applyBorder="1" applyAlignment="1" applyProtection="1">
      <alignment horizontal="center"/>
      <protection locked="0" hidden="1"/>
    </xf>
    <xf numFmtId="0" fontId="40" fillId="0" borderId="13" xfId="0" applyFont="1" applyBorder="1" applyAlignment="1">
      <alignment horizontal="left" vertical="center"/>
    </xf>
    <xf numFmtId="0" fontId="40" fillId="0" borderId="33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Fill="1" applyBorder="1"/>
    <xf numFmtId="0" fontId="5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4" fillId="0" borderId="33" xfId="0" applyFont="1" applyBorder="1" applyAlignment="1">
      <alignment horizontal="left" vertical="center"/>
    </xf>
    <xf numFmtId="0" fontId="8" fillId="0" borderId="0" xfId="1" applyNumberFormat="1" applyFont="1" applyBorder="1" applyAlignment="1" applyProtection="1">
      <alignment wrapText="1"/>
      <protection locked="0"/>
    </xf>
    <xf numFmtId="0" fontId="18" fillId="0" borderId="0" xfId="0" applyFont="1" applyAlignment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36" xfId="0" applyFont="1" applyFill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4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4" fillId="0" borderId="12" xfId="0" applyFont="1" applyBorder="1" applyAlignment="1" applyProtection="1">
      <alignment horizontal="center"/>
      <protection locked="0" hidden="1"/>
    </xf>
    <xf numFmtId="0" fontId="4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5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9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1" fillId="0" borderId="8" xfId="0" applyFont="1" applyBorder="1"/>
    <xf numFmtId="0" fontId="11" fillId="0" borderId="27" xfId="0" applyFont="1" applyBorder="1" applyAlignment="1" applyProtection="1">
      <alignment vertical="center" wrapText="1"/>
      <protection hidden="1"/>
    </xf>
    <xf numFmtId="0" fontId="11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2" fillId="0" borderId="27" xfId="0" applyFont="1" applyBorder="1" applyProtection="1">
      <protection locked="0" hidden="1"/>
    </xf>
    <xf numFmtId="0" fontId="2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1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2" fillId="7" borderId="27" xfId="0" applyFont="1" applyFill="1" applyBorder="1" applyProtection="1">
      <protection locked="0" hidden="1"/>
    </xf>
    <xf numFmtId="0" fontId="2" fillId="7" borderId="49" xfId="2" applyNumberFormat="1" applyFont="1" applyFill="1" applyBorder="1" applyProtection="1">
      <protection locked="0" hidden="1"/>
    </xf>
    <xf numFmtId="0" fontId="2" fillId="7" borderId="27" xfId="2" applyNumberFormat="1" applyFont="1" applyFill="1" applyBorder="1" applyProtection="1">
      <protection locked="0" hidden="1"/>
    </xf>
    <xf numFmtId="0" fontId="2" fillId="7" borderId="0" xfId="0" applyFont="1" applyFill="1" applyProtection="1">
      <protection locked="0" hidden="1"/>
    </xf>
    <xf numFmtId="0" fontId="2" fillId="0" borderId="27" xfId="0" applyFont="1" applyFill="1" applyBorder="1" applyProtection="1">
      <protection hidden="1"/>
    </xf>
    <xf numFmtId="49" fontId="11" fillId="0" borderId="27" xfId="0" applyNumberFormat="1" applyFont="1" applyBorder="1" applyAlignment="1">
      <alignment vertical="center" wrapText="1"/>
    </xf>
    <xf numFmtId="14" fontId="11" fillId="0" borderId="27" xfId="0" applyNumberFormat="1" applyFont="1" applyBorder="1" applyAlignment="1">
      <alignment vertical="center" wrapText="1"/>
    </xf>
    <xf numFmtId="0" fontId="11" fillId="0" borderId="27" xfId="0" applyNumberFormat="1" applyFont="1" applyBorder="1" applyAlignment="1" applyProtection="1">
      <alignment vertical="center" wrapText="1"/>
      <protection hidden="1"/>
    </xf>
    <xf numFmtId="49" fontId="11" fillId="0" borderId="27" xfId="0" applyNumberFormat="1" applyFont="1" applyBorder="1" applyAlignment="1" applyProtection="1">
      <alignment vertical="center" wrapText="1"/>
      <protection hidden="1"/>
    </xf>
    <xf numFmtId="0" fontId="2" fillId="0" borderId="0" xfId="0" applyFont="1"/>
    <xf numFmtId="49" fontId="0" fillId="0" borderId="0" xfId="0" applyNumberFormat="1" applyBorder="1" applyAlignment="1">
      <alignment vertical="center" wrapText="1"/>
    </xf>
    <xf numFmtId="0" fontId="13" fillId="9" borderId="14" xfId="0" applyNumberFormat="1" applyFont="1" applyFill="1" applyBorder="1" applyAlignment="1" applyProtection="1">
      <alignment horizontal="center"/>
      <protection locked="0"/>
    </xf>
    <xf numFmtId="49" fontId="12" fillId="0" borderId="33" xfId="0" applyNumberFormat="1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33" fillId="0" borderId="86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49" fontId="12" fillId="0" borderId="57" xfId="0" applyNumberFormat="1" applyFont="1" applyBorder="1" applyAlignment="1">
      <alignment horizontal="center" vertical="center" wrapText="1"/>
    </xf>
    <xf numFmtId="0" fontId="33" fillId="0" borderId="87" xfId="0" applyFont="1" applyBorder="1" applyAlignment="1">
      <alignment horizontal="center" vertical="center" wrapText="1"/>
    </xf>
    <xf numFmtId="0" fontId="11" fillId="0" borderId="50" xfId="0" applyNumberFormat="1" applyFont="1" applyBorder="1" applyAlignment="1">
      <alignment vertical="center" wrapText="1"/>
    </xf>
    <xf numFmtId="0" fontId="11" fillId="0" borderId="85" xfId="0" applyNumberFormat="1" applyFont="1" applyBorder="1" applyAlignment="1">
      <alignment vertical="center" wrapText="1"/>
    </xf>
    <xf numFmtId="0" fontId="11" fillId="0" borderId="78" xfId="1" applyFont="1" applyFill="1" applyBorder="1" applyAlignment="1" applyProtection="1">
      <alignment vertical="center" wrapText="1"/>
    </xf>
    <xf numFmtId="0" fontId="11" fillId="0" borderId="39" xfId="0" applyNumberFormat="1" applyFont="1" applyBorder="1" applyAlignment="1">
      <alignment vertical="center" wrapText="1"/>
    </xf>
    <xf numFmtId="0" fontId="44" fillId="0" borderId="76" xfId="0" applyNumberFormat="1" applyFont="1" applyBorder="1" applyAlignment="1">
      <alignment vertical="center" wrapText="1"/>
    </xf>
    <xf numFmtId="0" fontId="11" fillId="0" borderId="88" xfId="0" applyNumberFormat="1" applyFont="1" applyBorder="1" applyAlignment="1">
      <alignment vertical="center" wrapText="1"/>
    </xf>
    <xf numFmtId="0" fontId="11" fillId="0" borderId="90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vertical="center" wrapText="1"/>
    </xf>
    <xf numFmtId="0" fontId="11" fillId="0" borderId="10" xfId="1" applyFont="1" applyFill="1" applyBorder="1" applyAlignment="1" applyProtection="1">
      <alignment vertical="center" wrapText="1"/>
    </xf>
    <xf numFmtId="0" fontId="11" fillId="0" borderId="10" xfId="0" applyNumberFormat="1" applyFont="1" applyBorder="1" applyAlignment="1">
      <alignment vertical="center" wrapText="1"/>
    </xf>
    <xf numFmtId="0" fontId="44" fillId="0" borderId="10" xfId="0" applyNumberFormat="1" applyFont="1" applyBorder="1" applyAlignment="1">
      <alignment vertical="center" wrapText="1"/>
    </xf>
    <xf numFmtId="0" fontId="11" fillId="0" borderId="80" xfId="0" applyNumberFormat="1" applyFont="1" applyBorder="1" applyAlignment="1">
      <alignment vertical="center" wrapText="1"/>
    </xf>
    <xf numFmtId="0" fontId="44" fillId="7" borderId="10" xfId="0" applyNumberFormat="1" applyFont="1" applyFill="1" applyBorder="1" applyAlignment="1">
      <alignment vertical="center" wrapText="1"/>
    </xf>
    <xf numFmtId="0" fontId="11" fillId="0" borderId="9" xfId="0" applyFont="1" applyBorder="1"/>
    <xf numFmtId="0" fontId="11" fillId="0" borderId="57" xfId="0" applyNumberFormat="1" applyFont="1" applyBorder="1" applyAlignment="1">
      <alignment vertical="center" wrapText="1"/>
    </xf>
    <xf numFmtId="0" fontId="11" fillId="0" borderId="45" xfId="0" applyNumberFormat="1" applyFont="1" applyBorder="1" applyAlignment="1">
      <alignment vertical="center" wrapText="1"/>
    </xf>
    <xf numFmtId="0" fontId="11" fillId="0" borderId="46" xfId="1" applyFont="1" applyFill="1" applyBorder="1" applyAlignment="1" applyProtection="1">
      <alignment vertical="center" wrapText="1"/>
    </xf>
    <xf numFmtId="0" fontId="11" fillId="0" borderId="46" xfId="0" applyNumberFormat="1" applyFont="1" applyBorder="1" applyAlignment="1">
      <alignment vertical="center" wrapText="1"/>
    </xf>
    <xf numFmtId="0" fontId="44" fillId="0" borderId="46" xfId="0" applyNumberFormat="1" applyFont="1" applyBorder="1" applyAlignment="1">
      <alignment vertical="center" wrapText="1"/>
    </xf>
    <xf numFmtId="0" fontId="11" fillId="0" borderId="47" xfId="0" applyNumberFormat="1" applyFont="1" applyBorder="1" applyAlignment="1">
      <alignment vertical="center" wrapText="1"/>
    </xf>
    <xf numFmtId="0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11" fillId="7" borderId="27" xfId="0" applyFont="1" applyFill="1" applyBorder="1" applyAlignment="1">
      <alignment vertical="top" wrapText="1"/>
    </xf>
    <xf numFmtId="0" fontId="11" fillId="0" borderId="27" xfId="0" applyFont="1" applyBorder="1" applyAlignment="1">
      <alignment vertical="top" wrapText="1"/>
    </xf>
    <xf numFmtId="0" fontId="11" fillId="0" borderId="27" xfId="0" applyFont="1" applyBorder="1" applyAlignment="1" applyProtection="1">
      <alignment vertical="top" wrapText="1"/>
      <protection hidden="1"/>
    </xf>
    <xf numFmtId="0" fontId="11" fillId="7" borderId="28" xfId="0" applyFont="1" applyFill="1" applyBorder="1" applyAlignment="1">
      <alignment vertical="top" wrapText="1"/>
    </xf>
    <xf numFmtId="0" fontId="11" fillId="0" borderId="28" xfId="0" applyFont="1" applyBorder="1" applyAlignment="1">
      <alignment vertical="top" wrapText="1"/>
    </xf>
    <xf numFmtId="0" fontId="11" fillId="0" borderId="28" xfId="0" applyFont="1" applyBorder="1" applyAlignment="1" applyProtection="1">
      <alignment vertical="top" wrapText="1"/>
      <protection hidden="1"/>
    </xf>
    <xf numFmtId="14" fontId="11" fillId="7" borderId="27" xfId="0" applyNumberFormat="1" applyFont="1" applyFill="1" applyBorder="1" applyAlignment="1">
      <alignment vertical="center" wrapText="1"/>
    </xf>
    <xf numFmtId="49" fontId="11" fillId="7" borderId="27" xfId="0" applyNumberFormat="1" applyFont="1" applyFill="1" applyBorder="1" applyAlignment="1">
      <alignment vertical="center" wrapText="1"/>
    </xf>
    <xf numFmtId="0" fontId="11" fillId="0" borderId="27" xfId="0" applyFont="1" applyBorder="1" applyAlignment="1">
      <alignment vertical="top"/>
    </xf>
    <xf numFmtId="0" fontId="46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9" fillId="0" borderId="0" xfId="1" applyFont="1" applyBorder="1" applyAlignment="1" applyProtection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43" fillId="0" borderId="50" xfId="0" applyFont="1" applyBorder="1" applyAlignment="1">
      <alignment horizontal="center" vertical="center"/>
    </xf>
    <xf numFmtId="0" fontId="43" fillId="0" borderId="51" xfId="0" applyFont="1" applyBorder="1" applyAlignment="1">
      <alignment horizontal="center" vertical="center"/>
    </xf>
    <xf numFmtId="0" fontId="43" fillId="0" borderId="52" xfId="0" applyFont="1" applyBorder="1" applyAlignment="1">
      <alignment horizontal="center" vertical="center"/>
    </xf>
    <xf numFmtId="0" fontId="43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21" xfId="1" applyNumberFormat="1" applyFont="1" applyBorder="1" applyAlignment="1" applyProtection="1">
      <alignment horizontal="left" vertical="center" wrapText="1"/>
      <protection locked="0"/>
    </xf>
    <xf numFmtId="0" fontId="11" fillId="0" borderId="34" xfId="1" applyNumberFormat="1" applyFont="1" applyBorder="1" applyAlignment="1" applyProtection="1">
      <alignment horizontal="left" vertical="center" wrapText="1"/>
      <protection locked="0"/>
    </xf>
    <xf numFmtId="0" fontId="11" fillId="0" borderId="90" xfId="1" applyNumberFormat="1" applyFont="1" applyBorder="1" applyAlignment="1" applyProtection="1">
      <alignment horizontal="left" vertical="center" wrapText="1"/>
      <protection locked="0"/>
    </xf>
    <xf numFmtId="0" fontId="11" fillId="0" borderId="22" xfId="1" applyNumberFormat="1" applyFont="1" applyBorder="1" applyAlignment="1" applyProtection="1">
      <alignment horizontal="left" vertical="center" wrapText="1"/>
      <protection locked="0"/>
    </xf>
    <xf numFmtId="0" fontId="6" fillId="0" borderId="32" xfId="0" applyNumberFormat="1" applyFont="1" applyBorder="1" applyAlignment="1" applyProtection="1">
      <alignment horizontal="center" vertical="center" wrapText="1"/>
      <protection locked="0"/>
    </xf>
    <xf numFmtId="0" fontId="6" fillId="0" borderId="33" xfId="0" applyNumberFormat="1" applyFont="1" applyBorder="1" applyAlignment="1" applyProtection="1">
      <alignment horizontal="center" vertical="center" wrapText="1"/>
      <protection locked="0"/>
    </xf>
    <xf numFmtId="0" fontId="6" fillId="0" borderId="57" xfId="0" applyNumberFormat="1" applyFont="1" applyBorder="1" applyAlignment="1" applyProtection="1">
      <alignment horizontal="center" vertical="center" wrapText="1"/>
      <protection locked="0"/>
    </xf>
    <xf numFmtId="0" fontId="11" fillId="0" borderId="32" xfId="1" applyNumberFormat="1" applyFont="1" applyBorder="1" applyAlignment="1" applyProtection="1">
      <alignment horizontal="left" vertical="center" wrapText="1"/>
      <protection locked="0"/>
    </xf>
    <xf numFmtId="0" fontId="11" fillId="0" borderId="33" xfId="0" applyNumberFormat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21" xfId="1" applyNumberFormat="1" applyFont="1" applyBorder="1" applyAlignment="1" applyProtection="1">
      <alignment horizontal="center" vertical="center" wrapText="1"/>
      <protection locked="0"/>
    </xf>
    <xf numFmtId="0" fontId="11" fillId="0" borderId="22" xfId="1" applyNumberFormat="1" applyFont="1" applyBorder="1" applyAlignment="1" applyProtection="1">
      <alignment horizontal="center" vertical="center" wrapText="1"/>
      <protection locked="0"/>
    </xf>
    <xf numFmtId="0" fontId="8" fillId="0" borderId="58" xfId="0" applyNumberFormat="1" applyFont="1" applyBorder="1" applyAlignment="1" applyProtection="1">
      <alignment horizontal="center" vertical="center" wrapText="1"/>
      <protection locked="0"/>
    </xf>
    <xf numFmtId="0" fontId="8" fillId="0" borderId="59" xfId="0" applyNumberFormat="1" applyFont="1" applyBorder="1" applyAlignment="1" applyProtection="1">
      <alignment horizontal="center" vertical="center" wrapText="1"/>
      <protection locked="0"/>
    </xf>
    <xf numFmtId="0" fontId="8" fillId="0" borderId="60" xfId="0" applyNumberFormat="1" applyFont="1" applyBorder="1" applyAlignment="1" applyProtection="1">
      <alignment horizontal="center" vertical="center" wrapText="1"/>
      <protection locked="0"/>
    </xf>
    <xf numFmtId="0" fontId="8" fillId="0" borderId="61" xfId="0" applyNumberFormat="1" applyFont="1" applyBorder="1" applyAlignment="1" applyProtection="1">
      <alignment horizontal="center" vertical="center" wrapText="1"/>
      <protection locked="0"/>
    </xf>
    <xf numFmtId="0" fontId="8" fillId="0" borderId="62" xfId="0" applyNumberFormat="1" applyFont="1" applyBorder="1" applyAlignment="1" applyProtection="1">
      <alignment horizontal="center" vertical="center" wrapText="1"/>
      <protection locked="0"/>
    </xf>
    <xf numFmtId="0" fontId="8" fillId="0" borderId="63" xfId="0" applyNumberFormat="1" applyFont="1" applyBorder="1" applyAlignment="1" applyProtection="1">
      <alignment horizontal="center" vertical="center" wrapText="1"/>
      <protection locked="0"/>
    </xf>
    <xf numFmtId="0" fontId="8" fillId="0" borderId="70" xfId="0" applyNumberFormat="1" applyFont="1" applyBorder="1" applyAlignment="1" applyProtection="1">
      <alignment horizontal="center" vertical="center" wrapText="1"/>
      <protection locked="0"/>
    </xf>
    <xf numFmtId="0" fontId="8" fillId="0" borderId="71" xfId="0" applyNumberFormat="1" applyFont="1" applyBorder="1" applyAlignment="1" applyProtection="1">
      <alignment horizontal="center" vertical="center" wrapText="1"/>
      <protection locked="0"/>
    </xf>
    <xf numFmtId="0" fontId="8" fillId="0" borderId="72" xfId="0" applyNumberFormat="1" applyFont="1" applyBorder="1" applyAlignment="1" applyProtection="1">
      <alignment horizontal="center" vertical="center" wrapText="1"/>
      <protection locked="0"/>
    </xf>
    <xf numFmtId="0" fontId="8" fillId="0" borderId="73" xfId="0" applyNumberFormat="1" applyFont="1" applyBorder="1" applyAlignment="1" applyProtection="1">
      <alignment horizontal="center" vertical="center" wrapText="1"/>
      <protection locked="0"/>
    </xf>
    <xf numFmtId="0" fontId="8" fillId="0" borderId="74" xfId="0" applyNumberFormat="1" applyFont="1" applyBorder="1" applyAlignment="1" applyProtection="1">
      <alignment horizontal="center" vertical="center" wrapText="1"/>
      <protection locked="0"/>
    </xf>
    <xf numFmtId="0" fontId="8" fillId="0" borderId="75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8" fillId="0" borderId="64" xfId="0" applyNumberFormat="1" applyFont="1" applyBorder="1" applyAlignment="1" applyProtection="1">
      <alignment horizontal="center" vertical="center" wrapText="1"/>
      <protection locked="0"/>
    </xf>
    <xf numFmtId="0" fontId="8" fillId="0" borderId="65" xfId="0" applyNumberFormat="1" applyFont="1" applyBorder="1" applyAlignment="1" applyProtection="1">
      <alignment horizontal="center" vertical="center" wrapText="1"/>
      <protection locked="0"/>
    </xf>
    <xf numFmtId="0" fontId="8" fillId="0" borderId="66" xfId="0" applyNumberFormat="1" applyFont="1" applyBorder="1" applyAlignment="1" applyProtection="1">
      <alignment horizontal="center" vertical="center" wrapText="1"/>
      <protection locked="0"/>
    </xf>
    <xf numFmtId="0" fontId="8" fillId="0" borderId="67" xfId="0" applyNumberFormat="1" applyFont="1" applyBorder="1" applyAlignment="1" applyProtection="1">
      <alignment horizontal="center" vertical="center" wrapText="1"/>
      <protection locked="0"/>
    </xf>
    <xf numFmtId="0" fontId="8" fillId="0" borderId="68" xfId="0" applyNumberFormat="1" applyFont="1" applyBorder="1" applyAlignment="1" applyProtection="1">
      <alignment horizontal="center" vertical="center" wrapText="1"/>
      <protection locked="0"/>
    </xf>
    <xf numFmtId="0" fontId="8" fillId="0" borderId="69" xfId="0" applyNumberFormat="1" applyFont="1" applyBorder="1" applyAlignment="1" applyProtection="1">
      <alignment horizontal="center" vertical="center" wrapText="1"/>
      <protection locked="0"/>
    </xf>
    <xf numFmtId="0" fontId="6" fillId="0" borderId="41" xfId="0" applyNumberFormat="1" applyFont="1" applyBorder="1" applyAlignment="1" applyProtection="1">
      <alignment horizontal="center" vertical="center" wrapText="1"/>
      <protection locked="0"/>
    </xf>
    <xf numFmtId="0" fontId="6" fillId="0" borderId="44" xfId="0" applyNumberFormat="1" applyFont="1" applyBorder="1" applyAlignment="1" applyProtection="1">
      <alignment horizontal="center" vertical="center" wrapText="1"/>
      <protection locked="0"/>
    </xf>
    <xf numFmtId="0" fontId="6" fillId="0" borderId="37" xfId="0" applyNumberFormat="1" applyFont="1" applyBorder="1" applyAlignment="1" applyProtection="1">
      <alignment horizontal="center" vertical="center" wrapText="1"/>
      <protection locked="0"/>
    </xf>
    <xf numFmtId="0" fontId="18" fillId="0" borderId="0" xfId="0" applyNumberFormat="1" applyFont="1" applyAlignment="1" applyProtection="1">
      <alignment horizontal="center" vertical="center"/>
      <protection locked="0"/>
    </xf>
    <xf numFmtId="0" fontId="6" fillId="0" borderId="50" xfId="1" applyNumberFormat="1" applyFont="1" applyBorder="1" applyAlignment="1" applyProtection="1">
      <alignment horizontal="center" vertical="center"/>
      <protection locked="0"/>
    </xf>
    <xf numFmtId="0" fontId="6" fillId="0" borderId="51" xfId="0" applyNumberFormat="1" applyFont="1" applyBorder="1" applyAlignment="1" applyProtection="1">
      <alignment horizontal="center" vertical="center"/>
      <protection locked="0"/>
    </xf>
    <xf numFmtId="0" fontId="6" fillId="0" borderId="52" xfId="0" applyNumberFormat="1" applyFont="1" applyBorder="1" applyAlignment="1" applyProtection="1">
      <alignment horizontal="center" vertical="center"/>
      <protection locked="0"/>
    </xf>
    <xf numFmtId="0" fontId="6" fillId="0" borderId="53" xfId="0" applyNumberFormat="1" applyFont="1" applyBorder="1" applyAlignment="1" applyProtection="1">
      <alignment horizontal="center" vertical="center"/>
      <protection locked="0"/>
    </xf>
    <xf numFmtId="0" fontId="8" fillId="0" borderId="0" xfId="1" applyNumberFormat="1" applyFont="1" applyBorder="1" applyAlignment="1" applyProtection="1">
      <alignment horizontal="center" vertical="center" wrapText="1"/>
      <protection locked="0"/>
    </xf>
    <xf numFmtId="0" fontId="6" fillId="0" borderId="18" xfId="0" applyNumberFormat="1" applyFont="1" applyBorder="1" applyAlignment="1" applyProtection="1">
      <alignment horizontal="center" vertical="center" wrapText="1"/>
      <protection locked="0"/>
    </xf>
    <xf numFmtId="0" fontId="38" fillId="0" borderId="18" xfId="0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 vertical="center" wrapText="1"/>
      <protection locked="0"/>
    </xf>
    <xf numFmtId="0" fontId="15" fillId="0" borderId="11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49" fontId="12" fillId="0" borderId="39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0" xfId="1" applyFont="1" applyBorder="1" applyAlignment="1" applyProtection="1">
      <alignment horizontal="center" vertical="center" wrapText="1"/>
    </xf>
    <xf numFmtId="0" fontId="2" fillId="0" borderId="30" xfId="1" applyFont="1" applyBorder="1" applyAlignment="1" applyProtection="1">
      <alignment horizontal="center" vertical="center" wrapText="1"/>
    </xf>
    <xf numFmtId="0" fontId="2" fillId="0" borderId="76" xfId="1" applyFont="1" applyBorder="1" applyAlignment="1" applyProtection="1">
      <alignment horizontal="center" vertical="center" wrapText="1"/>
    </xf>
    <xf numFmtId="0" fontId="2" fillId="0" borderId="15" xfId="1" applyFont="1" applyBorder="1" applyAlignment="1" applyProtection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5" fillId="0" borderId="76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2" fillId="0" borderId="76" xfId="1" applyFont="1" applyBorder="1" applyAlignment="1" applyProtection="1">
      <alignment horizontal="left" vertical="center" wrapText="1"/>
    </xf>
    <xf numFmtId="0" fontId="2" fillId="0" borderId="15" xfId="1" applyFont="1" applyBorder="1" applyAlignment="1" applyProtection="1">
      <alignment horizontal="left" vertical="center" wrapText="1"/>
    </xf>
    <xf numFmtId="0" fontId="10" fillId="0" borderId="10" xfId="1" applyFont="1" applyBorder="1" applyAlignment="1" applyProtection="1">
      <alignment horizontal="center" vertical="center" wrapText="1"/>
    </xf>
    <xf numFmtId="0" fontId="10" fillId="0" borderId="30" xfId="1" applyFont="1" applyBorder="1" applyAlignment="1" applyProtection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49" fontId="29" fillId="0" borderId="27" xfId="0" applyNumberFormat="1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2" fillId="0" borderId="10" xfId="1" applyFont="1" applyBorder="1" applyAlignment="1" applyProtection="1">
      <alignment horizontal="left" vertical="center" wrapText="1"/>
    </xf>
    <xf numFmtId="0" fontId="2" fillId="0" borderId="30" xfId="1" applyFont="1" applyBorder="1" applyAlignment="1" applyProtection="1">
      <alignment horizontal="left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0" fillId="0" borderId="76" xfId="1" applyFont="1" applyBorder="1" applyAlignment="1" applyProtection="1">
      <alignment horizontal="center" vertical="center" wrapText="1"/>
    </xf>
    <xf numFmtId="0" fontId="10" fillId="0" borderId="15" xfId="1" applyFont="1" applyBorder="1" applyAlignment="1" applyProtection="1">
      <alignment horizontal="center" vertical="center" wrapText="1"/>
    </xf>
    <xf numFmtId="0" fontId="10" fillId="0" borderId="10" xfId="1" applyFont="1" applyBorder="1" applyAlignment="1" applyProtection="1">
      <alignment horizontal="left" vertical="center" wrapText="1"/>
    </xf>
    <xf numFmtId="0" fontId="10" fillId="0" borderId="30" xfId="1" applyFont="1" applyBorder="1" applyAlignment="1" applyProtection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" fillId="0" borderId="11" xfId="1" applyFont="1" applyBorder="1" applyAlignment="1" applyProtection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2" fillId="0" borderId="11" xfId="1" applyFont="1" applyBorder="1" applyAlignment="1" applyProtection="1">
      <alignment horizontal="left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49" fontId="31" fillId="0" borderId="40" xfId="0" applyNumberFormat="1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49" fontId="31" fillId="0" borderId="76" xfId="0" applyNumberFormat="1" applyFont="1" applyBorder="1" applyAlignment="1">
      <alignment horizontal="center" vertical="center" wrapText="1"/>
    </xf>
    <xf numFmtId="49" fontId="31" fillId="0" borderId="30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32" fillId="0" borderId="77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1" fillId="0" borderId="78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54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49" fontId="27" fillId="0" borderId="30" xfId="0" applyNumberFormat="1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49" fontId="30" fillId="0" borderId="39" xfId="0" applyNumberFormat="1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2" fillId="0" borderId="39" xfId="1" applyFont="1" applyBorder="1" applyAlignment="1" applyProtection="1">
      <alignment horizontal="center" vertical="center" wrapText="1"/>
    </xf>
    <xf numFmtId="0" fontId="15" fillId="0" borderId="7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0" borderId="5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2" fillId="0" borderId="40" xfId="1" applyFont="1" applyBorder="1" applyAlignment="1" applyProtection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2" fillId="0" borderId="43" xfId="1" applyFont="1" applyBorder="1" applyAlignment="1" applyProtection="1">
      <alignment horizontal="center" vertical="center" wrapText="1"/>
    </xf>
    <xf numFmtId="0" fontId="15" fillId="0" borderId="7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0" fillId="0" borderId="7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0" fillId="0" borderId="40" xfId="1" applyFont="1" applyBorder="1" applyAlignment="1" applyProtection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/>
    </xf>
    <xf numFmtId="0" fontId="2" fillId="0" borderId="39" xfId="1" applyFont="1" applyBorder="1" applyAlignment="1" applyProtection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horizontal="center"/>
    </xf>
    <xf numFmtId="0" fontId="11" fillId="5" borderId="27" xfId="0" applyFont="1" applyFill="1" applyBorder="1" applyAlignment="1">
      <alignment horizontal="center" vertical="center" wrapText="1"/>
    </xf>
    <xf numFmtId="0" fontId="2" fillId="0" borderId="27" xfId="1" applyFont="1" applyBorder="1" applyAlignment="1" applyProtection="1">
      <alignment horizontal="center" vertical="center" wrapText="1"/>
    </xf>
    <xf numFmtId="0" fontId="11" fillId="0" borderId="10" xfId="1" applyFont="1" applyFill="1" applyBorder="1" applyAlignment="1" applyProtection="1">
      <alignment horizontal="left" vertical="center" wrapText="1"/>
    </xf>
    <xf numFmtId="0" fontId="11" fillId="0" borderId="15" xfId="1" applyFont="1" applyFill="1" applyBorder="1" applyAlignment="1" applyProtection="1">
      <alignment horizontal="left" vertical="center" wrapText="1"/>
    </xf>
    <xf numFmtId="0" fontId="11" fillId="0" borderId="24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>
      <alignment horizontal="center" vertical="center" wrapText="1"/>
    </xf>
    <xf numFmtId="0" fontId="11" fillId="0" borderId="11" xfId="1" applyFont="1" applyFill="1" applyBorder="1" applyAlignment="1" applyProtection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2" fillId="0" borderId="27" xfId="1" applyNumberFormat="1" applyFont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5" fillId="2" borderId="35" xfId="0" applyFont="1" applyFill="1" applyBorder="1" applyAlignment="1" applyProtection="1">
      <alignment horizontal="center" vertical="center"/>
      <protection locked="0" hidden="1"/>
    </xf>
    <xf numFmtId="0" fontId="5" fillId="2" borderId="83" xfId="0" applyFont="1" applyFill="1" applyBorder="1" applyAlignment="1" applyProtection="1">
      <alignment horizontal="center" vertical="center"/>
      <protection locked="0" hidden="1"/>
    </xf>
    <xf numFmtId="0" fontId="5" fillId="2" borderId="84" xfId="0" applyFont="1" applyFill="1" applyBorder="1" applyAlignment="1" applyProtection="1">
      <alignment horizontal="center" vertical="center"/>
      <protection locked="0" hidden="1"/>
    </xf>
    <xf numFmtId="0" fontId="37" fillId="0" borderId="21" xfId="0" applyFont="1" applyBorder="1" applyAlignment="1" applyProtection="1">
      <alignment horizontal="center" vertical="center" textRotation="90" wrapText="1"/>
    </xf>
    <xf numFmtId="0" fontId="37" fillId="0" borderId="22" xfId="0" applyFont="1" applyBorder="1" applyAlignment="1" applyProtection="1">
      <alignment horizontal="center" vertical="center" textRotation="90" wrapText="1"/>
    </xf>
    <xf numFmtId="0" fontId="37" fillId="0" borderId="21" xfId="0" applyFont="1" applyBorder="1" applyAlignment="1" applyProtection="1">
      <alignment horizontal="center" vertical="center" wrapText="1"/>
    </xf>
    <xf numFmtId="0" fontId="37" fillId="0" borderId="89" xfId="0" applyFont="1" applyBorder="1" applyAlignment="1" applyProtection="1">
      <alignment horizontal="center" vertical="center" wrapText="1"/>
    </xf>
    <xf numFmtId="0" fontId="10" fillId="0" borderId="18" xfId="1" applyFont="1" applyBorder="1" applyAlignment="1" applyProtection="1">
      <alignment horizontal="center" vertical="center"/>
    </xf>
    <xf numFmtId="0" fontId="8" fillId="0" borderId="0" xfId="1" applyFont="1" applyBorder="1" applyAlignment="1" applyProtection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4" fillId="0" borderId="79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7" fillId="0" borderId="21" xfId="0" applyFont="1" applyBorder="1" applyAlignment="1" applyProtection="1">
      <alignment vertical="center" textRotation="90" wrapText="1"/>
    </xf>
    <xf numFmtId="0" fontId="37" fillId="0" borderId="22" xfId="0" applyFont="1" applyBorder="1" applyAlignment="1" applyProtection="1">
      <alignment vertical="center" textRotation="90" wrapText="1"/>
    </xf>
    <xf numFmtId="0" fontId="48" fillId="3" borderId="55" xfId="1" applyFont="1" applyFill="1" applyBorder="1" applyAlignment="1" applyProtection="1">
      <alignment horizontal="center" vertical="center" wrapText="1"/>
    </xf>
    <xf numFmtId="0" fontId="48" fillId="3" borderId="19" xfId="1" applyFont="1" applyFill="1" applyBorder="1" applyAlignment="1" applyProtection="1">
      <alignment horizontal="center" vertical="center" wrapText="1"/>
    </xf>
    <xf numFmtId="0" fontId="48" fillId="3" borderId="56" xfId="1" applyFont="1" applyFill="1" applyBorder="1" applyAlignment="1" applyProtection="1">
      <alignment horizontal="center" vertical="center" wrapText="1"/>
    </xf>
    <xf numFmtId="0" fontId="2" fillId="0" borderId="79" xfId="1" applyFont="1" applyBorder="1" applyAlignment="1" applyProtection="1">
      <alignment horizontal="center" vertical="center"/>
    </xf>
    <xf numFmtId="0" fontId="22" fillId="0" borderId="0" xfId="0" applyFont="1" applyAlignment="1">
      <alignment horizontal="center" vertical="center"/>
    </xf>
    <xf numFmtId="0" fontId="24" fillId="4" borderId="55" xfId="1" applyFont="1" applyFill="1" applyBorder="1" applyAlignment="1" applyProtection="1">
      <alignment horizontal="center" vertical="center"/>
    </xf>
    <xf numFmtId="0" fontId="24" fillId="4" borderId="19" xfId="1" applyFont="1" applyFill="1" applyBorder="1" applyAlignment="1" applyProtection="1">
      <alignment horizontal="center" vertical="center"/>
    </xf>
    <xf numFmtId="0" fontId="24" fillId="4" borderId="56" xfId="1" applyFont="1" applyFill="1" applyBorder="1" applyAlignment="1" applyProtection="1">
      <alignment horizontal="center" vertical="center"/>
    </xf>
    <xf numFmtId="0" fontId="25" fillId="4" borderId="50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4" borderId="52" xfId="0" applyFont="1" applyFill="1" applyBorder="1" applyAlignment="1">
      <alignment horizontal="center" vertical="center"/>
    </xf>
    <xf numFmtId="0" fontId="26" fillId="0" borderId="79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5" fillId="5" borderId="50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5" borderId="52" xfId="0" applyFont="1" applyFill="1" applyBorder="1" applyAlignment="1">
      <alignment horizontal="center" vertical="center"/>
    </xf>
    <xf numFmtId="0" fontId="25" fillId="6" borderId="50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25" fillId="6" borderId="52" xfId="0" applyFont="1" applyFill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2" fillId="0" borderId="79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11" fillId="0" borderId="21" xfId="1" applyFont="1" applyBorder="1" applyAlignment="1" applyProtection="1">
      <alignment horizontal="left" vertical="center" wrapText="1"/>
    </xf>
    <xf numFmtId="0" fontId="11" fillId="0" borderId="34" xfId="1" applyFont="1" applyBorder="1" applyAlignment="1" applyProtection="1">
      <alignment horizontal="left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11" fillId="0" borderId="32" xfId="1" applyFont="1" applyBorder="1" applyAlignment="1" applyProtection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1" fillId="0" borderId="90" xfId="1" applyFont="1" applyBorder="1" applyAlignment="1" applyProtection="1">
      <alignment horizontal="left" vertical="center" wrapText="1"/>
    </xf>
    <xf numFmtId="0" fontId="11" fillId="0" borderId="22" xfId="1" applyFont="1" applyBorder="1" applyAlignment="1" applyProtection="1">
      <alignment horizontal="left" vertical="center" wrapText="1"/>
    </xf>
    <xf numFmtId="0" fontId="6" fillId="0" borderId="44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7" borderId="27" xfId="0" applyFont="1" applyFill="1" applyBorder="1" applyAlignment="1">
      <alignment horizontal="left" vertical="center"/>
    </xf>
    <xf numFmtId="0" fontId="50" fillId="0" borderId="4" xfId="0" applyFont="1" applyBorder="1" applyAlignment="1">
      <alignment horizontal="left" vertical="center" wrapText="1"/>
    </xf>
    <xf numFmtId="0" fontId="50" fillId="0" borderId="4" xfId="0" applyFont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left" vertical="center" wrapText="1"/>
    </xf>
    <xf numFmtId="0" fontId="51" fillId="7" borderId="27" xfId="0" applyFont="1" applyFill="1" applyBorder="1" applyAlignment="1">
      <alignment horizontal="left" vertical="center" wrapText="1"/>
    </xf>
    <xf numFmtId="0" fontId="11" fillId="7" borderId="27" xfId="3" applyFont="1" applyFill="1" applyBorder="1" applyAlignment="1">
      <alignment horizontal="left" vertical="center" wrapText="1"/>
    </xf>
    <xf numFmtId="0" fontId="50" fillId="7" borderId="4" xfId="4" applyFont="1" applyFill="1" applyBorder="1" applyAlignment="1">
      <alignment horizontal="left" vertical="center" wrapText="1"/>
    </xf>
    <xf numFmtId="14" fontId="50" fillId="7" borderId="4" xfId="4" applyNumberFormat="1" applyFont="1" applyFill="1" applyBorder="1" applyAlignment="1">
      <alignment horizontal="left" vertical="center" wrapText="1"/>
    </xf>
    <xf numFmtId="0" fontId="50" fillId="7" borderId="4" xfId="4" applyFont="1" applyFill="1" applyBorder="1" applyAlignment="1">
      <alignment horizontal="left" vertical="center"/>
    </xf>
    <xf numFmtId="0" fontId="11" fillId="7" borderId="4" xfId="3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7" borderId="27" xfId="5" applyFont="1" applyFill="1" applyBorder="1" applyAlignment="1">
      <alignment horizontal="left" vertical="center" wrapText="1"/>
    </xf>
    <xf numFmtId="0" fontId="50" fillId="0" borderId="4" xfId="6" applyFont="1" applyBorder="1" applyAlignment="1">
      <alignment horizontal="left" vertical="center" wrapText="1"/>
    </xf>
    <xf numFmtId="0" fontId="50" fillId="0" borderId="4" xfId="6" applyFont="1" applyBorder="1" applyAlignment="1">
      <alignment horizontal="center" vertical="center" wrapText="1"/>
    </xf>
    <xf numFmtId="49" fontId="11" fillId="7" borderId="27" xfId="0" applyNumberFormat="1" applyFont="1" applyFill="1" applyBorder="1" applyAlignment="1">
      <alignment horizontal="left" vertical="center" wrapText="1"/>
    </xf>
    <xf numFmtId="0" fontId="12" fillId="7" borderId="27" xfId="0" applyFont="1" applyFill="1" applyBorder="1" applyAlignment="1">
      <alignment horizontal="left" vertical="center" wrapText="1"/>
    </xf>
  </cellXfs>
  <cellStyles count="7">
    <cellStyle name="Гиперссылка" xfId="1" builtinId="8"/>
    <cellStyle name="Обычный" xfId="0" builtinId="0"/>
    <cellStyle name="Обычный 10" xfId="6"/>
    <cellStyle name="Обычный 11 2" xfId="3"/>
    <cellStyle name="Обычный 4" xfId="5"/>
    <cellStyle name="Обычный 5" xfId="4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28576</xdr:rowOff>
    </xdr:from>
    <xdr:to>
      <xdr:col>1</xdr:col>
      <xdr:colOff>180975</xdr:colOff>
      <xdr:row>1</xdr:row>
      <xdr:rowOff>41639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28576"/>
          <a:ext cx="342900" cy="384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12"/>
  </sheetPr>
  <dimension ref="A1:AI86"/>
  <sheetViews>
    <sheetView workbookViewId="0">
      <selection activeCell="Y12" sqref="Y12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01" t="s">
        <v>113</v>
      </c>
      <c r="B1" s="301"/>
      <c r="C1" s="301"/>
      <c r="D1" s="301"/>
      <c r="E1" s="301"/>
      <c r="F1" s="301"/>
      <c r="G1" s="301"/>
      <c r="H1" s="301"/>
    </row>
    <row r="2" spans="1:35" ht="27.75" customHeight="1">
      <c r="A2" s="310" t="str">
        <f>[1]реквизиты!$A$2</f>
        <v>Кубок России по самбо среди мужчин (№ ЕКП 1801)</v>
      </c>
      <c r="B2" s="310"/>
      <c r="C2" s="310"/>
      <c r="D2" s="310"/>
      <c r="E2" s="310"/>
      <c r="F2" s="310"/>
      <c r="G2" s="310"/>
      <c r="H2" s="310"/>
      <c r="I2" s="226"/>
      <c r="J2" s="226"/>
      <c r="K2" s="226"/>
    </row>
    <row r="3" spans="1:35" ht="14.25" customHeight="1">
      <c r="A3" s="302" t="str">
        <f>[1]реквизиты!$A$3</f>
        <v>21-25 ноября 2022 года                          г. Кстово, Нижегородская область</v>
      </c>
      <c r="B3" s="302"/>
      <c r="C3" s="302"/>
      <c r="D3" s="302"/>
      <c r="E3" s="302"/>
      <c r="F3" s="302"/>
      <c r="G3" s="302"/>
      <c r="H3" s="302"/>
    </row>
    <row r="4" spans="1:35" ht="15">
      <c r="D4" s="37" t="s">
        <v>192</v>
      </c>
      <c r="E4" s="37"/>
      <c r="Y4" s="318" t="s">
        <v>70</v>
      </c>
      <c r="Z4" s="318"/>
      <c r="AA4" s="318"/>
      <c r="AB4" s="318"/>
      <c r="AC4" s="318"/>
      <c r="AD4" s="318"/>
      <c r="AE4" s="318"/>
    </row>
    <row r="5" spans="1:35" ht="12.75" customHeight="1" thickBot="1">
      <c r="A5" s="303" t="s">
        <v>72</v>
      </c>
      <c r="B5" s="305" t="s">
        <v>4</v>
      </c>
      <c r="C5" s="303" t="s">
        <v>5</v>
      </c>
      <c r="D5" s="303" t="s">
        <v>6</v>
      </c>
      <c r="E5" s="306" t="s">
        <v>7</v>
      </c>
      <c r="F5" s="307"/>
      <c r="G5" s="303" t="s">
        <v>9</v>
      </c>
      <c r="H5" s="303" t="s">
        <v>8</v>
      </c>
      <c r="Q5" s="319"/>
      <c r="R5" s="319"/>
      <c r="S5" s="319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08"/>
      <c r="F6" s="309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КМС</v>
      </c>
      <c r="R6" s="239" t="str">
        <f>N8</f>
        <v>МС</v>
      </c>
      <c r="S6" s="240" t="str">
        <f>N9</f>
        <v>МСМК</v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71</v>
      </c>
      <c r="Z6" s="229" t="str">
        <f t="shared" ref="Z6:AF6" si="0">Q6</f>
        <v>КМС</v>
      </c>
      <c r="AA6" s="229" t="str">
        <f t="shared" si="0"/>
        <v>МС</v>
      </c>
      <c r="AB6" s="241" t="str">
        <f t="shared" si="0"/>
        <v>МСМК</v>
      </c>
      <c r="AC6" s="241" t="str">
        <f t="shared" si="0"/>
        <v/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73</v>
      </c>
      <c r="B7" s="577">
        <v>1</v>
      </c>
      <c r="C7" s="578" t="s">
        <v>116</v>
      </c>
      <c r="D7" s="579" t="s">
        <v>117</v>
      </c>
      <c r="E7" s="578" t="s">
        <v>118</v>
      </c>
      <c r="F7" s="578" t="s">
        <v>119</v>
      </c>
      <c r="G7" s="577"/>
      <c r="H7" s="578" t="s">
        <v>120</v>
      </c>
      <c r="I7" s="45"/>
      <c r="J7" s="245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>Кемеровская</v>
      </c>
      <c r="M7" s="246" t="str">
        <f t="array" ref="M7">IFERROR(INDEX(субъект,MATCH(SUM(COUNTIF(M$6:M6,субъект)),COUNTIF(субъект,"&lt;"&amp;субъект),0)),"")</f>
        <v>Кемеровская</v>
      </c>
      <c r="N7" s="246" t="str">
        <f t="array" ref="N7">IFERROR(INDEX(разряд,MATCH(SUM(COUNTIF(N$6:N6,разряд)),COUNTIF(разряд,"&lt;"&amp;разряд),0)),"")</f>
        <v>КМС</v>
      </c>
      <c r="O7" s="247">
        <v>1</v>
      </c>
      <c r="P7" s="182" t="str">
        <f t="shared" ref="P7:P38" si="1">M7</f>
        <v>Кемеровская</v>
      </c>
      <c r="Q7" s="248">
        <f t="shared" ref="Q7:Q38" si="2">SUMIFS($J$7:$J$54,$L$7:$L$54,P7,$K$7:$K$54,Q$6)</f>
        <v>0</v>
      </c>
      <c r="R7" s="248">
        <f t="shared" ref="R7:R38" si="3">SUMIFS($J$7:$J$54,$L$7:$L$54,P7,$K$7:$K$54,R$6)</f>
        <v>2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Кемеровская</v>
      </c>
      <c r="Z7" s="233" t="str">
        <f>IF(Q7=0," ",Q7)</f>
        <v xml:space="preserve"> </v>
      </c>
      <c r="AA7" s="233">
        <f>IF(R7=0," ",R7)</f>
        <v>2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11">
        <f>SUM(Z7:AF38)</f>
        <v>19</v>
      </c>
      <c r="AI7" s="312"/>
    </row>
    <row r="8" spans="1:35" ht="18.95" customHeight="1" thickBot="1">
      <c r="A8" s="242" t="s">
        <v>74</v>
      </c>
      <c r="B8" s="580">
        <v>2</v>
      </c>
      <c r="C8" s="578" t="s">
        <v>121</v>
      </c>
      <c r="D8" s="579" t="s">
        <v>122</v>
      </c>
      <c r="E8" s="578" t="s">
        <v>123</v>
      </c>
      <c r="F8" s="578" t="s">
        <v>124</v>
      </c>
      <c r="G8" s="580"/>
      <c r="H8" s="578" t="s">
        <v>125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Р. Адыгея Майкоп</v>
      </c>
      <c r="M8" s="246" t="str">
        <f t="array" ref="M8">IFERROR(INDEX(субъект,MATCH(SUM(COUNTIF(M$6:M7,субъект)),COUNTIF(субъект,"&lt;"&amp;субъект),0)),"")</f>
        <v>Краснодарский</v>
      </c>
      <c r="N8" s="246" t="str">
        <f t="array" ref="N8">IFERROR(INDEX(разряд,MATCH(SUM(COUNTIF(N$6:N7,разряд)),COUNTIF(разряд,"&lt;"&amp;разряд),0)),"")</f>
        <v>МС</v>
      </c>
      <c r="O8" s="247">
        <v>2</v>
      </c>
      <c r="P8" s="182" t="str">
        <f t="shared" si="1"/>
        <v>Краснодарский</v>
      </c>
      <c r="Q8" s="248">
        <f t="shared" si="2"/>
        <v>0</v>
      </c>
      <c r="R8" s="248">
        <f t="shared" si="3"/>
        <v>0</v>
      </c>
      <c r="S8" s="249">
        <f t="shared" si="4"/>
        <v>1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Краснодарский</v>
      </c>
      <c r="Z8" s="184" t="str">
        <f>IF($Y$8=$Y$7," ",IF(Q8=0," ",Q8))</f>
        <v xml:space="preserve"> </v>
      </c>
      <c r="AA8" s="184" t="str">
        <f>IF($Y$8=$Y$7," ",IF(R8=0," ",R8))</f>
        <v xml:space="preserve"> </v>
      </c>
      <c r="AB8" s="184">
        <f>IF($Y$8=$Y$7," ",IF(S8=0," ",S8))</f>
        <v>1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3"/>
      <c r="AI8" s="314"/>
    </row>
    <row r="9" spans="1:35" ht="18.95" customHeight="1">
      <c r="A9" s="242" t="s">
        <v>75</v>
      </c>
      <c r="B9" s="581">
        <v>3</v>
      </c>
      <c r="C9" s="578" t="s">
        <v>126</v>
      </c>
      <c r="D9" s="579" t="s">
        <v>127</v>
      </c>
      <c r="E9" s="578" t="s">
        <v>128</v>
      </c>
      <c r="F9" s="578" t="s">
        <v>129</v>
      </c>
      <c r="G9" s="580"/>
      <c r="H9" s="578" t="s">
        <v>130</v>
      </c>
      <c r="I9" s="45"/>
      <c r="J9" s="245">
        <v>1</v>
      </c>
      <c r="K9" s="237" t="str">
        <f t="shared" si="10"/>
        <v>МС</v>
      </c>
      <c r="L9" s="237" t="str">
        <f t="shared" si="11"/>
        <v>Москва</v>
      </c>
      <c r="M9" s="246" t="str">
        <f t="array" ref="M9">IFERROR(INDEX(субъект,MATCH(SUM(COUNTIF(M$6:M8,субъект)),COUNTIF(субъект,"&lt;"&amp;субъект),0)),"")</f>
        <v>Москва</v>
      </c>
      <c r="N9" s="246" t="str">
        <f t="array" ref="N9">IFERROR(INDEX(разряд,MATCH(SUM(COUNTIF(N$6:N8,разряд)),COUNTIF(разряд,"&lt;"&amp;разряд),0)),"")</f>
        <v>МСМК</v>
      </c>
      <c r="O9" s="247">
        <v>3</v>
      </c>
      <c r="P9" s="182" t="str">
        <f t="shared" si="1"/>
        <v>Москва</v>
      </c>
      <c r="Q9" s="248">
        <f t="shared" si="2"/>
        <v>0</v>
      </c>
      <c r="R9" s="248">
        <f t="shared" si="3"/>
        <v>1</v>
      </c>
      <c r="S9" s="249">
        <f t="shared" si="4"/>
        <v>1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Москва</v>
      </c>
      <c r="Z9" s="184" t="str">
        <f>IF(OR($Y9=$Y7,$Y9=$Y8)," ",IF(Q9=0," ",Q9))</f>
        <v xml:space="preserve"> </v>
      </c>
      <c r="AA9" s="184">
        <f>IF(OR($Y9=$Y7,$Y9=$Y8)," ",IF(R9=0," ",R9))</f>
        <v>1</v>
      </c>
      <c r="AB9" s="184">
        <f>IF(OR($Y9=$Y7,$Y9=$Y8)," ",IF(S9=0," ",S9))</f>
        <v>1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76</v>
      </c>
      <c r="B10" s="580">
        <v>4</v>
      </c>
      <c r="C10" s="578" t="s">
        <v>131</v>
      </c>
      <c r="D10" s="579" t="s">
        <v>132</v>
      </c>
      <c r="E10" s="578" t="s">
        <v>118</v>
      </c>
      <c r="F10" s="578" t="s">
        <v>119</v>
      </c>
      <c r="G10" s="582"/>
      <c r="H10" s="578" t="s">
        <v>120</v>
      </c>
      <c r="I10" s="45"/>
      <c r="J10" s="245">
        <v>1</v>
      </c>
      <c r="K10" s="237" t="str">
        <f t="shared" si="10"/>
        <v>МС</v>
      </c>
      <c r="L10" s="237" t="str">
        <f t="shared" si="11"/>
        <v>Кемеровская</v>
      </c>
      <c r="M10" s="246" t="str">
        <f t="array" ref="M10">IFERROR(INDEX(субъект,MATCH(SUM(COUNTIF(M$6:M9,субъект)),COUNTIF(субъект,"&lt;"&amp;субъект),0)),"")</f>
        <v>Нижегородская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1"/>
        <v>Нижегородская</v>
      </c>
      <c r="Q10" s="248">
        <f t="shared" si="2"/>
        <v>1</v>
      </c>
      <c r="R10" s="248">
        <f t="shared" si="3"/>
        <v>0</v>
      </c>
      <c r="S10" s="249">
        <f t="shared" si="4"/>
        <v>0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>Нижегородская</v>
      </c>
      <c r="Z10" s="184">
        <f>IF(OR($Y10=$Y8,$Y10=$Y9,$Y10=$Y7)," ",IF(Q10=0," ",Q10))</f>
        <v>1</v>
      </c>
      <c r="AA10" s="184" t="str">
        <f>IF(OR($Y10=$Y8,$Y10=$Y9,$Y10=$Y7)," ",IF(R10=0," ",R10))</f>
        <v xml:space="preserve"> </v>
      </c>
      <c r="AB10" s="184" t="str">
        <f>IF(OR($Y10=$Y8,$Y10=$Y9,$Y10=$Y7)," ",IF(S10=0," ",S10))</f>
        <v xml:space="preserve"> 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77</v>
      </c>
      <c r="B11" s="580">
        <v>5</v>
      </c>
      <c r="C11" s="578" t="s">
        <v>133</v>
      </c>
      <c r="D11" s="579" t="s">
        <v>134</v>
      </c>
      <c r="E11" s="578" t="s">
        <v>135</v>
      </c>
      <c r="F11" s="578" t="s">
        <v>136</v>
      </c>
      <c r="G11" s="580"/>
      <c r="H11" s="578" t="s">
        <v>137</v>
      </c>
      <c r="I11" s="45"/>
      <c r="J11" s="245">
        <v>1</v>
      </c>
      <c r="K11" s="237" t="str">
        <f t="shared" si="10"/>
        <v>МСМК</v>
      </c>
      <c r="L11" s="237" t="str">
        <f t="shared" si="11"/>
        <v>Свердловская</v>
      </c>
      <c r="M11" s="246" t="str">
        <f t="array" ref="M11">IFERROR(INDEX(субъект,MATCH(SUM(COUNTIF(M$6:M10,субъект)),COUNTIF(субъект,"&lt;"&amp;субъект),0)),"")</f>
        <v>Оренбургская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Оренбургская</v>
      </c>
      <c r="Q11" s="248">
        <f t="shared" si="2"/>
        <v>0</v>
      </c>
      <c r="R11" s="248">
        <f t="shared" si="3"/>
        <v>0</v>
      </c>
      <c r="S11" s="249">
        <f t="shared" si="4"/>
        <v>1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Оренбургская</v>
      </c>
      <c r="Z11" s="184" t="str">
        <f>IF(OR($Y11=$Y9,$Y11=$Y10,$Y11=$Y8,$Y11=$Y7)," ",IF(Q11=0," ",Q11))</f>
        <v xml:space="preserve"> </v>
      </c>
      <c r="AA11" s="184" t="str">
        <f>IF(OR($Y11=$Y9,$Y11=$Y10,$Y11=$Y8,$Y11=$Y7)," ",IF(R11=0," ",R11))</f>
        <v xml:space="preserve"> </v>
      </c>
      <c r="AB11" s="184">
        <f>IF(OR($Y11=$Y9,$Y11=$Y10,$Y11=$Y8,$Y11=$Y7)," ",IF(S11=0," ",S11))</f>
        <v>1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78</v>
      </c>
      <c r="B12" s="580">
        <v>6</v>
      </c>
      <c r="C12" s="583" t="s">
        <v>138</v>
      </c>
      <c r="D12" s="584" t="s">
        <v>139</v>
      </c>
      <c r="E12" s="585" t="s">
        <v>128</v>
      </c>
      <c r="F12" s="586" t="s">
        <v>129</v>
      </c>
      <c r="G12" s="580"/>
      <c r="H12" s="587" t="s">
        <v>140</v>
      </c>
      <c r="I12" s="45"/>
      <c r="J12" s="245">
        <v>1</v>
      </c>
      <c r="K12" s="237" t="str">
        <f t="shared" si="10"/>
        <v>МСМК</v>
      </c>
      <c r="L12" s="237" t="str">
        <f t="shared" si="11"/>
        <v>Москва</v>
      </c>
      <c r="M12" s="246" t="str">
        <f t="array" ref="M12">IFERROR(INDEX(субъект,MATCH(SUM(COUNTIF(M$6:M11,субъект)),COUNTIF(субъект,"&lt;"&amp;субъект),0)),"")</f>
        <v>Пензенская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Пензенская</v>
      </c>
      <c r="Q12" s="248">
        <f t="shared" si="2"/>
        <v>0</v>
      </c>
      <c r="R12" s="248">
        <f t="shared" si="3"/>
        <v>1</v>
      </c>
      <c r="S12" s="249">
        <f t="shared" si="4"/>
        <v>0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Пензенская</v>
      </c>
      <c r="Z12" s="184" t="str">
        <f>IF(OR($Y12=$Y10,$Y12=$Y11,$Y12=$Y9,$Y12=$Y8,$Y12=$Y7)," ",IF(Q12=0," ",Q12))</f>
        <v xml:space="preserve"> </v>
      </c>
      <c r="AA12" s="184">
        <f>IF(OR($Y12=$Y10,$Y12=$Y11,$Y12=$Y9,$Y12=$Y8,$Y12=$Y7)," ",IF(R12=0," ",R12))</f>
        <v>1</v>
      </c>
      <c r="AB12" s="184" t="str">
        <f>IF(OR($Y12=$Y10,$Y12=$Y11,$Y12=$Y9,$Y12=$Y8,$Y12=$Y7)," ",IF(S12=0," ",S12))</f>
        <v xml:space="preserve"> 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79</v>
      </c>
      <c r="B13" s="580">
        <v>7</v>
      </c>
      <c r="C13" s="578" t="s">
        <v>141</v>
      </c>
      <c r="D13" s="579" t="s">
        <v>142</v>
      </c>
      <c r="E13" s="578" t="s">
        <v>143</v>
      </c>
      <c r="F13" s="578" t="s">
        <v>144</v>
      </c>
      <c r="G13" s="580"/>
      <c r="H13" s="578" t="s">
        <v>145</v>
      </c>
      <c r="I13" s="45"/>
      <c r="J13" s="245">
        <v>1</v>
      </c>
      <c r="K13" s="237" t="str">
        <f t="shared" si="10"/>
        <v>МС</v>
      </c>
      <c r="L13" s="237" t="str">
        <f t="shared" si="11"/>
        <v>Р. Дагестан</v>
      </c>
      <c r="M13" s="246" t="str">
        <f t="array" ref="M13">IFERROR(INDEX(субъект,MATCH(SUM(COUNTIF(M$6:M12,субъект)),COUNTIF(субъект,"&lt;"&amp;субъект),0)),"")</f>
        <v>Р. Адыгея Майкоп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Р. Адыгея Майкоп</v>
      </c>
      <c r="Q13" s="248">
        <f t="shared" si="2"/>
        <v>0</v>
      </c>
      <c r="R13" s="248">
        <f t="shared" si="3"/>
        <v>1</v>
      </c>
      <c r="S13" s="249">
        <f t="shared" si="4"/>
        <v>0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Р. Адыгея Майкоп</v>
      </c>
      <c r="Z13" s="184" t="str">
        <f>IF(OR($Y13=$Y11,$Y13=$Y12,$Y13=$Y10,$Y13=$Y9,$Y13=$Y8,$Y13=$Y7)," ",IF(Q13=0," ",Q13))</f>
        <v xml:space="preserve"> </v>
      </c>
      <c r="AA13" s="184">
        <f>IF(OR($Y13=$Y11,$Y13=$Y12,$Y13=$Y10,$Y13=$Y9,$Y13=$Y8,$Y13=$Y7)," ",IF(R13=0," ",R13))</f>
        <v>1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80</v>
      </c>
      <c r="B14" s="580">
        <v>8</v>
      </c>
      <c r="C14" s="578" t="s">
        <v>146</v>
      </c>
      <c r="D14" s="579" t="s">
        <v>147</v>
      </c>
      <c r="E14" s="578" t="s">
        <v>135</v>
      </c>
      <c r="F14" s="578" t="s">
        <v>136</v>
      </c>
      <c r="G14" s="580"/>
      <c r="H14" s="578" t="s">
        <v>148</v>
      </c>
      <c r="I14" s="45"/>
      <c r="J14" s="245">
        <v>1</v>
      </c>
      <c r="K14" s="237" t="str">
        <f t="shared" si="10"/>
        <v>МС</v>
      </c>
      <c r="L14" s="237" t="str">
        <f t="shared" si="11"/>
        <v>Свердловская</v>
      </c>
      <c r="M14" s="246" t="str">
        <f t="array" ref="M14">IFERROR(INDEX(субъект,MATCH(SUM(COUNTIF(M$6:M13,субъект)),COUNTIF(субъект,"&lt;"&amp;субъект),0)),"")</f>
        <v>Р. Дагестан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Р. Дагестан</v>
      </c>
      <c r="Q14" s="248">
        <f t="shared" si="2"/>
        <v>0</v>
      </c>
      <c r="R14" s="248">
        <f t="shared" si="3"/>
        <v>1</v>
      </c>
      <c r="S14" s="249">
        <f t="shared" si="4"/>
        <v>0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Р. Дагестан</v>
      </c>
      <c r="Z14" s="184" t="str">
        <f>IF(OR($Y14=$Y12,$Y14=$Y13,$Y14=$Y11,$Y14=$Y10,$Y14=$Y9,$Y14=$Y7)," ",IF(Q14=0," ",Q14))</f>
        <v xml:space="preserve"> </v>
      </c>
      <c r="AA14" s="184">
        <f>IF(OR($Y14=$Y12,$Y14=$Y13,$Y14=$Y11,$Y14=$Y10,$Y14=$Y9,$Y14=$Y7)," ",IF(R14=0," ",R14))</f>
        <v>1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81</v>
      </c>
      <c r="B15" s="588">
        <v>9</v>
      </c>
      <c r="C15" s="578" t="s">
        <v>149</v>
      </c>
      <c r="D15" s="579" t="s">
        <v>150</v>
      </c>
      <c r="E15" s="578" t="s">
        <v>151</v>
      </c>
      <c r="F15" s="578" t="s">
        <v>152</v>
      </c>
      <c r="G15" s="582"/>
      <c r="H15" s="578" t="s">
        <v>153</v>
      </c>
      <c r="I15" s="45"/>
      <c r="J15" s="245">
        <v>1</v>
      </c>
      <c r="K15" s="237" t="str">
        <f t="shared" si="10"/>
        <v>КМС</v>
      </c>
      <c r="L15" s="237" t="str">
        <f t="shared" si="11"/>
        <v>Санкт-Петербург</v>
      </c>
      <c r="M15" s="246" t="str">
        <f t="array" ref="M15">IFERROR(INDEX(субъект,MATCH(SUM(COUNTIF(M$6:M14,субъект)),COUNTIF(субъект,"&lt;"&amp;субъект),0)),"")</f>
        <v>Ростовская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Ростовская</v>
      </c>
      <c r="Q15" s="248">
        <f t="shared" si="2"/>
        <v>0</v>
      </c>
      <c r="R15" s="248">
        <f t="shared" si="3"/>
        <v>1</v>
      </c>
      <c r="S15" s="249">
        <f t="shared" si="4"/>
        <v>0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Ростовская</v>
      </c>
      <c r="Z15" s="184" t="str">
        <f>IF(OR($Y15=$Y13,$Y15=$Y14,$Y15=$Y12,$Y15=$Y11,$Y15=$Y10,$Y15=$Y8,$Y15=$Y7)," ",IF(Q15=0," ",Q15))</f>
        <v xml:space="preserve"> </v>
      </c>
      <c r="AA15" s="184">
        <f>IF(OR($Y15=$Y13,$Y15=$Y14,$Y15=$Y12,$Y15=$Y11,$Y15=$Y10,$Y15=$Y8,$Y15=$Y7)," ",IF(R15=0," ",R15))</f>
        <v>1</v>
      </c>
      <c r="AB15" s="184" t="str">
        <f>IF(OR($Y15=$Y13,$Y15=$Y14,$Y15=$Y12,$Y15=$Y11,$Y15=$Y10,$Y15=$Y8,$Y15=$Y7)," ",IF(S15=0," ",S15))</f>
        <v xml:space="preserve"> 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82</v>
      </c>
      <c r="B16" s="580">
        <v>10</v>
      </c>
      <c r="C16" s="578" t="s">
        <v>154</v>
      </c>
      <c r="D16" s="579" t="s">
        <v>155</v>
      </c>
      <c r="E16" s="578" t="s">
        <v>135</v>
      </c>
      <c r="F16" s="578" t="s">
        <v>136</v>
      </c>
      <c r="G16" s="580"/>
      <c r="H16" s="578" t="s">
        <v>137</v>
      </c>
      <c r="I16" s="45"/>
      <c r="J16" s="245">
        <v>1</v>
      </c>
      <c r="K16" s="237" t="str">
        <f t="shared" si="10"/>
        <v>МСМК</v>
      </c>
      <c r="L16" s="237" t="str">
        <f t="shared" si="11"/>
        <v>Свердловская</v>
      </c>
      <c r="M16" s="246" t="str">
        <f t="array" ref="M16">IFERROR(INDEX(субъект,MATCH(SUM(COUNTIF(M$6:M15,субъект)),COUNTIF(субъект,"&lt;"&amp;субъект),0)),"")</f>
        <v>Рязанская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Рязанская</v>
      </c>
      <c r="Q16" s="248">
        <f t="shared" si="2"/>
        <v>0</v>
      </c>
      <c r="R16" s="248">
        <f t="shared" si="3"/>
        <v>1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Рязанская</v>
      </c>
      <c r="Z16" s="184" t="str">
        <f>IF(OR($Y16=$Y14,$Y16=$Y15,$Y16=$Y13,$Y16=$Y12,$Y16=$Y11,$Y16=$Y9,$Y16=$Y8,$Y16=$Y7)," ",IF(Q16=0," ",Q16))</f>
        <v xml:space="preserve"> </v>
      </c>
      <c r="AA16" s="184">
        <f>IF(OR($Y16=$Y14,$Y16=$Y15,$Y16=$Y13,$Y16=$Y12,$Y16=$Y11,$Y16=$Y9,$Y16=$Y8,$Y16=$Y7)," ",IF(R16=0," ",R16))</f>
        <v>1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83</v>
      </c>
      <c r="B17" s="580">
        <v>11</v>
      </c>
      <c r="C17" s="578" t="s">
        <v>156</v>
      </c>
      <c r="D17" s="579" t="s">
        <v>157</v>
      </c>
      <c r="E17" s="578" t="s">
        <v>158</v>
      </c>
      <c r="F17" s="578" t="s">
        <v>159</v>
      </c>
      <c r="G17" s="580"/>
      <c r="H17" s="578" t="s">
        <v>160</v>
      </c>
      <c r="I17" s="45"/>
      <c r="J17" s="245">
        <v>1</v>
      </c>
      <c r="K17" s="237" t="str">
        <f t="shared" si="10"/>
        <v>КМС</v>
      </c>
      <c r="L17" s="237" t="str">
        <f t="shared" si="11"/>
        <v>Нижегородская</v>
      </c>
      <c r="M17" s="246" t="str">
        <f t="array" ref="M17">IFERROR(INDEX(субъект,MATCH(SUM(COUNTIF(M$6:M16,субъект)),COUNTIF(субъект,"&lt;"&amp;субъект),0)),"")</f>
        <v>Санкт-Петербург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Санкт-Петербург</v>
      </c>
      <c r="Q17" s="248">
        <f t="shared" si="2"/>
        <v>2</v>
      </c>
      <c r="R17" s="248">
        <f t="shared" si="3"/>
        <v>1</v>
      </c>
      <c r="S17" s="249">
        <f t="shared" si="4"/>
        <v>0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Санкт-Петербург</v>
      </c>
      <c r="Z17" s="184">
        <f>IF(OR($Y17=$Y15,$Y17=$Y16,$Y17=$Y14,$Y17=$Y13,$Y17=$Y12,$Y17=$Y10,$Y17=$Y9,$Y17=$Y8,$Y17=$Y7)," ",IF(Q17=0," ",Q17))</f>
        <v>2</v>
      </c>
      <c r="AA17" s="184">
        <f>IF(OR($Y17=$Y15,$Y17=$Y16,$Y17=$Y14,$Y17=$Y13,$Y17=$Y12,$Y17=$Y10,$Y17=$Y9,$Y17=$Y8,$Y17=$Y7)," ",IF(R17=0," ",R17))</f>
        <v>1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84</v>
      </c>
      <c r="B18" s="580">
        <v>12</v>
      </c>
      <c r="C18" s="578" t="s">
        <v>161</v>
      </c>
      <c r="D18" s="579" t="s">
        <v>162</v>
      </c>
      <c r="E18" s="578" t="s">
        <v>151</v>
      </c>
      <c r="F18" s="578" t="s">
        <v>152</v>
      </c>
      <c r="G18" s="580"/>
      <c r="H18" s="578" t="s">
        <v>163</v>
      </c>
      <c r="I18" s="45"/>
      <c r="J18" s="245">
        <v>1</v>
      </c>
      <c r="K18" s="237" t="str">
        <f t="shared" si="10"/>
        <v>МС</v>
      </c>
      <c r="L18" s="237" t="str">
        <f t="shared" si="11"/>
        <v>Санкт-Петербург</v>
      </c>
      <c r="M18" s="246" t="str">
        <f t="array" ref="M18">IFERROR(INDEX(субъект,MATCH(SUM(COUNTIF(M$6:M17,субъект)),COUNTIF(субъект,"&lt;"&amp;субъект),0)),"")</f>
        <v>Свердловская</v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>Свердловская</v>
      </c>
      <c r="Q18" s="248">
        <f t="shared" si="2"/>
        <v>0</v>
      </c>
      <c r="R18" s="248">
        <f t="shared" si="3"/>
        <v>1</v>
      </c>
      <c r="S18" s="249">
        <f t="shared" si="4"/>
        <v>2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>Свердловская</v>
      </c>
      <c r="Z18" s="184" t="str">
        <f>IF(OR($Y18=$Y16,$Y18=$Y17,$Y18=$Y15,$Y18=$Y14,$Y18=$Y13,$Y18=$Y11,$Y18=$Y10,$Y18=$Y9,$Y18=$Y8,$Y18=$Y7)," ",IF(Q18=0," ",Q18))</f>
        <v xml:space="preserve"> </v>
      </c>
      <c r="AA18" s="184">
        <f>IF(OR($Y18=$Y16,$Y18=$Y17,$Y18=$Y15,$Y18=$Y14,$Y18=$Y13,$Y18=$Y11,$Y18=$Y10,$Y18=$Y9,$Y18=$Y8,$Y18=$Y7)," ",IF(R18=0," ",R18))</f>
        <v>1</v>
      </c>
      <c r="AB18" s="184">
        <f>IF(OR($Y18=$Y16,$Y18=$Y17,$Y18=$Y15,$Y18=$Y14,$Y18=$Y13,$Y18=$Y11,$Y18=$Y10,$Y18=$Y9,$Y18=$Y8,$Y18=$Y7)," ",IF(S18=0," ",S18))</f>
        <v>2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85</v>
      </c>
      <c r="B19" s="580">
        <v>13</v>
      </c>
      <c r="C19" s="578" t="s">
        <v>164</v>
      </c>
      <c r="D19" s="579" t="s">
        <v>165</v>
      </c>
      <c r="E19" s="578" t="s">
        <v>123</v>
      </c>
      <c r="F19" s="578" t="s">
        <v>166</v>
      </c>
      <c r="G19" s="580"/>
      <c r="H19" s="578" t="s">
        <v>167</v>
      </c>
      <c r="I19" s="45"/>
      <c r="J19" s="245">
        <v>1</v>
      </c>
      <c r="K19" s="237" t="str">
        <f t="shared" si="10"/>
        <v>МС</v>
      </c>
      <c r="L19" s="237" t="str">
        <f t="shared" si="11"/>
        <v>Ростовская</v>
      </c>
      <c r="M19" s="246" t="str">
        <f t="array" ref="M19">IFERROR(INDEX(субъект,MATCH(SUM(COUNTIF(M$6:M18,субъект)),COUNTIF(субъект,"&lt;"&amp;субъект),0)),"")</f>
        <v>ХМАО-Свердловская</v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>ХМАО-Свердловская</v>
      </c>
      <c r="Q19" s="248">
        <f t="shared" si="2"/>
        <v>0</v>
      </c>
      <c r="R19" s="248">
        <f t="shared" si="3"/>
        <v>1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>ХМАО-Свердловская</v>
      </c>
      <c r="Z19" s="184" t="str">
        <f t="shared" ref="Z19:AC22" si="13">IF(Q19=0," ",Q19)</f>
        <v xml:space="preserve"> </v>
      </c>
      <c r="AA19" s="184">
        <f t="shared" si="13"/>
        <v>1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86</v>
      </c>
      <c r="B20" s="580">
        <v>14</v>
      </c>
      <c r="C20" s="578" t="s">
        <v>168</v>
      </c>
      <c r="D20" s="579" t="s">
        <v>169</v>
      </c>
      <c r="E20" s="578" t="s">
        <v>158</v>
      </c>
      <c r="F20" s="578" t="s">
        <v>170</v>
      </c>
      <c r="G20" s="580"/>
      <c r="H20" s="578" t="s">
        <v>171</v>
      </c>
      <c r="I20" s="45"/>
      <c r="J20" s="245">
        <v>1</v>
      </c>
      <c r="K20" s="237" t="str">
        <f t="shared" si="10"/>
        <v>МС</v>
      </c>
      <c r="L20" s="237" t="str">
        <f t="shared" si="11"/>
        <v>Пензенская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/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87</v>
      </c>
      <c r="B21" s="580">
        <v>15</v>
      </c>
      <c r="C21" s="578" t="s">
        <v>172</v>
      </c>
      <c r="D21" s="579" t="s">
        <v>173</v>
      </c>
      <c r="E21" s="578" t="s">
        <v>151</v>
      </c>
      <c r="F21" s="578" t="s">
        <v>152</v>
      </c>
      <c r="G21" s="580"/>
      <c r="H21" s="578" t="s">
        <v>174</v>
      </c>
      <c r="I21" s="45"/>
      <c r="J21" s="245">
        <v>1</v>
      </c>
      <c r="K21" s="237" t="str">
        <f t="shared" si="10"/>
        <v>КМС</v>
      </c>
      <c r="L21" s="237" t="str">
        <f t="shared" si="11"/>
        <v>Санкт-Петербург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88</v>
      </c>
      <c r="B22" s="580">
        <v>16</v>
      </c>
      <c r="C22" s="589" t="s">
        <v>175</v>
      </c>
      <c r="D22" s="590" t="s">
        <v>176</v>
      </c>
      <c r="E22" s="589" t="s">
        <v>123</v>
      </c>
      <c r="F22" s="578" t="s">
        <v>177</v>
      </c>
      <c r="G22" s="591"/>
      <c r="H22" s="589" t="s">
        <v>178</v>
      </c>
      <c r="I22" s="45"/>
      <c r="J22" s="245">
        <v>1</v>
      </c>
      <c r="K22" s="237" t="str">
        <f t="shared" si="10"/>
        <v>МСМК</v>
      </c>
      <c r="L22" s="237" t="str">
        <f t="shared" si="11"/>
        <v>Краснодарский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89</v>
      </c>
      <c r="B23" s="592">
        <v>17</v>
      </c>
      <c r="C23" s="578" t="s">
        <v>179</v>
      </c>
      <c r="D23" s="579" t="s">
        <v>180</v>
      </c>
      <c r="E23" s="578" t="s">
        <v>181</v>
      </c>
      <c r="F23" s="578" t="s">
        <v>182</v>
      </c>
      <c r="G23" s="591"/>
      <c r="H23" s="578" t="s">
        <v>183</v>
      </c>
      <c r="I23" s="45"/>
      <c r="J23" s="245">
        <v>1</v>
      </c>
      <c r="K23" s="237" t="str">
        <f t="shared" si="10"/>
        <v>МС</v>
      </c>
      <c r="L23" s="237" t="str">
        <f>IFERROR(LEFT(F23,FIND(",",F23)-1),F23)</f>
        <v>Рязанская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90</v>
      </c>
      <c r="B24" s="580">
        <v>18</v>
      </c>
      <c r="C24" s="578" t="s">
        <v>184</v>
      </c>
      <c r="D24" s="579" t="s">
        <v>185</v>
      </c>
      <c r="E24" s="578" t="s">
        <v>158</v>
      </c>
      <c r="F24" s="578" t="s">
        <v>186</v>
      </c>
      <c r="G24" s="591"/>
      <c r="H24" s="578" t="s">
        <v>187</v>
      </c>
      <c r="I24" s="45"/>
      <c r="J24" s="245">
        <v>1</v>
      </c>
      <c r="K24" s="237" t="str">
        <f t="shared" si="10"/>
        <v>МСМК</v>
      </c>
      <c r="L24" s="237" t="str">
        <f t="shared" ref="L24:L38" si="15">IFERROR(LEFT(F24,FIND(",",F24)-1),F24)</f>
        <v>Оренбургская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91</v>
      </c>
      <c r="B25" s="580">
        <v>19</v>
      </c>
      <c r="C25" s="578" t="s">
        <v>188</v>
      </c>
      <c r="D25" s="579" t="s">
        <v>189</v>
      </c>
      <c r="E25" s="578" t="s">
        <v>135</v>
      </c>
      <c r="F25" s="578" t="s">
        <v>190</v>
      </c>
      <c r="G25" s="580"/>
      <c r="H25" s="578" t="s">
        <v>191</v>
      </c>
      <c r="I25" s="45"/>
      <c r="J25" s="245">
        <v>1</v>
      </c>
      <c r="K25" s="237" t="str">
        <f t="shared" si="10"/>
        <v>МС</v>
      </c>
      <c r="L25" s="237" t="str">
        <f t="shared" si="15"/>
        <v>ХМАО-Свердловская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92</v>
      </c>
      <c r="B26" s="243"/>
      <c r="C26" s="291"/>
      <c r="D26" s="244"/>
      <c r="E26" s="244"/>
      <c r="F26" s="291"/>
      <c r="G26" s="244"/>
      <c r="H26" s="294"/>
      <c r="I26" s="45"/>
      <c r="J26" s="245">
        <v>1</v>
      </c>
      <c r="K26" s="237">
        <f t="shared" si="10"/>
        <v>0</v>
      </c>
      <c r="L26" s="237">
        <f t="shared" si="15"/>
        <v>0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93</v>
      </c>
      <c r="B27" s="243"/>
      <c r="C27" s="292"/>
      <c r="D27" s="254"/>
      <c r="E27" s="238"/>
      <c r="F27" s="292"/>
      <c r="G27" s="253"/>
      <c r="H27" s="295"/>
      <c r="I27" s="45"/>
      <c r="J27" s="245">
        <v>1</v>
      </c>
      <c r="K27" s="237">
        <f t="shared" si="10"/>
        <v>0</v>
      </c>
      <c r="L27" s="237">
        <f t="shared" si="15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94</v>
      </c>
      <c r="B28" s="243"/>
      <c r="C28" s="292"/>
      <c r="D28" s="254"/>
      <c r="E28" s="238"/>
      <c r="F28" s="299"/>
      <c r="G28" s="253"/>
      <c r="H28" s="295"/>
      <c r="I28" s="45"/>
      <c r="J28" s="245">
        <v>1</v>
      </c>
      <c r="K28" s="237">
        <f t="shared" si="10"/>
        <v>0</v>
      </c>
      <c r="L28" s="237">
        <f t="shared" si="15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95</v>
      </c>
      <c r="B29" s="243"/>
      <c r="C29" s="291"/>
      <c r="D29" s="244"/>
      <c r="E29" s="297"/>
      <c r="F29" s="292"/>
      <c r="G29" s="298"/>
      <c r="H29" s="294"/>
      <c r="I29" s="45"/>
      <c r="J29" s="245">
        <v>1</v>
      </c>
      <c r="K29" s="237">
        <f t="shared" si="10"/>
        <v>0</v>
      </c>
      <c r="L29" s="237">
        <f t="shared" si="15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96</v>
      </c>
      <c r="B30" s="243"/>
      <c r="C30" s="291"/>
      <c r="D30" s="244"/>
      <c r="E30" s="244"/>
      <c r="F30" s="299"/>
      <c r="G30" s="244"/>
      <c r="H30" s="294"/>
      <c r="I30" s="45"/>
      <c r="J30" s="245">
        <v>1</v>
      </c>
      <c r="K30" s="237">
        <f t="shared" si="10"/>
        <v>0</v>
      </c>
      <c r="L30" s="237">
        <f t="shared" si="15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97</v>
      </c>
      <c r="B31" s="243"/>
      <c r="C31" s="291"/>
      <c r="D31" s="244"/>
      <c r="E31" s="297"/>
      <c r="F31" s="299"/>
      <c r="G31" s="298"/>
      <c r="H31" s="294"/>
      <c r="I31" s="45"/>
      <c r="J31" s="245">
        <v>1</v>
      </c>
      <c r="K31" s="237">
        <f t="shared" si="10"/>
        <v>0</v>
      </c>
      <c r="L31" s="237">
        <f t="shared" si="15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98</v>
      </c>
      <c r="B32" s="243"/>
      <c r="C32" s="291"/>
      <c r="D32" s="244"/>
      <c r="E32" s="244"/>
      <c r="F32" s="299"/>
      <c r="G32" s="244"/>
      <c r="H32" s="294"/>
      <c r="I32" s="45"/>
      <c r="J32" s="245">
        <v>1</v>
      </c>
      <c r="K32" s="237">
        <f t="shared" si="10"/>
        <v>0</v>
      </c>
      <c r="L32" s="237">
        <f t="shared" si="15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99</v>
      </c>
      <c r="B33" s="243"/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10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100</v>
      </c>
      <c r="B34" s="243"/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101</v>
      </c>
      <c r="B35" s="243"/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102</v>
      </c>
      <c r="B36" s="243"/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103</v>
      </c>
      <c r="B37" s="243"/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104</v>
      </c>
      <c r="B38" s="243"/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48</v>
      </c>
      <c r="D39" s="258"/>
      <c r="E39" s="258"/>
      <c r="F39" s="258"/>
      <c r="G39" s="258"/>
      <c r="H39" s="258"/>
      <c r="I39" s="15"/>
      <c r="J39" s="315"/>
      <c r="K39" s="316"/>
      <c r="L39" s="31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15"/>
      <c r="K40" s="316"/>
      <c r="L40" s="317"/>
      <c r="M40" s="232"/>
      <c r="N40" s="232"/>
      <c r="O40" s="15"/>
    </row>
    <row r="41" spans="1:32">
      <c r="A41" s="257" t="s">
        <v>49</v>
      </c>
      <c r="D41" s="258"/>
      <c r="E41" s="258"/>
      <c r="F41" s="258"/>
      <c r="G41" s="258"/>
      <c r="H41" s="258"/>
      <c r="J41" s="315"/>
      <c r="K41" s="316"/>
      <c r="L41" s="31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15"/>
      <c r="K42" s="316"/>
      <c r="L42" s="317"/>
      <c r="M42" s="232"/>
      <c r="N42" s="232"/>
      <c r="O42" s="15"/>
    </row>
    <row r="43" spans="1:32">
      <c r="A43" s="257" t="s">
        <v>50</v>
      </c>
      <c r="D43" s="258"/>
      <c r="E43" s="258"/>
      <c r="F43" s="258"/>
      <c r="G43" s="258"/>
      <c r="H43" s="258"/>
      <c r="J43" s="315"/>
      <c r="K43" s="316"/>
      <c r="L43" s="31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15"/>
      <c r="K44" s="316"/>
      <c r="L44" s="317"/>
      <c r="M44" s="232"/>
      <c r="N44" s="232"/>
      <c r="O44" s="15"/>
    </row>
    <row r="45" spans="1:32">
      <c r="A45" s="257" t="s">
        <v>51</v>
      </c>
      <c r="D45" s="258"/>
      <c r="E45" s="258"/>
      <c r="F45" s="258"/>
      <c r="G45" s="258"/>
      <c r="H45" s="258"/>
      <c r="J45" s="315"/>
      <c r="K45" s="316"/>
      <c r="L45" s="31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15"/>
      <c r="K46" s="316"/>
      <c r="L46" s="31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14"/>
  </sheetPr>
  <dimension ref="A1:AQ83"/>
  <sheetViews>
    <sheetView tabSelected="1" workbookViewId="0">
      <selection activeCell="S17" sqref="S17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59" t="s">
        <v>23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96"/>
      <c r="Z1" s="97"/>
    </row>
    <row r="2" spans="1:34" ht="13.5" customHeight="1" thickBot="1">
      <c r="A2" s="364" t="s">
        <v>114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96"/>
      <c r="Z2" s="97"/>
    </row>
    <row r="3" spans="1:34" ht="36" customHeight="1" thickBot="1">
      <c r="A3" s="96"/>
      <c r="B3" s="96"/>
      <c r="C3" s="320" t="str">
        <f>[1]реквизиты!$A$2</f>
        <v>Кубок России по самбо среди мужчин (№ ЕКП 1801)</v>
      </c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2"/>
      <c r="U3" s="96"/>
      <c r="V3" s="366"/>
      <c r="W3" s="366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67" t="str">
        <f>[1]реквизиты!$A$3</f>
        <v>21-25 ноября 2022 года                          г. Кстово, Нижегородская область</v>
      </c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99"/>
      <c r="U4" s="333" t="str">
        <f>AG5&amp;" "&amp;AH5</f>
        <v>19 участников</v>
      </c>
      <c r="V4" s="360" t="str">
        <f>HYPERLINK(пр.взв!D4)</f>
        <v>В.к. 98 кг.</v>
      </c>
      <c r="W4" s="361"/>
      <c r="X4" s="96"/>
      <c r="Y4" s="96"/>
      <c r="Z4" s="97"/>
    </row>
    <row r="5" spans="1:34" ht="14.25" customHeight="1" thickBot="1">
      <c r="A5" s="332" t="s">
        <v>0</v>
      </c>
      <c r="B5" s="96"/>
      <c r="C5" s="96"/>
      <c r="D5" s="96"/>
      <c r="E5" s="96"/>
      <c r="F5" s="96"/>
      <c r="G5" s="96"/>
      <c r="H5" s="100"/>
      <c r="I5" s="332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5" t="str">
        <f>IFERROR(VLOOKUP(O6,пр.взв!$B$7:$H$38,2,0),"")</f>
        <v/>
      </c>
      <c r="Q5" s="336"/>
      <c r="R5" s="336"/>
      <c r="S5" s="337"/>
      <c r="T5" s="102"/>
      <c r="U5" s="334"/>
      <c r="V5" s="362"/>
      <c r="W5" s="363"/>
      <c r="X5" s="332" t="s">
        <v>1</v>
      </c>
      <c r="Y5" s="96"/>
      <c r="Z5" s="97"/>
      <c r="AG5">
        <f>пр.взв!AH7</f>
        <v>19</v>
      </c>
      <c r="AH5" s="257" t="s">
        <v>107</v>
      </c>
    </row>
    <row r="6" spans="1:34" ht="14.25" customHeight="1" thickBot="1">
      <c r="A6" s="365"/>
      <c r="B6" s="103"/>
      <c r="C6" s="96"/>
      <c r="D6" s="96"/>
      <c r="E6" s="96"/>
      <c r="F6" s="96"/>
      <c r="G6" s="96"/>
      <c r="H6" s="96"/>
      <c r="I6" s="332"/>
      <c r="J6" s="104"/>
      <c r="K6" s="105"/>
      <c r="L6" s="106"/>
      <c r="M6" s="104"/>
      <c r="N6" s="104"/>
      <c r="O6" s="107">
        <f>O11</f>
        <v>0</v>
      </c>
      <c r="P6" s="338"/>
      <c r="Q6" s="339"/>
      <c r="R6" s="339"/>
      <c r="S6" s="340"/>
      <c r="T6" s="102"/>
      <c r="U6" s="96"/>
      <c r="V6" s="96"/>
      <c r="W6" s="96"/>
      <c r="X6" s="365"/>
      <c r="Y6" s="96"/>
      <c r="Z6" s="108"/>
      <c r="AA6" s="91"/>
      <c r="AB6" s="91"/>
      <c r="AC6" s="92"/>
      <c r="AD6" s="92"/>
      <c r="AE6" s="92" t="s">
        <v>54</v>
      </c>
    </row>
    <row r="7" spans="1:34" ht="12.75" customHeight="1" thickBot="1">
      <c r="A7" s="358">
        <v>1</v>
      </c>
      <c r="B7" s="330" t="str">
        <f>IFERROR(VLOOKUP(A7,пр.взв!$B$7:$H$38,2,0),"")</f>
        <v>ПОРТЫШЕВ Владимир Владимирович</v>
      </c>
      <c r="C7" s="330" t="str">
        <f>IFERROR(VLOOKUP(A7,пр.взв!$B$7:$H$38,3,0),"")</f>
        <v>01.06.1994, МС</v>
      </c>
      <c r="D7" s="330" t="str">
        <f>IFERROR(VLOOKUP(A7,пр.взв!$B$7:$H$38,5,0),"")</f>
        <v xml:space="preserve">Кемеровская, Новокузнецк 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30" t="str">
        <f>IFERROR(VLOOKUP(X7,пр.взв!$B$7:$H$38,2,0),"")</f>
        <v>ТЛЕУЖ Азмет Юрьевич</v>
      </c>
      <c r="V7" s="330" t="str">
        <f>IFERROR(VLOOKUP(X7,пр.взв!$B$7:$H$38,3,0),"")</f>
        <v>16.06.1999, МС</v>
      </c>
      <c r="W7" s="330" t="str">
        <f>IFERROR(VLOOKUP(X7,пр.взв!$B$7:$H$38,5,0),"")</f>
        <v>Р. Адыгея Майкоп</v>
      </c>
      <c r="X7" s="327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56"/>
      <c r="B8" s="331"/>
      <c r="C8" s="331"/>
      <c r="D8" s="331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31"/>
      <c r="V8" s="331"/>
      <c r="W8" s="331"/>
      <c r="X8" s="328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56">
        <v>17</v>
      </c>
      <c r="B9" s="325" t="str">
        <f>IFERROR(VLOOKUP(A9,пр.взв!$B$7:$H$38,2,0),"")</f>
        <v>ОСИПОВ Егор Дмитриевич</v>
      </c>
      <c r="C9" s="325" t="str">
        <f>IFERROR(VLOOKUP(A9,пр.взв!$B$7:$H$38,3,0),"")</f>
        <v>05.07.2001, МС</v>
      </c>
      <c r="D9" s="325" t="str">
        <f>IFERROR(VLOOKUP(A9,пр.взв!$B$7:$H$38,5,0),"")</f>
        <v>Рязанская, Рязань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25" t="str">
        <f>IFERROR(VLOOKUP(X9,пр.взв!$B$7:$H$38,2,0),"")</f>
        <v>ТАШЛАНОВ Даниил Иванович</v>
      </c>
      <c r="V9" s="325" t="str">
        <f>IFERROR(VLOOKUP(X9,пр.взв!$B$7:$H$38,3,0),"")</f>
        <v>03.02.1998, МСМК</v>
      </c>
      <c r="W9" s="325" t="str">
        <f>IFERROR(VLOOKUP(X9,пр.взв!$B$7:$H$38,5,0),"")</f>
        <v>Оренбургская, Бузулук</v>
      </c>
      <c r="X9" s="328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57"/>
      <c r="B10" s="326"/>
      <c r="C10" s="326"/>
      <c r="D10" s="326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26"/>
      <c r="V10" s="326"/>
      <c r="W10" s="326"/>
      <c r="X10" s="329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58">
        <v>9</v>
      </c>
      <c r="B11" s="323" t="str">
        <f>IFERROR(VLOOKUP(A11,пр.взв!$B$7:$H$38,2,0),"")</f>
        <v>ПОДГОРНЫЙ Артем Андреевич</v>
      </c>
      <c r="C11" s="323" t="str">
        <f>IFERROR(VLOOKUP(A11,пр.взв!$B$7:$H$38,3,0),"")</f>
        <v>27.01.2000, КМС</v>
      </c>
      <c r="D11" s="323" t="str">
        <f>IFERROR(VLOOKUP(A11,пр.взв!$B$7:$H$38,5,0),"")</f>
        <v>Санкт-Петербург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23" t="str">
        <f>IFERROR(VLOOKUP(X11,пр.взв!$B$7:$H$38,2,0),"")</f>
        <v>НИКУЛИН Иван Дмитриевич</v>
      </c>
      <c r="V11" s="323" t="str">
        <f>IFERROR(VLOOKUP(X11,пр.взв!$B$7:$H$38,3,0),"")</f>
        <v>20.03.1993, МСМК</v>
      </c>
      <c r="W11" s="323" t="str">
        <f>IFERROR(VLOOKUP(X11,пр.взв!$B$7:$H$38,5,0),"")</f>
        <v>Свердловская, Верхняя Пышма</v>
      </c>
      <c r="X11" s="327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56"/>
      <c r="B12" s="324"/>
      <c r="C12" s="324"/>
      <c r="D12" s="324"/>
      <c r="E12" s="116">
        <v>9</v>
      </c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24"/>
      <c r="V12" s="324"/>
      <c r="W12" s="324"/>
      <c r="X12" s="328"/>
      <c r="Y12" s="96"/>
      <c r="Z12" s="97"/>
      <c r="AA12" s="94">
        <f>IF(OR(I14=A11,I14=A13)," ",IF(E12=A11,A13,A11))</f>
        <v>25</v>
      </c>
      <c r="AB12" s="95">
        <f>IF(OR(AA11=" ",AA12=" "),AA13,AA12)</f>
        <v>25</v>
      </c>
      <c r="AC12" s="94">
        <f>IF(AND(OR(E8=I14,E12=I14),E16=G18),E20,IF(AND(OR(E8=I14,E12=I14),E20=G18),E16,IF(E8=G10,E12,E8)))</f>
        <v>9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56">
        <v>25</v>
      </c>
      <c r="B13" s="325" t="str">
        <f>IFERROR(VLOOKUP(A13,пр.взв!$B$7:$H$38,2,0),"")</f>
        <v/>
      </c>
      <c r="C13" s="325" t="str">
        <f>IFERROR(VLOOKUP(A13,пр.взв!$B$7:$H$38,3,0),"")</f>
        <v/>
      </c>
      <c r="D13" s="325" t="str">
        <f>IFERROR(VLOOKUP(A13,пр.взв!$B$7:$H$38,5,0),"")</f>
        <v/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25" t="str">
        <f>IFERROR(VLOOKUP(X13,пр.взв!$B$7:$H$38,2,0),"")</f>
        <v/>
      </c>
      <c r="V13" s="325" t="str">
        <f>IFERROR(VLOOKUP(X13,пр.взв!$B$7:$H$38,3,0),"")</f>
        <v/>
      </c>
      <c r="W13" s="325" t="str">
        <f>IFERROR(VLOOKUP(X13,пр.взв!$B$7:$H$38,5,0),"")</f>
        <v/>
      </c>
      <c r="X13" s="328">
        <v>26</v>
      </c>
      <c r="Y13" s="96"/>
      <c r="Z13" s="97"/>
      <c r="AA13" s="94">
        <f>IF(OR(I14=A15,I14=A17)," ",IF(E16=A15,A17,A15))</f>
        <v>21</v>
      </c>
      <c r="AB13" s="95">
        <f>IF(OR(AA11=" ",AA12=" ",AA13=" "),AA14,AA13)</f>
        <v>21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57"/>
      <c r="B14" s="326"/>
      <c r="C14" s="326"/>
      <c r="D14" s="326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26"/>
      <c r="V14" s="326"/>
      <c r="W14" s="326"/>
      <c r="X14" s="329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58">
        <v>5</v>
      </c>
      <c r="B15" s="323" t="str">
        <f>IFERROR(VLOOKUP(A15,пр.взв!$B$7:$H$38,2,0),"")</f>
        <v>ТОРГАШОВ Дмитрий Сергеевич</v>
      </c>
      <c r="C15" s="323" t="str">
        <f>IFERROR(VLOOKUP(A15,пр.взв!$B$7:$H$38,3,0),"")</f>
        <v>16.03.1993, МСМК</v>
      </c>
      <c r="D15" s="323" t="str">
        <f>IFERROR(VLOOKUP(A15,пр.взв!$B$7:$H$38,5,0),"")</f>
        <v>Свердловская, Верхняя Пышма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23" t="str">
        <f>IFERROR(VLOOKUP(X15,пр.взв!$B$7:$H$38,2,0),"")</f>
        <v>ГУСАРОВ Андрей Андреевич</v>
      </c>
      <c r="V15" s="323" t="str">
        <f>IFERROR(VLOOKUP(X15,пр.взв!$B$7:$H$38,3,0),"")</f>
        <v>21.10.99, МСМК</v>
      </c>
      <c r="W15" s="323" t="str">
        <f>IFERROR(VLOOKUP(X15,пр.взв!$B$7:$H$38,5,0),"")</f>
        <v>Москва</v>
      </c>
      <c r="X15" s="327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56"/>
      <c r="B16" s="324"/>
      <c r="C16" s="324"/>
      <c r="D16" s="324"/>
      <c r="E16" s="116">
        <v>5</v>
      </c>
      <c r="F16" s="117"/>
      <c r="G16" s="117"/>
      <c r="H16" s="125"/>
      <c r="I16" s="97"/>
      <c r="J16" s="104"/>
      <c r="K16" s="143"/>
      <c r="L16" s="347" t="s">
        <v>44</v>
      </c>
      <c r="M16" s="347"/>
      <c r="N16" s="104"/>
      <c r="O16" s="144"/>
      <c r="P16" s="97"/>
      <c r="Q16" s="143"/>
      <c r="R16" s="96"/>
      <c r="S16" s="96"/>
      <c r="T16" s="116">
        <v>6</v>
      </c>
      <c r="U16" s="324"/>
      <c r="V16" s="324"/>
      <c r="W16" s="324"/>
      <c r="X16" s="328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56">
        <v>21</v>
      </c>
      <c r="B17" s="325" t="str">
        <f>IFERROR(VLOOKUP(A17,пр.взв!$B$7:$H$38,2,0),"")</f>
        <v/>
      </c>
      <c r="C17" s="325" t="str">
        <f>IFERROR(VLOOKUP(A17,пр.взв!$B$7:$H$38,3,0),"")</f>
        <v/>
      </c>
      <c r="D17" s="325" t="str">
        <f>IFERROR(VLOOKUP(A17,пр.взв!$B$7:$H$38,5,0),"")</f>
        <v/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325" t="str">
        <f>IFERROR(VLOOKUP(X17,пр.взв!$B$7:$H$38,2,0),"")</f>
        <v/>
      </c>
      <c r="V17" s="325" t="str">
        <f>IFERROR(VLOOKUP(X17,пр.взв!$B$7:$H$38,3,0),"")</f>
        <v/>
      </c>
      <c r="W17" s="325" t="str">
        <f>IFERROR(VLOOKUP(X17,пр.взв!$B$7:$H$38,5,0),"")</f>
        <v/>
      </c>
      <c r="X17" s="328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11</v>
      </c>
      <c r="AD17" s="92">
        <f>IF(M7=N9,M11,M7)</f>
        <v>0</v>
      </c>
      <c r="AE17" s="92"/>
    </row>
    <row r="18" spans="1:31" ht="12.75" customHeight="1" thickBot="1">
      <c r="A18" s="357"/>
      <c r="B18" s="326"/>
      <c r="C18" s="326"/>
      <c r="D18" s="326"/>
      <c r="E18" s="117"/>
      <c r="F18" s="128"/>
      <c r="G18" s="116"/>
      <c r="H18" s="111"/>
      <c r="I18" s="104"/>
      <c r="J18" s="104"/>
      <c r="K18" s="350" t="str">
        <f>IFERROR(VLOOKUP(K17,пр.взв!$B$7:$H$38,2,0),"")</f>
        <v/>
      </c>
      <c r="L18" s="351"/>
      <c r="M18" s="351"/>
      <c r="N18" s="352"/>
      <c r="O18" s="114"/>
      <c r="P18" s="104"/>
      <c r="Q18" s="147"/>
      <c r="R18" s="116"/>
      <c r="S18" s="104"/>
      <c r="T18" s="117"/>
      <c r="U18" s="326"/>
      <c r="V18" s="326"/>
      <c r="W18" s="326"/>
      <c r="X18" s="329"/>
      <c r="Y18" s="96"/>
      <c r="Z18" s="97"/>
      <c r="AA18" s="94">
        <f>IF(OR(I$30=A31,I$30=A33)," ",IF(E32=A31,A33,A31))</f>
        <v>23</v>
      </c>
      <c r="AB18" s="95">
        <f>IF(OR(AA16=" ",AA17=" ",AA18=" "),AA19,AA18)</f>
        <v>23</v>
      </c>
      <c r="AC18" s="92"/>
      <c r="AD18" s="92">
        <f>IF(M35=N37,M39,M35)</f>
        <v>0</v>
      </c>
      <c r="AE18" s="92"/>
    </row>
    <row r="19" spans="1:31" ht="12.75" customHeight="1" thickBot="1">
      <c r="A19" s="358">
        <v>13</v>
      </c>
      <c r="B19" s="323" t="str">
        <f>IFERROR(VLOOKUP(A19,пр.взв!$B$7:$H$38,2,0),"")</f>
        <v>ГАДЕЛИЯ Инал Бадриевич</v>
      </c>
      <c r="C19" s="323" t="str">
        <f>IFERROR(VLOOKUP(A19,пр.взв!$B$7:$H$38,3,0),"")</f>
        <v>19.11.1995, МС</v>
      </c>
      <c r="D19" s="323" t="str">
        <f>IFERROR(VLOOKUP(A19,пр.взв!$B$7:$H$38,5,0),"")</f>
        <v>Ростовская, Таганрог</v>
      </c>
      <c r="E19" s="96"/>
      <c r="F19" s="117"/>
      <c r="G19" s="123"/>
      <c r="H19" s="120"/>
      <c r="I19" s="104"/>
      <c r="J19" s="104"/>
      <c r="K19" s="353"/>
      <c r="L19" s="354"/>
      <c r="M19" s="354"/>
      <c r="N19" s="355"/>
      <c r="O19" s="114"/>
      <c r="P19" s="104"/>
      <c r="Q19" s="104"/>
      <c r="R19" s="123"/>
      <c r="S19" s="104"/>
      <c r="T19" s="96"/>
      <c r="U19" s="323" t="str">
        <f>IFERROR(VLOOKUP(X19,пр.взв!$B$7:$H$38,2,0),"")</f>
        <v>ГАЙБАЕВ Артем Римович</v>
      </c>
      <c r="V19" s="323" t="str">
        <f>IFERROR(VLOOKUP(X19,пр.взв!$B$7:$H$38,3,0),"")</f>
        <v>06.08.1994, МС</v>
      </c>
      <c r="W19" s="323" t="str">
        <f>IFERROR(VLOOKUP(X19,пр.взв!$B$7:$H$38,5,0),"")</f>
        <v>Пензенская, Пенза</v>
      </c>
      <c r="X19" s="327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56"/>
      <c r="B20" s="324"/>
      <c r="C20" s="324"/>
      <c r="D20" s="324"/>
      <c r="E20" s="116">
        <v>13</v>
      </c>
      <c r="F20" s="135"/>
      <c r="G20" s="117"/>
      <c r="H20" s="119"/>
      <c r="I20" s="148"/>
      <c r="J20" s="104"/>
      <c r="K20" s="143"/>
      <c r="L20" s="348"/>
      <c r="M20" s="349"/>
      <c r="N20" s="114"/>
      <c r="O20" s="139"/>
      <c r="P20" s="104"/>
      <c r="Q20" s="96"/>
      <c r="R20" s="140"/>
      <c r="S20" s="141"/>
      <c r="T20" s="116">
        <v>14</v>
      </c>
      <c r="U20" s="324"/>
      <c r="V20" s="324"/>
      <c r="W20" s="324"/>
      <c r="X20" s="328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56">
        <v>29</v>
      </c>
      <c r="B21" s="325" t="str">
        <f>IFERROR(VLOOKUP(A21,пр.взв!$B$7:$H$38,2,0),"")</f>
        <v/>
      </c>
      <c r="C21" s="325" t="str">
        <f>IFERROR(VLOOKUP(A21,пр.взв!$B$7:$H$38,3,0),"")</f>
        <v/>
      </c>
      <c r="D21" s="325" t="str">
        <f>IFERROR(VLOOKUP(A21,пр.взв!$B$7:$H$38,5,0),"")</f>
        <v/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25" t="str">
        <f>IFERROR(VLOOKUP(X21,пр.взв!$B$7:$H$38,2,0),"")</f>
        <v/>
      </c>
      <c r="V21" s="325" t="str">
        <f>IFERROR(VLOOKUP(X21,пр.взв!$B$7:$H$38,3,0),"")</f>
        <v/>
      </c>
      <c r="W21" s="325" t="str">
        <f>IFERROR(VLOOKUP(X21,пр.взв!$B$7:$H$38,5,0),"")</f>
        <v/>
      </c>
      <c r="X21" s="328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57"/>
      <c r="B22" s="326"/>
      <c r="C22" s="326"/>
      <c r="D22" s="326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26"/>
      <c r="V22" s="326"/>
      <c r="W22" s="326"/>
      <c r="X22" s="329"/>
      <c r="Y22" s="96"/>
      <c r="Z22" s="97"/>
      <c r="AA22" s="94">
        <f>IF(OR(P14=X11,P14=X13)," ",IF(T12=X11,X13,X11))</f>
        <v>26</v>
      </c>
      <c r="AB22" s="95">
        <f>IF(OR(AA21=" ",AA22=" "),AA23,AA22)</f>
        <v>26</v>
      </c>
      <c r="AC22" s="94">
        <f>IF(AND(OR(T8=P14,T12=P14),T16=R18),T20,IF(AND(OR(T8=P14,T12=P14),T20=R18),T16,IF(T8=R10,T12,T8)))</f>
        <v>10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58">
        <v>3</v>
      </c>
      <c r="B23" s="323" t="str">
        <f>IFERROR(VLOOKUP(A23,пр.взв!$B$7:$H$38,2,0),"")</f>
        <v>ЖИДЕЛЕВ Яков Евгеньевич</v>
      </c>
      <c r="C23" s="323" t="str">
        <f>IFERROR(VLOOKUP(A23,пр.взв!$B$7:$H$38,3,0),"")</f>
        <v>26.09.2001, МС</v>
      </c>
      <c r="D23" s="323" t="str">
        <f>IFERROR(VLOOKUP(A23,пр.взв!$B$7:$H$38,5,0),"")</f>
        <v>Москва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23" t="str">
        <f>IFERROR(VLOOKUP(X23,пр.взв!$B$7:$H$38,2,0),"")</f>
        <v>КОТОВ Сергей Валерьевич</v>
      </c>
      <c r="V23" s="323" t="str">
        <f>IFERROR(VLOOKUP(X23,пр.взв!$B$7:$H$38,3,0),"")</f>
        <v>30.11.1990, МС</v>
      </c>
      <c r="W23" s="323" t="str">
        <f>IFERROR(VLOOKUP(X23,пр.взв!$B$7:$H$38,5,0),"")</f>
        <v xml:space="preserve">Кемеровская, Новокузнецк </v>
      </c>
      <c r="X23" s="327">
        <v>4</v>
      </c>
      <c r="Y23" s="96"/>
      <c r="Z23" s="97"/>
      <c r="AA23" s="94">
        <f>IF(OR(P14=X15,P14=X17)," ",IF(T16=X15,X17,X15))</f>
        <v>22</v>
      </c>
      <c r="AB23" s="95">
        <f>IF(OR(AA21=" ",AA22=" ",AA23=" "),AA24,AA23)</f>
        <v>22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56"/>
      <c r="B24" s="324"/>
      <c r="C24" s="324"/>
      <c r="D24" s="324"/>
      <c r="E24" s="116"/>
      <c r="F24" s="117"/>
      <c r="G24" s="118"/>
      <c r="H24" s="119"/>
      <c r="I24" s="129"/>
      <c r="J24" s="106"/>
      <c r="K24" s="152"/>
      <c r="L24" s="347" t="s">
        <v>24</v>
      </c>
      <c r="M24" s="347"/>
      <c r="N24" s="114"/>
      <c r="O24" s="139"/>
      <c r="P24" s="104"/>
      <c r="Q24" s="96"/>
      <c r="R24" s="96"/>
      <c r="S24" s="96"/>
      <c r="T24" s="116">
        <v>4</v>
      </c>
      <c r="U24" s="324"/>
      <c r="V24" s="324"/>
      <c r="W24" s="324"/>
      <c r="X24" s="328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56">
        <v>19</v>
      </c>
      <c r="B25" s="325" t="str">
        <f>IFERROR(VLOOKUP(A25,пр.взв!$B$7:$H$38,2,0),"")</f>
        <v>АЮБОВ Андрей Ферузович</v>
      </c>
      <c r="C25" s="325" t="str">
        <f>IFERROR(VLOOKUP(A25,пр.взв!$B$7:$H$38,3,0),"")</f>
        <v>05.05.2003, МС</v>
      </c>
      <c r="D25" s="325" t="str">
        <f>IFERROR(VLOOKUP(A25,пр.взв!$B$7:$H$38,5,0),"")</f>
        <v>ХМАО-Свердловская, Верхняя Пышма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25" t="str">
        <f>IFERROR(VLOOKUP(X25,пр.взв!$B$7:$H$38,2,0),"")</f>
        <v/>
      </c>
      <c r="V25" s="325" t="str">
        <f>IFERROR(VLOOKUP(X25,пр.взв!$B$7:$H$38,3,0),"")</f>
        <v/>
      </c>
      <c r="W25" s="325" t="str">
        <f>IFERROR(VLOOKUP(X25,пр.взв!$B$7:$H$38,5,0),"")</f>
        <v/>
      </c>
      <c r="X25" s="328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57"/>
      <c r="B26" s="326"/>
      <c r="C26" s="326"/>
      <c r="D26" s="326"/>
      <c r="E26" s="117"/>
      <c r="F26" s="128"/>
      <c r="G26" s="116"/>
      <c r="H26" s="106"/>
      <c r="I26" s="113"/>
      <c r="J26" s="154"/>
      <c r="K26" s="341" t="str">
        <f>IFERROR(VLOOKUP(K25,пр.взв!$B$7:$H$38,2,0),"")</f>
        <v/>
      </c>
      <c r="L26" s="342"/>
      <c r="M26" s="342"/>
      <c r="N26" s="343"/>
      <c r="O26" s="114"/>
      <c r="P26" s="104"/>
      <c r="Q26" s="96"/>
      <c r="R26" s="116"/>
      <c r="S26" s="104"/>
      <c r="T26" s="117"/>
      <c r="U26" s="326"/>
      <c r="V26" s="326"/>
      <c r="W26" s="326"/>
      <c r="X26" s="329"/>
      <c r="Y26" s="96"/>
      <c r="Z26" s="97"/>
      <c r="AA26" s="94">
        <f>IF(OR(P30=X23,P30=X25)," ",IF(T24=X23,X25,X23))</f>
        <v>20</v>
      </c>
      <c r="AB26" s="95">
        <f>IF(AA26=" ",AA27,AA26)</f>
        <v>20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58">
        <v>11</v>
      </c>
      <c r="B27" s="323" t="str">
        <f>IFERROR(VLOOKUP(A27,пр.взв!$B$7:$H$38,2,0),"")</f>
        <v>ТАРАНКОВ Никита Сергеевич</v>
      </c>
      <c r="C27" s="323" t="str">
        <f>IFERROR(VLOOKUP(A27,пр.взв!$B$7:$H$38,3,0),"")</f>
        <v>25.08.2000, КМС</v>
      </c>
      <c r="D27" s="323" t="str">
        <f>IFERROR(VLOOKUP(A27,пр.взв!$B$7:$H$38,5,0),"")</f>
        <v>Нижегородская, Нижний Новгород</v>
      </c>
      <c r="E27" s="96"/>
      <c r="F27" s="117"/>
      <c r="G27" s="123"/>
      <c r="H27" s="131"/>
      <c r="I27" s="132"/>
      <c r="J27" s="154"/>
      <c r="K27" s="344"/>
      <c r="L27" s="345"/>
      <c r="M27" s="345"/>
      <c r="N27" s="346"/>
      <c r="O27" s="114"/>
      <c r="P27" s="130"/>
      <c r="Q27" s="127"/>
      <c r="R27" s="123"/>
      <c r="S27" s="104"/>
      <c r="T27" s="96"/>
      <c r="U27" s="323" t="str">
        <f>IFERROR(VLOOKUP(X27,пр.взв!$B$7:$H$38,2,0),"")</f>
        <v>МЕРЗЛЯКОВ Максим Максимович</v>
      </c>
      <c r="V27" s="323" t="str">
        <f>IFERROR(VLOOKUP(X27,пр.взв!$B$7:$H$38,3,0),"")</f>
        <v>23.09.2003, МС</v>
      </c>
      <c r="W27" s="323" t="str">
        <f>IFERROR(VLOOKUP(X27,пр.взв!$B$7:$H$38,5,0),"")</f>
        <v>Санкт-Петербург</v>
      </c>
      <c r="X27" s="327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4</v>
      </c>
      <c r="AD27" s="92"/>
      <c r="AE27" s="92"/>
    </row>
    <row r="28" spans="1:31" ht="12.75" customHeight="1">
      <c r="A28" s="356"/>
      <c r="B28" s="324"/>
      <c r="C28" s="324"/>
      <c r="D28" s="324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24"/>
      <c r="V28" s="324"/>
      <c r="W28" s="324"/>
      <c r="X28" s="328"/>
      <c r="Y28" s="96"/>
      <c r="Z28" s="97"/>
      <c r="AA28" s="94">
        <f>IF(OR(P30=X31,P30=X33)," ",IF(T32=X31,X33,X31))</f>
        <v>24</v>
      </c>
      <c r="AB28" s="95">
        <f>IF(OR(AA26=" ",AA27=" ",AA28=" "),AA29,AA28)</f>
        <v>24</v>
      </c>
      <c r="AC28" s="92"/>
      <c r="AD28" s="92"/>
      <c r="AE28" s="92"/>
    </row>
    <row r="29" spans="1:31" ht="12.75" customHeight="1" thickBot="1">
      <c r="A29" s="356">
        <v>27</v>
      </c>
      <c r="B29" s="325" t="str">
        <f>IFERROR(VLOOKUP(A29,пр.взв!$B$7:$H$38,2,0),"")</f>
        <v/>
      </c>
      <c r="C29" s="325" t="str">
        <f>IFERROR(VLOOKUP(A29,пр.взв!$B$7:$H$38,3,0),"")</f>
        <v/>
      </c>
      <c r="D29" s="325" t="str">
        <f>IFERROR(VLOOKUP(A29,пр.взв!$B$7:$H$38,5,0),"")</f>
        <v/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25" t="str">
        <f>IFERROR(VLOOKUP(X29,пр.взв!$B$7:$H$38,2,0),"")</f>
        <v/>
      </c>
      <c r="V29" s="325" t="str">
        <f>IFERROR(VLOOKUP(X29,пр.взв!$B$7:$H$38,3,0),"")</f>
        <v/>
      </c>
      <c r="W29" s="325" t="str">
        <f>IFERROR(VLOOKUP(X29,пр.взв!$B$7:$H$38,5,0),"")</f>
        <v/>
      </c>
      <c r="X29" s="328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57"/>
      <c r="B30" s="326"/>
      <c r="C30" s="326"/>
      <c r="D30" s="326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26"/>
      <c r="V30" s="326"/>
      <c r="W30" s="326"/>
      <c r="X30" s="329"/>
      <c r="Y30" s="96"/>
      <c r="Z30" s="97"/>
    </row>
    <row r="31" spans="1:31" ht="12.75" customHeight="1" thickBot="1">
      <c r="A31" s="358">
        <v>7</v>
      </c>
      <c r="B31" s="323" t="str">
        <f>IFERROR(VLOOKUP(A31,пр.взв!$B$7:$H$38,2,0),"")</f>
        <v>КУРБАНОВ Аслан Юрьевич</v>
      </c>
      <c r="C31" s="323" t="str">
        <f>IFERROR(VLOOKUP(A31,пр.взв!$B$7:$H$38,3,0),"")</f>
        <v>17.10.1991, МС</v>
      </c>
      <c r="D31" s="323" t="str">
        <f>IFERROR(VLOOKUP(A31,пр.взв!$B$7:$H$38,5,0),"")</f>
        <v>Р. Дагестан, Махачкала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23" t="str">
        <f>IFERROR(VLOOKUP(X31,пр.взв!$B$7:$H$38,2,0),"")</f>
        <v>КУЗНЕЦОВ Сергей Владимирович</v>
      </c>
      <c r="V31" s="323" t="str">
        <f>IFERROR(VLOOKUP(X31,пр.взв!$B$7:$H$38,3,0),"")</f>
        <v>21.11.2022, МС</v>
      </c>
      <c r="W31" s="323" t="str">
        <f>IFERROR(VLOOKUP(X31,пр.взв!$B$7:$H$38,5,0),"")</f>
        <v>Свердловская, Верхняя Пышма</v>
      </c>
      <c r="X31" s="327">
        <v>8</v>
      </c>
      <c r="Y31" s="96"/>
      <c r="Z31" s="97"/>
    </row>
    <row r="32" spans="1:31" ht="12.75" customHeight="1">
      <c r="A32" s="356"/>
      <c r="B32" s="324"/>
      <c r="C32" s="324"/>
      <c r="D32" s="324"/>
      <c r="E32" s="116">
        <v>7</v>
      </c>
      <c r="F32" s="117"/>
      <c r="G32" s="117"/>
      <c r="H32" s="125"/>
      <c r="I32" s="97"/>
      <c r="J32" s="332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>
        <v>8</v>
      </c>
      <c r="U32" s="324"/>
      <c r="V32" s="324"/>
      <c r="W32" s="324"/>
      <c r="X32" s="328"/>
      <c r="Y32" s="96"/>
      <c r="Z32" s="97"/>
    </row>
    <row r="33" spans="1:43" ht="12.75" customHeight="1" thickBot="1">
      <c r="A33" s="356">
        <v>23</v>
      </c>
      <c r="B33" s="325" t="str">
        <f>IFERROR(VLOOKUP(A33,пр.взв!$B$7:$H$38,2,0),"")</f>
        <v/>
      </c>
      <c r="C33" s="325" t="str">
        <f>IFERROR(VLOOKUP(A33,пр.взв!$B$7:$H$38,3,0),"")</f>
        <v/>
      </c>
      <c r="D33" s="325" t="str">
        <f>IFERROR(VLOOKUP(A33,пр.взв!$B$7:$H$38,5,0),"")</f>
        <v/>
      </c>
      <c r="E33" s="123"/>
      <c r="F33" s="124"/>
      <c r="G33" s="117"/>
      <c r="H33" s="145"/>
      <c r="I33" s="104"/>
      <c r="J33" s="332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25" t="str">
        <f>IFERROR(VLOOKUP(X33,пр.взв!$B$7:$H$38,2,0),"")</f>
        <v/>
      </c>
      <c r="V33" s="325" t="str">
        <f>IFERROR(VLOOKUP(X33,пр.взв!$B$7:$H$38,3,0),"")</f>
        <v/>
      </c>
      <c r="W33" s="325" t="str">
        <f>IFERROR(VLOOKUP(X33,пр.взв!$B$7:$H$38,5,0),"")</f>
        <v/>
      </c>
      <c r="X33" s="328">
        <v>24</v>
      </c>
      <c r="Y33" s="96"/>
      <c r="Z33" s="97"/>
    </row>
    <row r="34" spans="1:43" ht="12.75" customHeight="1" thickBot="1">
      <c r="A34" s="357"/>
      <c r="B34" s="326"/>
      <c r="C34" s="326"/>
      <c r="D34" s="326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26"/>
      <c r="V34" s="326"/>
      <c r="W34" s="326"/>
      <c r="X34" s="329"/>
      <c r="Y34" s="96"/>
      <c r="Z34" s="97"/>
    </row>
    <row r="35" spans="1:43" ht="12.75" customHeight="1" thickBot="1">
      <c r="A35" s="358">
        <v>15</v>
      </c>
      <c r="B35" s="323" t="str">
        <f>IFERROR(VLOOKUP(A35,пр.взв!$B$7:$H$38,2,0),"")</f>
        <v>ФАРХОДОВ Закир Завкибекович</v>
      </c>
      <c r="C35" s="323" t="str">
        <f>IFERROR(VLOOKUP(A35,пр.взв!$B$7:$H$38,3,0),"")</f>
        <v>11.06.2003, КМС</v>
      </c>
      <c r="D35" s="323" t="str">
        <f>IFERROR(VLOOKUP(A35,пр.взв!$B$7:$H$38,5,0),"")</f>
        <v>Санкт-Петербург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23" t="str">
        <f>IFERROR(VLOOKUP(X35,пр.взв!$B$7:$H$38,2,0),"")</f>
        <v>МАНУКЯН Леван Гарикович</v>
      </c>
      <c r="V35" s="323" t="str">
        <f>IFERROR(VLOOKUP(X35,пр.взв!$B$7:$H$38,3,0),"")</f>
        <v>22.11.2002  МСМК</v>
      </c>
      <c r="W35" s="323" t="str">
        <f>IFERROR(VLOOKUP(X35,пр.взв!$B$7:$H$38,5,0),"")</f>
        <v>Краснодарский, Сочи</v>
      </c>
      <c r="X35" s="327">
        <v>16</v>
      </c>
      <c r="Y35" s="96"/>
      <c r="Z35" s="97"/>
    </row>
    <row r="36" spans="1:43" ht="12.75" customHeight="1">
      <c r="A36" s="356"/>
      <c r="B36" s="324"/>
      <c r="C36" s="324"/>
      <c r="D36" s="324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24"/>
      <c r="V36" s="324"/>
      <c r="W36" s="324"/>
      <c r="X36" s="328"/>
      <c r="Y36" s="96"/>
      <c r="Z36" s="97"/>
    </row>
    <row r="37" spans="1:43" ht="12.75" customHeight="1" thickBot="1">
      <c r="A37" s="356">
        <v>31</v>
      </c>
      <c r="B37" s="325" t="str">
        <f>IFERROR(VLOOKUP(A37,пр.взв!$B$7:$H$38,2,0),"")</f>
        <v/>
      </c>
      <c r="C37" s="325" t="str">
        <f>IFERROR(VLOOKUP(A37,пр.взв!$B$7:$H$38,3,0),"")</f>
        <v/>
      </c>
      <c r="D37" s="325" t="str">
        <f>IFERROR(VLOOKUP(A37,пр.взв!$B$7:$H$38,5,0),"")</f>
        <v/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25" t="str">
        <f>IFERROR(VLOOKUP(X37,пр.взв!$B$7:$H$38,2,0),"")</f>
        <v/>
      </c>
      <c r="V37" s="325" t="str">
        <f>IFERROR(VLOOKUP(X37,пр.взв!$B$7:$H$38,3,0),"")</f>
        <v/>
      </c>
      <c r="W37" s="325" t="str">
        <f>IFERROR(VLOOKUP(X37,пр.взв!$B$7:$H$38,5,0),"")</f>
        <v/>
      </c>
      <c r="X37" s="328">
        <v>32</v>
      </c>
      <c r="Y37" s="96"/>
      <c r="Z37" s="97"/>
    </row>
    <row r="38" spans="1:43" ht="12.75" customHeight="1" thickBot="1">
      <c r="A38" s="357"/>
      <c r="B38" s="326"/>
      <c r="C38" s="326"/>
      <c r="D38" s="326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26"/>
      <c r="V38" s="326"/>
      <c r="W38" s="326"/>
      <c r="X38" s="329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Р.М. Болотский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5" t="str">
        <f>IFERROR(VLOOKUP(P39,пр.взв!$B$7:$H$38,2,0),"")</f>
        <v/>
      </c>
      <c r="R40" s="336"/>
      <c r="S40" s="336"/>
      <c r="T40" s="337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/г.Москва/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8"/>
      <c r="R41" s="339"/>
      <c r="S41" s="339"/>
      <c r="T41" s="340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А.А. Зарипов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/г. 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105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84" t="s">
        <v>37</v>
      </c>
      <c r="C1" s="484"/>
      <c r="D1" s="484"/>
      <c r="E1" s="484"/>
      <c r="F1" s="484"/>
      <c r="G1" s="484"/>
      <c r="H1" s="484"/>
      <c r="I1" s="484"/>
      <c r="J1" s="484"/>
      <c r="L1" s="484" t="s">
        <v>37</v>
      </c>
      <c r="M1" s="484"/>
      <c r="N1" s="484"/>
      <c r="O1" s="484"/>
      <c r="P1" s="484"/>
      <c r="Q1" s="484"/>
      <c r="R1" s="484"/>
      <c r="S1" s="484"/>
      <c r="T1" s="484"/>
    </row>
    <row r="2" spans="1:20" ht="15.75" customHeight="1">
      <c r="B2" s="288">
        <v>0</v>
      </c>
      <c r="C2" s="289" t="s">
        <v>108</v>
      </c>
      <c r="D2" s="289"/>
      <c r="E2" s="379" t="str">
        <f>пр.взв!D4</f>
        <v>В.к. 98 кг.</v>
      </c>
      <c r="F2" s="379"/>
      <c r="G2" s="289"/>
      <c r="H2" s="289"/>
      <c r="I2" s="289"/>
      <c r="J2" s="289"/>
      <c r="L2" s="288">
        <f>B2</f>
        <v>0</v>
      </c>
      <c r="M2" s="289" t="s">
        <v>108</v>
      </c>
      <c r="N2" s="289"/>
      <c r="O2" s="379" t="str">
        <f>E2</f>
        <v>В.к. 98 кг.</v>
      </c>
      <c r="P2" s="379"/>
      <c r="Q2" s="289"/>
      <c r="R2" s="289"/>
      <c r="S2" s="289"/>
      <c r="T2" s="289"/>
    </row>
    <row r="3" spans="1:20" ht="18.75" thickBot="1">
      <c r="B3" s="290" t="s">
        <v>30</v>
      </c>
      <c r="C3" s="74" t="s">
        <v>38</v>
      </c>
      <c r="D3" s="73" t="s">
        <v>31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38</v>
      </c>
      <c r="N3" s="73" t="s">
        <v>31</v>
      </c>
      <c r="O3" s="73"/>
      <c r="P3" s="74"/>
      <c r="Q3" s="72"/>
      <c r="R3" s="74"/>
      <c r="S3" s="74"/>
      <c r="T3" s="74"/>
    </row>
    <row r="4" spans="1:20" ht="12.75" customHeight="1">
      <c r="A4" s="429" t="s">
        <v>39</v>
      </c>
      <c r="B4" s="431" t="s">
        <v>4</v>
      </c>
      <c r="C4" s="425" t="s">
        <v>5</v>
      </c>
      <c r="D4" s="377" t="s">
        <v>14</v>
      </c>
      <c r="E4" s="437" t="s">
        <v>15</v>
      </c>
      <c r="F4" s="438"/>
      <c r="G4" s="425" t="s">
        <v>16</v>
      </c>
      <c r="H4" s="427" t="s">
        <v>40</v>
      </c>
      <c r="I4" s="420" t="s">
        <v>17</v>
      </c>
      <c r="J4" s="422" t="s">
        <v>18</v>
      </c>
      <c r="K4" s="429" t="s">
        <v>39</v>
      </c>
      <c r="L4" s="431" t="s">
        <v>4</v>
      </c>
      <c r="M4" s="425" t="s">
        <v>5</v>
      </c>
      <c r="N4" s="377" t="s">
        <v>14</v>
      </c>
      <c r="O4" s="437" t="s">
        <v>15</v>
      </c>
      <c r="P4" s="438"/>
      <c r="Q4" s="425" t="s">
        <v>16</v>
      </c>
      <c r="R4" s="427" t="s">
        <v>40</v>
      </c>
      <c r="S4" s="420" t="s">
        <v>17</v>
      </c>
      <c r="T4" s="422" t="s">
        <v>18</v>
      </c>
    </row>
    <row r="5" spans="1:20" ht="13.5" customHeight="1" thickBot="1">
      <c r="A5" s="430"/>
      <c r="B5" s="460" t="s">
        <v>33</v>
      </c>
      <c r="C5" s="426"/>
      <c r="D5" s="395"/>
      <c r="E5" s="439"/>
      <c r="F5" s="440"/>
      <c r="G5" s="426"/>
      <c r="H5" s="428"/>
      <c r="I5" s="421"/>
      <c r="J5" s="423" t="s">
        <v>34</v>
      </c>
      <c r="K5" s="430"/>
      <c r="L5" s="460" t="s">
        <v>33</v>
      </c>
      <c r="M5" s="426"/>
      <c r="N5" s="395"/>
      <c r="O5" s="439"/>
      <c r="P5" s="440"/>
      <c r="Q5" s="426"/>
      <c r="R5" s="428"/>
      <c r="S5" s="421"/>
      <c r="T5" s="423" t="s">
        <v>34</v>
      </c>
    </row>
    <row r="6" spans="1:20" ht="12.75" customHeight="1">
      <c r="A6" s="453">
        <v>1</v>
      </c>
      <c r="B6" s="463">
        <v>1</v>
      </c>
      <c r="C6" s="482" t="str">
        <f>IFERROR(VLOOKUP(B6,пр.взв!$B$7:$H$38,2,0),"")</f>
        <v>ПОРТЫШЕВ Владимир Владимирович</v>
      </c>
      <c r="D6" s="448" t="str">
        <f>IFERROR(VLOOKUP(B6,пр.взв!$B$7:$H$38,3,0),"")</f>
        <v>01.06.1994, МС</v>
      </c>
      <c r="E6" s="382" t="str">
        <f>IFERROR(VLOOKUP(B6,пр.взв!$B$7:$H$38,4,0),"")</f>
        <v>СФО</v>
      </c>
      <c r="F6" s="382" t="str">
        <f>IFERROR(VLOOKUP(B6,пр.взв!$B$7:$H$38,5,0),"")</f>
        <v xml:space="preserve">Кемеровская, Новокузнецк </v>
      </c>
      <c r="G6" s="372"/>
      <c r="H6" s="374"/>
      <c r="I6" s="375"/>
      <c r="J6" s="459"/>
      <c r="K6" s="469">
        <v>9</v>
      </c>
      <c r="L6" s="463">
        <v>2</v>
      </c>
      <c r="M6" s="482" t="str">
        <f>IFERROR(VLOOKUP(L6,пр.взв!$B$7:$H$38,2,0),"")</f>
        <v>ТЛЕУЖ Азмет Юрьевич</v>
      </c>
      <c r="N6" s="448" t="str">
        <f>IFERROR(VLOOKUP(L6,пр.взв!$B$7:$H$38,3,0),"")</f>
        <v>16.06.1999, МС</v>
      </c>
      <c r="O6" s="382" t="str">
        <f>IFERROR(VLOOKUP(L6,пр.взв!$B$7:$H$38,4,0),"")</f>
        <v>ЮФО</v>
      </c>
      <c r="P6" s="382" t="str">
        <f>IFERROR(VLOOKUP(L6,пр.взв!$B$7:$H$38,5,0),"")</f>
        <v>Р. Адыгея Майкоп</v>
      </c>
      <c r="Q6" s="372"/>
      <c r="R6" s="374"/>
      <c r="S6" s="375"/>
      <c r="T6" s="459"/>
    </row>
    <row r="7" spans="1:20" ht="12.6" customHeight="1">
      <c r="A7" s="454"/>
      <c r="B7" s="464"/>
      <c r="C7" s="483"/>
      <c r="D7" s="373"/>
      <c r="E7" s="383"/>
      <c r="F7" s="383"/>
      <c r="G7" s="373"/>
      <c r="H7" s="373"/>
      <c r="I7" s="376"/>
      <c r="J7" s="457"/>
      <c r="K7" s="470"/>
      <c r="L7" s="464"/>
      <c r="M7" s="483"/>
      <c r="N7" s="373"/>
      <c r="O7" s="383"/>
      <c r="P7" s="383"/>
      <c r="Q7" s="373"/>
      <c r="R7" s="373"/>
      <c r="S7" s="376"/>
      <c r="T7" s="457"/>
    </row>
    <row r="8" spans="1:20" ht="12.75" customHeight="1">
      <c r="A8" s="454"/>
      <c r="B8" s="465">
        <v>17</v>
      </c>
      <c r="C8" s="403" t="str">
        <f>IFERROR(VLOOKUP(B8,пр.взв!$B$7:$H$38,2,0),"")</f>
        <v>ОСИПОВ Егор Дмитриевич</v>
      </c>
      <c r="D8" s="380" t="str">
        <f>IFERROR(VLOOKUP(B8,пр.взв!$B$7:$H$38,3,0),"")</f>
        <v>05.07.2001, МС</v>
      </c>
      <c r="E8" s="380" t="str">
        <f>IFERROR(VLOOKUP(B8,пр.взв!$B$7:$H$38,4,0),"")</f>
        <v>ЦФО</v>
      </c>
      <c r="F8" s="380" t="str">
        <f>IFERROR(VLOOKUP(B8,пр.взв!$B$7:$H$38,5,0),"")</f>
        <v>Рязанская, Рязань</v>
      </c>
      <c r="G8" s="370"/>
      <c r="H8" s="370"/>
      <c r="I8" s="304"/>
      <c r="J8" s="405"/>
      <c r="K8" s="470"/>
      <c r="L8" s="465">
        <v>18</v>
      </c>
      <c r="M8" s="403" t="str">
        <f>IFERROR(VLOOKUP(L8,пр.взв!$B$7:$H$38,2,0),"")</f>
        <v>ТАШЛАНОВ Даниил Иванович</v>
      </c>
      <c r="N8" s="380" t="str">
        <f>IFERROR(VLOOKUP(L8,пр.взв!$B$7:$H$38,3,0),"")</f>
        <v>03.02.1998, МСМК</v>
      </c>
      <c r="O8" s="380" t="str">
        <f>IFERROR(VLOOKUP(L8,пр.взв!$B$7:$H$38,4,0),"")</f>
        <v>ПФО</v>
      </c>
      <c r="P8" s="380" t="str">
        <f>IFERROR(VLOOKUP(L8,пр.взв!$B$7:$H$38,5,0),"")</f>
        <v>Оренбургская, Бузулук</v>
      </c>
      <c r="Q8" s="370"/>
      <c r="R8" s="370"/>
      <c r="S8" s="304"/>
      <c r="T8" s="405"/>
    </row>
    <row r="9" spans="1:20" ht="12.95" customHeight="1" thickBot="1">
      <c r="A9" s="455"/>
      <c r="B9" s="466"/>
      <c r="C9" s="404"/>
      <c r="D9" s="381"/>
      <c r="E9" s="381"/>
      <c r="F9" s="381"/>
      <c r="G9" s="371"/>
      <c r="H9" s="371"/>
      <c r="I9" s="387"/>
      <c r="J9" s="406"/>
      <c r="K9" s="471"/>
      <c r="L9" s="466"/>
      <c r="M9" s="404"/>
      <c r="N9" s="381"/>
      <c r="O9" s="381"/>
      <c r="P9" s="381"/>
      <c r="Q9" s="371"/>
      <c r="R9" s="371"/>
      <c r="S9" s="387"/>
      <c r="T9" s="406"/>
    </row>
    <row r="10" spans="1:20" ht="12.75" customHeight="1">
      <c r="A10" s="453">
        <v>2</v>
      </c>
      <c r="B10" s="463">
        <v>9</v>
      </c>
      <c r="C10" s="391" t="str">
        <f>IFERROR(VLOOKUP(B10,пр.взв!$B$7:$H$38,2,0),"")</f>
        <v>ПОДГОРНЫЙ Артем Андреевич</v>
      </c>
      <c r="D10" s="382" t="str">
        <f>IFERROR(VLOOKUP(B10,пр.взв!$B$7:$H$38,3,0),"")</f>
        <v>27.01.2000, КМС</v>
      </c>
      <c r="E10" s="382" t="str">
        <f>IFERROR(VLOOKUP(B10,пр.взв!$B$7:$H$38,4,0),"")</f>
        <v>СПБ</v>
      </c>
      <c r="F10" s="382" t="str">
        <f>IFERROR(VLOOKUP(B10,пр.взв!$B$7:$H$38,5,0),"")</f>
        <v>Санкт-Петербург</v>
      </c>
      <c r="G10" s="372"/>
      <c r="H10" s="374"/>
      <c r="I10" s="375"/>
      <c r="J10" s="456"/>
      <c r="K10" s="469">
        <v>10</v>
      </c>
      <c r="L10" s="463">
        <v>10</v>
      </c>
      <c r="M10" s="391" t="str">
        <f>IFERROR(VLOOKUP(L10,пр.взв!$B$7:$H$38,2,0),"")</f>
        <v>НИКУЛИН Иван Дмитриевич</v>
      </c>
      <c r="N10" s="382" t="str">
        <f>IFERROR(VLOOKUP(L10,пр.взв!$B$7:$H$38,3,0),"")</f>
        <v>20.03.1993, МСМК</v>
      </c>
      <c r="O10" s="382" t="str">
        <f>IFERROR(VLOOKUP(L10,пр.взв!$B$7:$H$38,4,0),"")</f>
        <v>УФО</v>
      </c>
      <c r="P10" s="382" t="str">
        <f>IFERROR(VLOOKUP(L10,пр.взв!$B$7:$H$38,5,0),"")</f>
        <v>Свердловская, Верхняя Пышма</v>
      </c>
      <c r="Q10" s="372"/>
      <c r="R10" s="374"/>
      <c r="S10" s="375"/>
      <c r="T10" s="456"/>
    </row>
    <row r="11" spans="1:20" ht="12.6" customHeight="1">
      <c r="A11" s="454"/>
      <c r="B11" s="464"/>
      <c r="C11" s="392"/>
      <c r="D11" s="383"/>
      <c r="E11" s="383"/>
      <c r="F11" s="383"/>
      <c r="G11" s="373"/>
      <c r="H11" s="373"/>
      <c r="I11" s="376"/>
      <c r="J11" s="457"/>
      <c r="K11" s="470"/>
      <c r="L11" s="464"/>
      <c r="M11" s="392"/>
      <c r="N11" s="383"/>
      <c r="O11" s="383"/>
      <c r="P11" s="383"/>
      <c r="Q11" s="373"/>
      <c r="R11" s="373"/>
      <c r="S11" s="376"/>
      <c r="T11" s="457"/>
    </row>
    <row r="12" spans="1:20" ht="12.75" customHeight="1">
      <c r="A12" s="454"/>
      <c r="B12" s="465">
        <v>25</v>
      </c>
      <c r="C12" s="403" t="str">
        <f>IFERROR(VLOOKUP(B12,пр.взв!$B$7:$H$38,2,0),"")</f>
        <v/>
      </c>
      <c r="D12" s="380" t="str">
        <f>IFERROR(VLOOKUP(B12,пр.взв!$B$7:$H$38,3,0),"")</f>
        <v/>
      </c>
      <c r="E12" s="380" t="str">
        <f>IFERROR(VLOOKUP(B12,пр.взв!$B$7:$H$38,4,0),"")</f>
        <v/>
      </c>
      <c r="F12" s="380" t="str">
        <f>IFERROR(VLOOKUP(B12,пр.взв!$B$7:$H$38,5,0),"")</f>
        <v/>
      </c>
      <c r="G12" s="370"/>
      <c r="H12" s="370"/>
      <c r="I12" s="304"/>
      <c r="J12" s="405"/>
      <c r="K12" s="470"/>
      <c r="L12" s="465">
        <v>26</v>
      </c>
      <c r="M12" s="403" t="str">
        <f>IFERROR(VLOOKUP(L12,пр.взв!$B$7:$H$38,2,0),"")</f>
        <v/>
      </c>
      <c r="N12" s="380" t="str">
        <f>IFERROR(VLOOKUP(L12,пр.взв!$B$7:$H$38,3,0),"")</f>
        <v/>
      </c>
      <c r="O12" s="380" t="str">
        <f>IFERROR(VLOOKUP(L12,пр.взв!$B$7:$H$38,4,0),"")</f>
        <v/>
      </c>
      <c r="P12" s="380" t="str">
        <f>IFERROR(VLOOKUP(L12,пр.взв!$B$7:$H$38,5,0),"")</f>
        <v/>
      </c>
      <c r="Q12" s="370"/>
      <c r="R12" s="370"/>
      <c r="S12" s="304"/>
      <c r="T12" s="405"/>
    </row>
    <row r="13" spans="1:20" ht="12.95" customHeight="1" thickBot="1">
      <c r="A13" s="455"/>
      <c r="B13" s="466"/>
      <c r="C13" s="404"/>
      <c r="D13" s="381"/>
      <c r="E13" s="381"/>
      <c r="F13" s="381"/>
      <c r="G13" s="371"/>
      <c r="H13" s="371"/>
      <c r="I13" s="387"/>
      <c r="J13" s="406"/>
      <c r="K13" s="471"/>
      <c r="L13" s="466"/>
      <c r="M13" s="404"/>
      <c r="N13" s="381"/>
      <c r="O13" s="381"/>
      <c r="P13" s="381"/>
      <c r="Q13" s="371"/>
      <c r="R13" s="371"/>
      <c r="S13" s="387"/>
      <c r="T13" s="406"/>
    </row>
    <row r="14" spans="1:20" ht="12.75" customHeight="1">
      <c r="A14" s="453">
        <v>3</v>
      </c>
      <c r="B14" s="463">
        <v>5</v>
      </c>
      <c r="C14" s="391" t="str">
        <f>IFERROR(VLOOKUP(B14,пр.взв!$B$7:$H$38,2,0),"")</f>
        <v>ТОРГАШОВ Дмитрий Сергеевич</v>
      </c>
      <c r="D14" s="382" t="str">
        <f>IFERROR(VLOOKUP(B14,пр.взв!$B$7:$H$38,3,0),"")</f>
        <v>16.03.1993, МСМК</v>
      </c>
      <c r="E14" s="382" t="str">
        <f>IFERROR(VLOOKUP(B14,пр.взв!$B$7:$H$38,4,0),"")</f>
        <v>УФО</v>
      </c>
      <c r="F14" s="382" t="str">
        <f>IFERROR(VLOOKUP(B14,пр.взв!$B$7:$H$38,5,0),"")</f>
        <v>Свердловская, Верхняя Пышма</v>
      </c>
      <c r="G14" s="378"/>
      <c r="H14" s="384"/>
      <c r="I14" s="385"/>
      <c r="J14" s="458"/>
      <c r="K14" s="469">
        <v>11</v>
      </c>
      <c r="L14" s="463">
        <v>6</v>
      </c>
      <c r="M14" s="391" t="str">
        <f>IFERROR(VLOOKUP(L14,пр.взв!$B$7:$H$38,2,0),"")</f>
        <v>ГУСАРОВ Андрей Андреевич</v>
      </c>
      <c r="N14" s="382" t="str">
        <f>IFERROR(VLOOKUP(L14,пр.взв!$B$7:$H$38,3,0),"")</f>
        <v>21.10.99, МСМК</v>
      </c>
      <c r="O14" s="382" t="str">
        <f>IFERROR(VLOOKUP(L14,пр.взв!$B$7:$H$38,4,0),"")</f>
        <v>МОС</v>
      </c>
      <c r="P14" s="382" t="str">
        <f>IFERROR(VLOOKUP(L14,пр.взв!$B$7:$H$38,5,0),"")</f>
        <v>Москва</v>
      </c>
      <c r="Q14" s="378"/>
      <c r="R14" s="384"/>
      <c r="S14" s="385"/>
      <c r="T14" s="458"/>
    </row>
    <row r="15" spans="1:20" ht="12.75" customHeight="1">
      <c r="A15" s="454"/>
      <c r="B15" s="464"/>
      <c r="C15" s="392"/>
      <c r="D15" s="383"/>
      <c r="E15" s="383"/>
      <c r="F15" s="383"/>
      <c r="G15" s="373"/>
      <c r="H15" s="373"/>
      <c r="I15" s="376"/>
      <c r="J15" s="457"/>
      <c r="K15" s="470"/>
      <c r="L15" s="464"/>
      <c r="M15" s="392"/>
      <c r="N15" s="383"/>
      <c r="O15" s="383"/>
      <c r="P15" s="383"/>
      <c r="Q15" s="373"/>
      <c r="R15" s="373"/>
      <c r="S15" s="376"/>
      <c r="T15" s="457"/>
    </row>
    <row r="16" spans="1:20" ht="12.75" customHeight="1">
      <c r="A16" s="454"/>
      <c r="B16" s="465">
        <v>21</v>
      </c>
      <c r="C16" s="403" t="str">
        <f>IFERROR(VLOOKUP(B16,пр.взв!$B$7:$H$38,2,0),"")</f>
        <v/>
      </c>
      <c r="D16" s="380" t="str">
        <f>IFERROR(VLOOKUP(B16,пр.взв!$B$7:$H$38,3,0),"")</f>
        <v/>
      </c>
      <c r="E16" s="380" t="str">
        <f>IFERROR(VLOOKUP(B16,пр.взв!$B$7:$H$38,4,0),"")</f>
        <v/>
      </c>
      <c r="F16" s="380" t="str">
        <f>IFERROR(VLOOKUP(B16,пр.взв!$B$7:$H$38,5,0),"")</f>
        <v/>
      </c>
      <c r="G16" s="370"/>
      <c r="H16" s="370"/>
      <c r="I16" s="304"/>
      <c r="J16" s="405"/>
      <c r="K16" s="470"/>
      <c r="L16" s="465">
        <v>22</v>
      </c>
      <c r="M16" s="403" t="str">
        <f>IFERROR(VLOOKUP(L16,пр.взв!$B$7:$H$38,2,0),"")</f>
        <v/>
      </c>
      <c r="N16" s="380" t="str">
        <f>IFERROR(VLOOKUP(L16,пр.взв!$B$7:$H$38,3,0),"")</f>
        <v/>
      </c>
      <c r="O16" s="380" t="str">
        <f>IFERROR(VLOOKUP(L16,пр.взв!$B$7:$H$38,4,0),"")</f>
        <v/>
      </c>
      <c r="P16" s="380" t="str">
        <f>IFERROR(VLOOKUP(L16,пр.взв!$B$7:$H$38,5,0),"")</f>
        <v/>
      </c>
      <c r="Q16" s="370"/>
      <c r="R16" s="370"/>
      <c r="S16" s="304"/>
      <c r="T16" s="405"/>
    </row>
    <row r="17" spans="1:20" ht="13.5" customHeight="1" thickBot="1">
      <c r="A17" s="455"/>
      <c r="B17" s="466"/>
      <c r="C17" s="404"/>
      <c r="D17" s="381"/>
      <c r="E17" s="381"/>
      <c r="F17" s="381"/>
      <c r="G17" s="371"/>
      <c r="H17" s="371"/>
      <c r="I17" s="387"/>
      <c r="J17" s="406"/>
      <c r="K17" s="471"/>
      <c r="L17" s="466"/>
      <c r="M17" s="404"/>
      <c r="N17" s="381"/>
      <c r="O17" s="381"/>
      <c r="P17" s="381"/>
      <c r="Q17" s="371"/>
      <c r="R17" s="371"/>
      <c r="S17" s="387"/>
      <c r="T17" s="406"/>
    </row>
    <row r="18" spans="1:20" ht="12.75" customHeight="1">
      <c r="A18" s="453">
        <v>4</v>
      </c>
      <c r="B18" s="463">
        <v>13</v>
      </c>
      <c r="C18" s="472" t="str">
        <f>IFERROR(VLOOKUP(B18,пр.взв!$B$7:$H$38,2,0),"")</f>
        <v>ГАДЕЛИЯ Инал Бадриевич</v>
      </c>
      <c r="D18" s="407" t="str">
        <f>IFERROR(VLOOKUP(B18,пр.взв!$B$7:$H$38,3,0),"")</f>
        <v>19.11.1995, МС</v>
      </c>
      <c r="E18" s="407" t="str">
        <f>IFERROR(VLOOKUP(B18,пр.взв!$B$7:$H$38,4,0),"")</f>
        <v>ЮФО</v>
      </c>
      <c r="F18" s="407" t="str">
        <f>IFERROR(VLOOKUP(B18,пр.взв!$B$7:$H$38,5,0),"")</f>
        <v>Ростовская, Таганрог</v>
      </c>
      <c r="G18" s="372"/>
      <c r="H18" s="374"/>
      <c r="I18" s="375"/>
      <c r="J18" s="474"/>
      <c r="K18" s="475">
        <v>12</v>
      </c>
      <c r="L18" s="478">
        <v>14</v>
      </c>
      <c r="M18" s="472" t="str">
        <f>IFERROR(VLOOKUP(L18,пр.взв!$B$7:$H$38,2,0),"")</f>
        <v>ГАЙБАЕВ Артем Римович</v>
      </c>
      <c r="N18" s="407" t="str">
        <f>IFERROR(VLOOKUP(L18,пр.взв!$B$7:$H$38,3,0),"")</f>
        <v>06.08.1994, МС</v>
      </c>
      <c r="O18" s="407" t="str">
        <f>IFERROR(VLOOKUP(L18,пр.взв!$B$7:$H$38,4,0),"")</f>
        <v>ПФО</v>
      </c>
      <c r="P18" s="407" t="str">
        <f>IFERROR(VLOOKUP(L18,пр.взв!$B$7:$H$38,5,0),"")</f>
        <v>Пензенская, Пенза</v>
      </c>
      <c r="Q18" s="373"/>
      <c r="R18" s="467"/>
      <c r="S18" s="376"/>
      <c r="T18" s="468"/>
    </row>
    <row r="19" spans="1:20" ht="12.75" customHeight="1">
      <c r="A19" s="454"/>
      <c r="B19" s="464"/>
      <c r="C19" s="473"/>
      <c r="D19" s="408"/>
      <c r="E19" s="408"/>
      <c r="F19" s="408"/>
      <c r="G19" s="373"/>
      <c r="H19" s="373"/>
      <c r="I19" s="376"/>
      <c r="J19" s="457"/>
      <c r="K19" s="476"/>
      <c r="L19" s="479"/>
      <c r="M19" s="473"/>
      <c r="N19" s="408"/>
      <c r="O19" s="408"/>
      <c r="P19" s="408"/>
      <c r="Q19" s="373"/>
      <c r="R19" s="373"/>
      <c r="S19" s="376"/>
      <c r="T19" s="457"/>
    </row>
    <row r="20" spans="1:20" ht="12.75" customHeight="1">
      <c r="A20" s="454"/>
      <c r="B20" s="465">
        <v>29</v>
      </c>
      <c r="C20" s="409" t="str">
        <f>IFERROR(VLOOKUP(B20,пр.взв!$B$7:$H$38,2,0),"")</f>
        <v/>
      </c>
      <c r="D20" s="393" t="str">
        <f>IFERROR(VLOOKUP(B20,пр.взв!$B$7:$H$38,3,0),"")</f>
        <v/>
      </c>
      <c r="E20" s="393" t="str">
        <f>IFERROR(VLOOKUP(B20,пр.взв!$B$7:$H$38,4,0),"")</f>
        <v/>
      </c>
      <c r="F20" s="393" t="str">
        <f>IFERROR(VLOOKUP(B20,пр.взв!$B$7:$H$38,5,0),"")</f>
        <v/>
      </c>
      <c r="G20" s="370"/>
      <c r="H20" s="370"/>
      <c r="I20" s="304"/>
      <c r="J20" s="405"/>
      <c r="K20" s="476"/>
      <c r="L20" s="480">
        <v>30</v>
      </c>
      <c r="M20" s="409" t="str">
        <f>IFERROR(VLOOKUP(L20,пр.взв!$B$7:$H$38,2,0),"")</f>
        <v/>
      </c>
      <c r="N20" s="393" t="str">
        <f>IFERROR(VLOOKUP(L20,пр.взв!$B$7:$H$38,3,0),"")</f>
        <v/>
      </c>
      <c r="O20" s="393" t="str">
        <f>IFERROR(VLOOKUP(L20,пр.взв!$B$7:$H$38,4,0),"")</f>
        <v/>
      </c>
      <c r="P20" s="393" t="str">
        <f>IFERROR(VLOOKUP(L20,пр.взв!$B$7:$H$38,5,0),"")</f>
        <v/>
      </c>
      <c r="Q20" s="370"/>
      <c r="R20" s="370"/>
      <c r="S20" s="304"/>
      <c r="T20" s="405"/>
    </row>
    <row r="21" spans="1:20" ht="13.5" customHeight="1" thickBot="1">
      <c r="A21" s="455"/>
      <c r="B21" s="466"/>
      <c r="C21" s="410"/>
      <c r="D21" s="394"/>
      <c r="E21" s="394"/>
      <c r="F21" s="394"/>
      <c r="G21" s="371"/>
      <c r="H21" s="371"/>
      <c r="I21" s="387"/>
      <c r="J21" s="406"/>
      <c r="K21" s="477"/>
      <c r="L21" s="481"/>
      <c r="M21" s="410"/>
      <c r="N21" s="394"/>
      <c r="O21" s="394"/>
      <c r="P21" s="394"/>
      <c r="Q21" s="371"/>
      <c r="R21" s="371"/>
      <c r="S21" s="387"/>
      <c r="T21" s="406"/>
    </row>
    <row r="22" spans="1:20" ht="12.75" customHeight="1">
      <c r="A22" s="453">
        <v>5</v>
      </c>
      <c r="B22" s="463">
        <v>3</v>
      </c>
      <c r="C22" s="391" t="str">
        <f>IFERROR(VLOOKUP(B22,пр.взв!$B$7:$H$38,2,0),"")</f>
        <v>ЖИДЕЛЕВ Яков Евгеньевич</v>
      </c>
      <c r="D22" s="382" t="str">
        <f>IFERROR(VLOOKUP(B22,пр.взв!$B$7:$H$38,3,0),"")</f>
        <v>26.09.2001, МС</v>
      </c>
      <c r="E22" s="382" t="str">
        <f>IFERROR(VLOOKUP(B22,пр.взв!$B$7:$H$38,4,0),"")</f>
        <v>МОС</v>
      </c>
      <c r="F22" s="382" t="str">
        <f>IFERROR(VLOOKUP(B22,пр.взв!$B$7:$H$38,5,0),"")</f>
        <v>Москва</v>
      </c>
      <c r="G22" s="378"/>
      <c r="H22" s="384"/>
      <c r="I22" s="385"/>
      <c r="J22" s="458"/>
      <c r="K22" s="469">
        <v>13</v>
      </c>
      <c r="L22" s="463">
        <v>4</v>
      </c>
      <c r="M22" s="391" t="str">
        <f>IFERROR(VLOOKUP(L22,пр.взв!$B$7:$H$38,2,0),"")</f>
        <v>КОТОВ Сергей Валерьевич</v>
      </c>
      <c r="N22" s="382" t="str">
        <f>IFERROR(VLOOKUP(L22,пр.взв!$B$7:$H$38,3,0),"")</f>
        <v>30.11.1990, МС</v>
      </c>
      <c r="O22" s="382" t="str">
        <f>IFERROR(VLOOKUP(L22,пр.взв!$B$7:$H$38,4,0),"")</f>
        <v>СФО</v>
      </c>
      <c r="P22" s="382" t="str">
        <f>IFERROR(VLOOKUP(L22,пр.взв!$B$7:$H$38,5,0),"")</f>
        <v xml:space="preserve">Кемеровская, Новокузнецк </v>
      </c>
      <c r="Q22" s="378"/>
      <c r="R22" s="384"/>
      <c r="S22" s="385"/>
      <c r="T22" s="458"/>
    </row>
    <row r="23" spans="1:20" ht="12.75" customHeight="1">
      <c r="A23" s="454"/>
      <c r="B23" s="464"/>
      <c r="C23" s="392"/>
      <c r="D23" s="383"/>
      <c r="E23" s="383"/>
      <c r="F23" s="383"/>
      <c r="G23" s="373"/>
      <c r="H23" s="373"/>
      <c r="I23" s="376"/>
      <c r="J23" s="457"/>
      <c r="K23" s="470"/>
      <c r="L23" s="464"/>
      <c r="M23" s="392"/>
      <c r="N23" s="383"/>
      <c r="O23" s="383"/>
      <c r="P23" s="383"/>
      <c r="Q23" s="373"/>
      <c r="R23" s="373"/>
      <c r="S23" s="376"/>
      <c r="T23" s="457"/>
    </row>
    <row r="24" spans="1:20" ht="12.75" customHeight="1">
      <c r="A24" s="454"/>
      <c r="B24" s="465">
        <v>19</v>
      </c>
      <c r="C24" s="403" t="str">
        <f>IFERROR(VLOOKUP(B24,пр.взв!$B$7:$H$38,2,0),"")</f>
        <v>АЮБОВ Андрей Ферузович</v>
      </c>
      <c r="D24" s="380" t="str">
        <f>IFERROR(VLOOKUP(B24,пр.взв!$B$7:$H$38,3,0),"")</f>
        <v>05.05.2003, МС</v>
      </c>
      <c r="E24" s="380" t="str">
        <f>IFERROR(VLOOKUP(B24,пр.взв!$B$7:$H$38,4,0),"")</f>
        <v>УФО</v>
      </c>
      <c r="F24" s="380" t="str">
        <f>IFERROR(VLOOKUP(B24,пр.взв!$B$7:$H$38,5,0),"")</f>
        <v>ХМАО-Свердловская, Верхняя Пышма</v>
      </c>
      <c r="G24" s="370"/>
      <c r="H24" s="370"/>
      <c r="I24" s="304"/>
      <c r="J24" s="405"/>
      <c r="K24" s="470"/>
      <c r="L24" s="465">
        <v>20</v>
      </c>
      <c r="M24" s="403" t="str">
        <f>IFERROR(VLOOKUP(L24,пр.взв!$B$7:$H$38,2,0),"")</f>
        <v/>
      </c>
      <c r="N24" s="380" t="str">
        <f>IFERROR(VLOOKUP(L24,пр.взв!$B$7:$H$38,3,0),"")</f>
        <v/>
      </c>
      <c r="O24" s="380" t="str">
        <f>IFERROR(VLOOKUP(L24,пр.взв!$B$7:$H$38,4,0),"")</f>
        <v/>
      </c>
      <c r="P24" s="380" t="str">
        <f>IFERROR(VLOOKUP(L24,пр.взв!$B$7:$H$38,5,0),"")</f>
        <v/>
      </c>
      <c r="Q24" s="370"/>
      <c r="R24" s="370"/>
      <c r="S24" s="304"/>
      <c r="T24" s="405"/>
    </row>
    <row r="25" spans="1:20" ht="13.5" customHeight="1" thickBot="1">
      <c r="A25" s="455"/>
      <c r="B25" s="466"/>
      <c r="C25" s="404"/>
      <c r="D25" s="381"/>
      <c r="E25" s="381"/>
      <c r="F25" s="381"/>
      <c r="G25" s="371"/>
      <c r="H25" s="371"/>
      <c r="I25" s="387"/>
      <c r="J25" s="406"/>
      <c r="K25" s="471"/>
      <c r="L25" s="466"/>
      <c r="M25" s="404"/>
      <c r="N25" s="381"/>
      <c r="O25" s="381"/>
      <c r="P25" s="381"/>
      <c r="Q25" s="371"/>
      <c r="R25" s="371"/>
      <c r="S25" s="387"/>
      <c r="T25" s="406"/>
    </row>
    <row r="26" spans="1:20" ht="12.75" customHeight="1">
      <c r="A26" s="453">
        <v>6</v>
      </c>
      <c r="B26" s="463">
        <v>11</v>
      </c>
      <c r="C26" s="391" t="str">
        <f>IFERROR(VLOOKUP(B26,пр.взв!$B$7:$H$38,2,0),"")</f>
        <v>ТАРАНКОВ Никита Сергеевич</v>
      </c>
      <c r="D26" s="382" t="str">
        <f>IFERROR(VLOOKUP(B26,пр.взв!$B$7:$H$38,3,0),"")</f>
        <v>25.08.2000, КМС</v>
      </c>
      <c r="E26" s="382" t="str">
        <f>IFERROR(VLOOKUP(B26,пр.взв!$B$7:$H$38,4,0),"")</f>
        <v>ПФО</v>
      </c>
      <c r="F26" s="382" t="str">
        <f>IFERROR(VLOOKUP(B26,пр.взв!$B$7:$H$38,5,0),"")</f>
        <v>Нижегородская, Нижний Новгород</v>
      </c>
      <c r="G26" s="372"/>
      <c r="H26" s="374"/>
      <c r="I26" s="375"/>
      <c r="J26" s="456"/>
      <c r="K26" s="469">
        <v>14</v>
      </c>
      <c r="L26" s="463">
        <v>12</v>
      </c>
      <c r="M26" s="391" t="str">
        <f>IFERROR(VLOOKUP(L26,пр.взв!$B$7:$H$38,2,0),"")</f>
        <v>МЕРЗЛЯКОВ Максим Максимович</v>
      </c>
      <c r="N26" s="382" t="str">
        <f>IFERROR(VLOOKUP(L26,пр.взв!$B$7:$H$38,3,0),"")</f>
        <v>23.09.2003, МС</v>
      </c>
      <c r="O26" s="382" t="str">
        <f>IFERROR(VLOOKUP(L26,пр.взв!$B$7:$H$38,4,0),"")</f>
        <v>СПБ</v>
      </c>
      <c r="P26" s="382" t="str">
        <f>IFERROR(VLOOKUP(L26,пр.взв!$B$7:$H$38,5,0),"")</f>
        <v>Санкт-Петербург</v>
      </c>
      <c r="Q26" s="372"/>
      <c r="R26" s="374"/>
      <c r="S26" s="375"/>
      <c r="T26" s="456"/>
    </row>
    <row r="27" spans="1:20" ht="12.75" customHeight="1">
      <c r="A27" s="454"/>
      <c r="B27" s="464"/>
      <c r="C27" s="392"/>
      <c r="D27" s="383"/>
      <c r="E27" s="383"/>
      <c r="F27" s="383"/>
      <c r="G27" s="373"/>
      <c r="H27" s="373"/>
      <c r="I27" s="376"/>
      <c r="J27" s="457"/>
      <c r="K27" s="470"/>
      <c r="L27" s="464"/>
      <c r="M27" s="392"/>
      <c r="N27" s="383"/>
      <c r="O27" s="383"/>
      <c r="P27" s="383"/>
      <c r="Q27" s="373"/>
      <c r="R27" s="373"/>
      <c r="S27" s="376"/>
      <c r="T27" s="457"/>
    </row>
    <row r="28" spans="1:20" ht="12.75" customHeight="1">
      <c r="A28" s="454"/>
      <c r="B28" s="465">
        <v>27</v>
      </c>
      <c r="C28" s="403" t="str">
        <f>IFERROR(VLOOKUP(B28,пр.взв!$B$7:$H$38,2,0),"")</f>
        <v/>
      </c>
      <c r="D28" s="380" t="str">
        <f>IFERROR(VLOOKUP(B28,пр.взв!$B$7:$H$38,3,0),"")</f>
        <v/>
      </c>
      <c r="E28" s="380" t="str">
        <f>IFERROR(VLOOKUP(B28,пр.взв!$B$7:$H$38,4,0),"")</f>
        <v/>
      </c>
      <c r="F28" s="380" t="str">
        <f>IFERROR(VLOOKUP(B28,пр.взв!$B$7:$H$38,5,0),"")</f>
        <v/>
      </c>
      <c r="G28" s="370"/>
      <c r="H28" s="370"/>
      <c r="I28" s="304"/>
      <c r="J28" s="405"/>
      <c r="K28" s="470"/>
      <c r="L28" s="465">
        <v>28</v>
      </c>
      <c r="M28" s="403" t="str">
        <f>IFERROR(VLOOKUP(L28,пр.взв!$B$7:$H$38,2,0),"")</f>
        <v/>
      </c>
      <c r="N28" s="380" t="str">
        <f>IFERROR(VLOOKUP(L28,пр.взв!$B$7:$H$38,3,0),"")</f>
        <v/>
      </c>
      <c r="O28" s="380" t="str">
        <f>IFERROR(VLOOKUP(L28,пр.взв!$B$7:$H$38,4,0),"")</f>
        <v/>
      </c>
      <c r="P28" s="380" t="str">
        <f>IFERROR(VLOOKUP(L28,пр.взв!$B$7:$H$38,5,0),"")</f>
        <v/>
      </c>
      <c r="Q28" s="370"/>
      <c r="R28" s="370"/>
      <c r="S28" s="304"/>
      <c r="T28" s="405"/>
    </row>
    <row r="29" spans="1:20" ht="13.5" customHeight="1" thickBot="1">
      <c r="A29" s="455"/>
      <c r="B29" s="466"/>
      <c r="C29" s="404"/>
      <c r="D29" s="381"/>
      <c r="E29" s="381"/>
      <c r="F29" s="381"/>
      <c r="G29" s="371"/>
      <c r="H29" s="371"/>
      <c r="I29" s="387"/>
      <c r="J29" s="406"/>
      <c r="K29" s="471"/>
      <c r="L29" s="466"/>
      <c r="M29" s="404"/>
      <c r="N29" s="381"/>
      <c r="O29" s="381"/>
      <c r="P29" s="381"/>
      <c r="Q29" s="371"/>
      <c r="R29" s="371"/>
      <c r="S29" s="387"/>
      <c r="T29" s="406"/>
    </row>
    <row r="30" spans="1:20" ht="12.75" customHeight="1">
      <c r="A30" s="453">
        <v>7</v>
      </c>
      <c r="B30" s="463">
        <v>7</v>
      </c>
      <c r="C30" s="391" t="str">
        <f>IFERROR(VLOOKUP(B30,пр.взв!$B$7:$H$38,2,0),"")</f>
        <v>КУРБАНОВ Аслан Юрьевич</v>
      </c>
      <c r="D30" s="382" t="str">
        <f>IFERROR(VLOOKUP(B30,пр.взв!$B$7:$H$38,3,0),"")</f>
        <v>17.10.1991, МС</v>
      </c>
      <c r="E30" s="382" t="str">
        <f>IFERROR(VLOOKUP(B30,пр.взв!$B$7:$H$38,4,0),"")</f>
        <v>СКФО</v>
      </c>
      <c r="F30" s="382" t="str">
        <f>IFERROR(VLOOKUP(B30,пр.взв!$B$7:$H$38,5,0),"")</f>
        <v>Р. Дагестан, Махачкала</v>
      </c>
      <c r="G30" s="378"/>
      <c r="H30" s="384"/>
      <c r="I30" s="385"/>
      <c r="J30" s="458"/>
      <c r="K30" s="469">
        <v>15</v>
      </c>
      <c r="L30" s="463">
        <v>8</v>
      </c>
      <c r="M30" s="391" t="str">
        <f>IFERROR(VLOOKUP(L30,пр.взв!$B$7:$H$38,2,0),"")</f>
        <v>КУЗНЕЦОВ Сергей Владимирович</v>
      </c>
      <c r="N30" s="382" t="str">
        <f>IFERROR(VLOOKUP(L30,пр.взв!$B$7:$H$38,3,0),"")</f>
        <v>21.11.2022, МС</v>
      </c>
      <c r="O30" s="382" t="str">
        <f>IFERROR(VLOOKUP(L30,пр.взв!$B$7:$H$38,4,0),"")</f>
        <v>УФО</v>
      </c>
      <c r="P30" s="382" t="str">
        <f>IFERROR(VLOOKUP(L30,пр.взв!$B$7:$H$38,5,0),"")</f>
        <v>Свердловская, Верхняя Пышма</v>
      </c>
      <c r="Q30" s="378"/>
      <c r="R30" s="384"/>
      <c r="S30" s="385"/>
      <c r="T30" s="458"/>
    </row>
    <row r="31" spans="1:20" ht="12.75" customHeight="1">
      <c r="A31" s="454"/>
      <c r="B31" s="464"/>
      <c r="C31" s="392"/>
      <c r="D31" s="383"/>
      <c r="E31" s="383"/>
      <c r="F31" s="383"/>
      <c r="G31" s="373"/>
      <c r="H31" s="373"/>
      <c r="I31" s="376"/>
      <c r="J31" s="457"/>
      <c r="K31" s="470"/>
      <c r="L31" s="464"/>
      <c r="M31" s="392"/>
      <c r="N31" s="383"/>
      <c r="O31" s="383"/>
      <c r="P31" s="383"/>
      <c r="Q31" s="373"/>
      <c r="R31" s="373"/>
      <c r="S31" s="376"/>
      <c r="T31" s="457"/>
    </row>
    <row r="32" spans="1:20" ht="12.75" customHeight="1">
      <c r="A32" s="454"/>
      <c r="B32" s="465">
        <v>23</v>
      </c>
      <c r="C32" s="403" t="str">
        <f>IFERROR(VLOOKUP(B32,пр.взв!$B$7:$H$38,2,0),"")</f>
        <v/>
      </c>
      <c r="D32" s="380" t="str">
        <f>IFERROR(VLOOKUP(B32,пр.взв!$B$7:$H$38,3,0),"")</f>
        <v/>
      </c>
      <c r="E32" s="380" t="str">
        <f>IFERROR(VLOOKUP(B32,пр.взв!$B$7:$H$38,4,0),"")</f>
        <v/>
      </c>
      <c r="F32" s="380" t="str">
        <f>IFERROR(VLOOKUP(B32,пр.взв!$B$7:$H$38,5,0),"")</f>
        <v/>
      </c>
      <c r="G32" s="370"/>
      <c r="H32" s="370"/>
      <c r="I32" s="304"/>
      <c r="J32" s="405"/>
      <c r="K32" s="470"/>
      <c r="L32" s="465">
        <v>24</v>
      </c>
      <c r="M32" s="403" t="str">
        <f>IFERROR(VLOOKUP(L32,пр.взв!$B$7:$H$38,2,0),"")</f>
        <v/>
      </c>
      <c r="N32" s="380" t="str">
        <f>IFERROR(VLOOKUP(L32,пр.взв!$B$7:$H$38,3,0),"")</f>
        <v/>
      </c>
      <c r="O32" s="380" t="str">
        <f>IFERROR(VLOOKUP(L32,пр.взв!$B$7:$H$38,4,0),"")</f>
        <v/>
      </c>
      <c r="P32" s="380" t="str">
        <f>IFERROR(VLOOKUP(L32,пр.взв!$B$7:$H$38,5,0),"")</f>
        <v/>
      </c>
      <c r="Q32" s="370"/>
      <c r="R32" s="370"/>
      <c r="S32" s="304"/>
      <c r="T32" s="405"/>
    </row>
    <row r="33" spans="1:20" ht="13.5" customHeight="1" thickBot="1">
      <c r="A33" s="455"/>
      <c r="B33" s="466"/>
      <c r="C33" s="404"/>
      <c r="D33" s="381"/>
      <c r="E33" s="381"/>
      <c r="F33" s="381"/>
      <c r="G33" s="371"/>
      <c r="H33" s="371"/>
      <c r="I33" s="387"/>
      <c r="J33" s="406"/>
      <c r="K33" s="471"/>
      <c r="L33" s="466"/>
      <c r="M33" s="404"/>
      <c r="N33" s="381"/>
      <c r="O33" s="381"/>
      <c r="P33" s="381"/>
      <c r="Q33" s="371"/>
      <c r="R33" s="371"/>
      <c r="S33" s="387"/>
      <c r="T33" s="406"/>
    </row>
    <row r="34" spans="1:20" ht="12.75" customHeight="1">
      <c r="A34" s="453">
        <v>8</v>
      </c>
      <c r="B34" s="463">
        <v>15</v>
      </c>
      <c r="C34" s="391" t="str">
        <f>IFERROR(VLOOKUP(B34,пр.взв!$B$7:$H$38,2,0),"")</f>
        <v>ФАРХОДОВ Закир Завкибекович</v>
      </c>
      <c r="D34" s="382" t="str">
        <f>IFERROR(VLOOKUP(B34,пр.взв!$B$7:$H$38,3,0),"")</f>
        <v>11.06.2003, КМС</v>
      </c>
      <c r="E34" s="382" t="str">
        <f>IFERROR(VLOOKUP(B34,пр.взв!$B$7:$H$38,4,0),"")</f>
        <v>СПБ</v>
      </c>
      <c r="F34" s="382" t="str">
        <f>IFERROR(VLOOKUP(B34,пр.взв!$B$7:$H$38,5,0),"")</f>
        <v>Санкт-Петербург</v>
      </c>
      <c r="G34" s="373"/>
      <c r="H34" s="467"/>
      <c r="I34" s="376"/>
      <c r="J34" s="468"/>
      <c r="K34" s="469">
        <v>16</v>
      </c>
      <c r="L34" s="463">
        <v>16</v>
      </c>
      <c r="M34" s="391" t="str">
        <f>IFERROR(VLOOKUP(L34,пр.взв!$B$7:$H$38,2,0),"")</f>
        <v>МАНУКЯН Леван Гарикович</v>
      </c>
      <c r="N34" s="382" t="str">
        <f>IFERROR(VLOOKUP(L34,пр.взв!$B$7:$H$38,3,0),"")</f>
        <v>22.11.2002  МСМК</v>
      </c>
      <c r="O34" s="382" t="str">
        <f>IFERROR(VLOOKUP(L34,пр.взв!$B$7:$H$38,4,0),"")</f>
        <v>ЮФО</v>
      </c>
      <c r="P34" s="382" t="str">
        <f>IFERROR(VLOOKUP(L34,пр.взв!$B$7:$H$38,5,0),"")</f>
        <v>Краснодарский, Сочи</v>
      </c>
      <c r="Q34" s="373"/>
      <c r="R34" s="467"/>
      <c r="S34" s="376"/>
      <c r="T34" s="468"/>
    </row>
    <row r="35" spans="1:20" ht="12.75" customHeight="1">
      <c r="A35" s="454"/>
      <c r="B35" s="464"/>
      <c r="C35" s="392"/>
      <c r="D35" s="383"/>
      <c r="E35" s="383"/>
      <c r="F35" s="383"/>
      <c r="G35" s="373"/>
      <c r="H35" s="373"/>
      <c r="I35" s="376"/>
      <c r="J35" s="457"/>
      <c r="K35" s="470"/>
      <c r="L35" s="464"/>
      <c r="M35" s="392"/>
      <c r="N35" s="383"/>
      <c r="O35" s="383"/>
      <c r="P35" s="383"/>
      <c r="Q35" s="373"/>
      <c r="R35" s="373"/>
      <c r="S35" s="376"/>
      <c r="T35" s="457"/>
    </row>
    <row r="36" spans="1:20" ht="12.75" customHeight="1">
      <c r="A36" s="454"/>
      <c r="B36" s="465">
        <v>31</v>
      </c>
      <c r="C36" s="403" t="str">
        <f>IFERROR(VLOOKUP(B36,пр.взв!$B$7:$H$38,2,0),"")</f>
        <v/>
      </c>
      <c r="D36" s="393" t="str">
        <f>IFERROR(VLOOKUP(B36,пр.взв!$B$7:$H$38,3,0),"")</f>
        <v/>
      </c>
      <c r="E36" s="393" t="str">
        <f>IFERROR(VLOOKUP(B36,пр.взв!$B$7:$H$38,4,0),"")</f>
        <v/>
      </c>
      <c r="F36" s="393" t="str">
        <f>IFERROR(VLOOKUP(B36,пр.взв!$B$7:$H$38,5,0),"")</f>
        <v/>
      </c>
      <c r="G36" s="370"/>
      <c r="H36" s="370"/>
      <c r="I36" s="304"/>
      <c r="J36" s="405"/>
      <c r="K36" s="470"/>
      <c r="L36" s="465">
        <v>32</v>
      </c>
      <c r="M36" s="403" t="str">
        <f>IFERROR(VLOOKUP(L36,пр.взв!$B$7:$H$38,2,0),"")</f>
        <v/>
      </c>
      <c r="N36" s="393" t="str">
        <f>IFERROR(VLOOKUP(L36,пр.взв!$B$7:$H$38,3,0),"")</f>
        <v/>
      </c>
      <c r="O36" s="393" t="str">
        <f>IFERROR(VLOOKUP(L36,пр.взв!$B$7:$H$38,4,0),"")</f>
        <v/>
      </c>
      <c r="P36" s="393" t="str">
        <f>IFERROR(VLOOKUP(L36,пр.взв!$B$7:$H$38,5,0),"")</f>
        <v/>
      </c>
      <c r="Q36" s="370"/>
      <c r="R36" s="370"/>
      <c r="S36" s="304"/>
      <c r="T36" s="405"/>
    </row>
    <row r="37" spans="1:20" ht="13.5" customHeight="1" thickBot="1">
      <c r="A37" s="455"/>
      <c r="B37" s="466"/>
      <c r="C37" s="404"/>
      <c r="D37" s="394"/>
      <c r="E37" s="394"/>
      <c r="F37" s="394"/>
      <c r="G37" s="371"/>
      <c r="H37" s="371"/>
      <c r="I37" s="387"/>
      <c r="J37" s="406"/>
      <c r="K37" s="471"/>
      <c r="L37" s="466"/>
      <c r="M37" s="404"/>
      <c r="N37" s="394"/>
      <c r="O37" s="394"/>
      <c r="P37" s="394"/>
      <c r="Q37" s="371"/>
      <c r="R37" s="371"/>
      <c r="S37" s="387"/>
      <c r="T37" s="406"/>
    </row>
    <row r="38" spans="1:20" ht="15.75">
      <c r="B38" s="288">
        <f>B2</f>
        <v>0</v>
      </c>
      <c r="C38" s="289" t="s">
        <v>108</v>
      </c>
      <c r="D38" s="289"/>
      <c r="E38" s="379"/>
      <c r="F38" s="379"/>
      <c r="G38" s="289"/>
      <c r="H38" s="289"/>
      <c r="I38" s="289"/>
      <c r="J38" s="289"/>
      <c r="L38" s="288">
        <f>L2</f>
        <v>0</v>
      </c>
      <c r="M38" s="289" t="s">
        <v>108</v>
      </c>
      <c r="N38" s="289"/>
      <c r="O38" s="379"/>
      <c r="P38" s="379"/>
      <c r="Q38" s="289"/>
      <c r="R38" s="289"/>
      <c r="S38" s="289"/>
      <c r="T38" s="289"/>
    </row>
    <row r="39" spans="1:20" ht="16.5" thickBot="1">
      <c r="A39" s="44"/>
      <c r="B39" s="86" t="s">
        <v>30</v>
      </c>
      <c r="C39" s="87" t="s">
        <v>38</v>
      </c>
      <c r="D39" s="88" t="s">
        <v>35</v>
      </c>
      <c r="E39" s="88"/>
      <c r="F39" s="87"/>
      <c r="G39" s="86" t="str">
        <f>пр.взв!D4</f>
        <v>В.к. 98 кг.</v>
      </c>
      <c r="H39" s="87"/>
      <c r="I39" s="87"/>
      <c r="J39" s="89"/>
      <c r="K39" s="74"/>
      <c r="L39" s="72" t="s">
        <v>1</v>
      </c>
      <c r="M39" s="74" t="s">
        <v>38</v>
      </c>
      <c r="N39" s="73" t="s">
        <v>35</v>
      </c>
      <c r="O39" s="73"/>
      <c r="P39" s="74"/>
      <c r="Q39" s="72" t="str">
        <f>G39</f>
        <v>В.к. 98 кг.</v>
      </c>
      <c r="R39" s="74"/>
      <c r="S39" s="74"/>
      <c r="T39" s="74"/>
    </row>
    <row r="40" spans="1:20" ht="12.75" customHeight="1">
      <c r="A40" s="429" t="s">
        <v>39</v>
      </c>
      <c r="B40" s="431" t="s">
        <v>4</v>
      </c>
      <c r="C40" s="425" t="s">
        <v>5</v>
      </c>
      <c r="D40" s="377" t="s">
        <v>14</v>
      </c>
      <c r="E40" s="437" t="s">
        <v>15</v>
      </c>
      <c r="F40" s="438"/>
      <c r="G40" s="425" t="s">
        <v>16</v>
      </c>
      <c r="H40" s="427" t="s">
        <v>40</v>
      </c>
      <c r="I40" s="420" t="s">
        <v>17</v>
      </c>
      <c r="J40" s="422" t="s">
        <v>18</v>
      </c>
      <c r="K40" s="461" t="s">
        <v>39</v>
      </c>
      <c r="L40" s="431" t="s">
        <v>4</v>
      </c>
      <c r="M40" s="425" t="s">
        <v>5</v>
      </c>
      <c r="N40" s="377" t="s">
        <v>14</v>
      </c>
      <c r="O40" s="433" t="s">
        <v>15</v>
      </c>
      <c r="P40" s="434"/>
      <c r="Q40" s="425" t="s">
        <v>16</v>
      </c>
      <c r="R40" s="427" t="s">
        <v>40</v>
      </c>
      <c r="S40" s="420" t="s">
        <v>17</v>
      </c>
      <c r="T40" s="422" t="s">
        <v>18</v>
      </c>
    </row>
    <row r="41" spans="1:20" ht="13.5" customHeight="1" thickBot="1">
      <c r="A41" s="430"/>
      <c r="B41" s="460" t="s">
        <v>33</v>
      </c>
      <c r="C41" s="426"/>
      <c r="D41" s="395"/>
      <c r="E41" s="439"/>
      <c r="F41" s="440"/>
      <c r="G41" s="426"/>
      <c r="H41" s="428"/>
      <c r="I41" s="421"/>
      <c r="J41" s="423" t="s">
        <v>34</v>
      </c>
      <c r="K41" s="462"/>
      <c r="L41" s="460" t="s">
        <v>33</v>
      </c>
      <c r="M41" s="426"/>
      <c r="N41" s="395"/>
      <c r="O41" s="435"/>
      <c r="P41" s="436"/>
      <c r="Q41" s="426"/>
      <c r="R41" s="428"/>
      <c r="S41" s="421"/>
      <c r="T41" s="423" t="s">
        <v>34</v>
      </c>
    </row>
    <row r="42" spans="1:20" ht="12.75" customHeight="1">
      <c r="A42" s="453">
        <v>1</v>
      </c>
      <c r="B42" s="399">
        <f>пр.хода!E8</f>
        <v>0</v>
      </c>
      <c r="C42" s="391" t="str">
        <f>IFERROR(VLOOKUP(B42,пр.взв!$B$7:$H$38,2,0),"")</f>
        <v/>
      </c>
      <c r="D42" s="382" t="str">
        <f>IFERROR(VLOOKUP(B42,пр.взв!$B$7:$H$38,3,0),"")</f>
        <v/>
      </c>
      <c r="E42" s="382" t="str">
        <f>IFERROR(VLOOKUP(B42,пр.взв!$B$7:$H$38,4,0),"")</f>
        <v/>
      </c>
      <c r="F42" s="382" t="str">
        <f>IFERROR(VLOOKUP(B42,пр.взв!$B$7:$H$38,5,0),"")</f>
        <v/>
      </c>
      <c r="G42" s="378"/>
      <c r="H42" s="384"/>
      <c r="I42" s="385"/>
      <c r="J42" s="458"/>
      <c r="K42" s="396">
        <v>5</v>
      </c>
      <c r="L42" s="399">
        <f>пр.хода!T8</f>
        <v>0</v>
      </c>
      <c r="M42" s="391" t="str">
        <f>IFERROR(VLOOKUP(L42,пр.взв!$B$7:$H$38,2,0),"")</f>
        <v/>
      </c>
      <c r="N42" s="382" t="str">
        <f>IFERROR(VLOOKUP(L42,пр.взв!$B$7:$H$38,3,0),"")</f>
        <v/>
      </c>
      <c r="O42" s="382" t="str">
        <f>IFERROR(VLOOKUP(L42,пр.взв!$B$7:$H$38,4,0),"")</f>
        <v/>
      </c>
      <c r="P42" s="382" t="str">
        <f>IFERROR(VLOOKUP(L42,пр.взв!$B$7:$H$38,5,0),"")</f>
        <v/>
      </c>
      <c r="Q42" s="372"/>
      <c r="R42" s="374"/>
      <c r="S42" s="375"/>
      <c r="T42" s="459"/>
    </row>
    <row r="43" spans="1:20" ht="12.6" customHeight="1">
      <c r="A43" s="454"/>
      <c r="B43" s="400"/>
      <c r="C43" s="392"/>
      <c r="D43" s="383"/>
      <c r="E43" s="383"/>
      <c r="F43" s="383"/>
      <c r="G43" s="373"/>
      <c r="H43" s="373"/>
      <c r="I43" s="376"/>
      <c r="J43" s="457"/>
      <c r="K43" s="397"/>
      <c r="L43" s="400"/>
      <c r="M43" s="392"/>
      <c r="N43" s="383"/>
      <c r="O43" s="383"/>
      <c r="P43" s="383"/>
      <c r="Q43" s="373"/>
      <c r="R43" s="373"/>
      <c r="S43" s="376"/>
      <c r="T43" s="457"/>
    </row>
    <row r="44" spans="1:20" ht="12.75" customHeight="1">
      <c r="A44" s="454"/>
      <c r="B44" s="401">
        <f>пр.хода!E12</f>
        <v>9</v>
      </c>
      <c r="C44" s="403" t="str">
        <f>IFERROR(VLOOKUP(B44,пр.взв!$B$7:$H$38,2,0),"")</f>
        <v>ПОДГОРНЫЙ Артем Андреевич</v>
      </c>
      <c r="D44" s="380" t="str">
        <f>IFERROR(VLOOKUP(B44,пр.взв!$B$7:$H$38,3,0),"")</f>
        <v>27.01.2000, КМС</v>
      </c>
      <c r="E44" s="380" t="str">
        <f>IFERROR(VLOOKUP(B44,пр.взв!$B$7:$H$38,4,0),"")</f>
        <v>СПБ</v>
      </c>
      <c r="F44" s="380" t="str">
        <f>IFERROR(VLOOKUP(B44,пр.взв!$B$7:$H$38,5,0),"")</f>
        <v>Санкт-Петербург</v>
      </c>
      <c r="G44" s="370"/>
      <c r="H44" s="370"/>
      <c r="I44" s="304"/>
      <c r="J44" s="405"/>
      <c r="K44" s="397"/>
      <c r="L44" s="401">
        <f>пр.хода!T12</f>
        <v>10</v>
      </c>
      <c r="M44" s="403" t="str">
        <f>IFERROR(VLOOKUP(L44,пр.взв!$B$7:$H$38,2,0),"")</f>
        <v>НИКУЛИН Иван Дмитриевич</v>
      </c>
      <c r="N44" s="380" t="str">
        <f>IFERROR(VLOOKUP(L44,пр.взв!$B$7:$H$38,3,0),"")</f>
        <v>20.03.1993, МСМК</v>
      </c>
      <c r="O44" s="380" t="str">
        <f>IFERROR(VLOOKUP(L44,пр.взв!$B$7:$H$38,4,0),"")</f>
        <v>УФО</v>
      </c>
      <c r="P44" s="380" t="str">
        <f>IFERROR(VLOOKUP(L44,пр.взв!$B$7:$H$38,5,0),"")</f>
        <v>Свердловская, Верхняя Пышма</v>
      </c>
      <c r="Q44" s="370"/>
      <c r="R44" s="370"/>
      <c r="S44" s="304"/>
      <c r="T44" s="405"/>
    </row>
    <row r="45" spans="1:20" ht="12.95" customHeight="1" thickBot="1">
      <c r="A45" s="455"/>
      <c r="B45" s="402"/>
      <c r="C45" s="404"/>
      <c r="D45" s="381"/>
      <c r="E45" s="381"/>
      <c r="F45" s="381"/>
      <c r="G45" s="371"/>
      <c r="H45" s="371"/>
      <c r="I45" s="387"/>
      <c r="J45" s="406"/>
      <c r="K45" s="398"/>
      <c r="L45" s="402"/>
      <c r="M45" s="404"/>
      <c r="N45" s="381"/>
      <c r="O45" s="381"/>
      <c r="P45" s="381"/>
      <c r="Q45" s="371"/>
      <c r="R45" s="371"/>
      <c r="S45" s="387"/>
      <c r="T45" s="406"/>
    </row>
    <row r="46" spans="1:20" ht="12.75" customHeight="1">
      <c r="A46" s="453">
        <v>2</v>
      </c>
      <c r="B46" s="399">
        <f>пр.хода!E16</f>
        <v>5</v>
      </c>
      <c r="C46" s="391" t="str">
        <f>IFERROR(VLOOKUP(B46,пр.взв!$B$7:$H$38,2,0),"")</f>
        <v>ТОРГАШОВ Дмитрий Сергеевич</v>
      </c>
      <c r="D46" s="382" t="str">
        <f>IFERROR(VLOOKUP(B46,пр.взв!$B$7:$H$38,3,0),"")</f>
        <v>16.03.1993, МСМК</v>
      </c>
      <c r="E46" s="382" t="str">
        <f>IFERROR(VLOOKUP(B46,пр.взв!$B$7:$H$38,4,0),"")</f>
        <v>УФО</v>
      </c>
      <c r="F46" s="382" t="str">
        <f>IFERROR(VLOOKUP(B46,пр.взв!$B$7:$H$38,5,0),"")</f>
        <v>Свердловская, Верхняя Пышма</v>
      </c>
      <c r="G46" s="372"/>
      <c r="H46" s="374"/>
      <c r="I46" s="375"/>
      <c r="J46" s="456"/>
      <c r="K46" s="396">
        <v>6</v>
      </c>
      <c r="L46" s="399">
        <f>пр.хода!T16</f>
        <v>6</v>
      </c>
      <c r="M46" s="391" t="str">
        <f>IFERROR(VLOOKUP(L46,пр.взв!$B$7:$H$38,2,0),"")</f>
        <v>ГУСАРОВ Андрей Андреевич</v>
      </c>
      <c r="N46" s="382" t="str">
        <f>IFERROR(VLOOKUP(L46,пр.взв!$B$7:$H$38,3,0),"")</f>
        <v>21.10.99, МСМК</v>
      </c>
      <c r="O46" s="382" t="str">
        <f>IFERROR(VLOOKUP(L46,пр.взв!$B$7:$H$38,4,0),"")</f>
        <v>МОС</v>
      </c>
      <c r="P46" s="382" t="str">
        <f>IFERROR(VLOOKUP(L46,пр.взв!$B$7:$H$38,5,0),"")</f>
        <v>Москва</v>
      </c>
      <c r="Q46" s="372"/>
      <c r="R46" s="374"/>
      <c r="S46" s="375"/>
      <c r="T46" s="456"/>
    </row>
    <row r="47" spans="1:20" ht="12.6" customHeight="1">
      <c r="A47" s="454"/>
      <c r="B47" s="400"/>
      <c r="C47" s="392"/>
      <c r="D47" s="383"/>
      <c r="E47" s="383"/>
      <c r="F47" s="383"/>
      <c r="G47" s="373"/>
      <c r="H47" s="373"/>
      <c r="I47" s="376"/>
      <c r="J47" s="457"/>
      <c r="K47" s="397"/>
      <c r="L47" s="400"/>
      <c r="M47" s="392"/>
      <c r="N47" s="383"/>
      <c r="O47" s="383"/>
      <c r="P47" s="383"/>
      <c r="Q47" s="373"/>
      <c r="R47" s="373"/>
      <c r="S47" s="376"/>
      <c r="T47" s="457"/>
    </row>
    <row r="48" spans="1:20" ht="12.75" customHeight="1">
      <c r="A48" s="454"/>
      <c r="B48" s="401">
        <f>пр.хода!E20</f>
        <v>13</v>
      </c>
      <c r="C48" s="403" t="str">
        <f>IFERROR(VLOOKUP(B48,пр.взв!$B$7:$H$38,2,0),"")</f>
        <v>ГАДЕЛИЯ Инал Бадриевич</v>
      </c>
      <c r="D48" s="380" t="str">
        <f>IFERROR(VLOOKUP(B48,пр.взв!$B$7:$H$38,3,0),"")</f>
        <v>19.11.1995, МС</v>
      </c>
      <c r="E48" s="380" t="str">
        <f>IFERROR(VLOOKUP(B48,пр.взв!$B$7:$H$38,4,0),"")</f>
        <v>ЮФО</v>
      </c>
      <c r="F48" s="380" t="str">
        <f>IFERROR(VLOOKUP(B48,пр.взв!$B$7:$H$38,5,0),"")</f>
        <v>Ростовская, Таганрог</v>
      </c>
      <c r="G48" s="370"/>
      <c r="H48" s="370"/>
      <c r="I48" s="304"/>
      <c r="J48" s="405"/>
      <c r="K48" s="397"/>
      <c r="L48" s="401">
        <f>пр.хода!T20</f>
        <v>14</v>
      </c>
      <c r="M48" s="403" t="str">
        <f>IFERROR(VLOOKUP(L48,пр.взв!$B$7:$H$38,2,0),"")</f>
        <v>ГАЙБАЕВ Артем Римович</v>
      </c>
      <c r="N48" s="380" t="str">
        <f>IFERROR(VLOOKUP(L48,пр.взв!$B$7:$H$38,3,0),"")</f>
        <v>06.08.1994, МС</v>
      </c>
      <c r="O48" s="380" t="str">
        <f>IFERROR(VLOOKUP(L48,пр.взв!$B$7:$H$38,4,0),"")</f>
        <v>ПФО</v>
      </c>
      <c r="P48" s="380" t="str">
        <f>IFERROR(VLOOKUP(L48,пр.взв!$B$7:$H$38,5,0),"")</f>
        <v>Пензенская, Пенза</v>
      </c>
      <c r="Q48" s="370"/>
      <c r="R48" s="370"/>
      <c r="S48" s="304"/>
      <c r="T48" s="405"/>
    </row>
    <row r="49" spans="1:20" ht="12.95" customHeight="1" thickBot="1">
      <c r="A49" s="455"/>
      <c r="B49" s="402"/>
      <c r="C49" s="404"/>
      <c r="D49" s="381"/>
      <c r="E49" s="381"/>
      <c r="F49" s="381"/>
      <c r="G49" s="371"/>
      <c r="H49" s="371"/>
      <c r="I49" s="387"/>
      <c r="J49" s="406"/>
      <c r="K49" s="398"/>
      <c r="L49" s="402"/>
      <c r="M49" s="404"/>
      <c r="N49" s="381"/>
      <c r="O49" s="381"/>
      <c r="P49" s="381"/>
      <c r="Q49" s="371"/>
      <c r="R49" s="371"/>
      <c r="S49" s="387"/>
      <c r="T49" s="406"/>
    </row>
    <row r="50" spans="1:20" ht="12.75" customHeight="1">
      <c r="A50" s="453">
        <v>3</v>
      </c>
      <c r="B50" s="399">
        <f>пр.хода!E24</f>
        <v>0</v>
      </c>
      <c r="C50" s="391" t="str">
        <f>IFERROR(VLOOKUP(B50,пр.взв!$B$7:$H$38,2,0),"")</f>
        <v/>
      </c>
      <c r="D50" s="382" t="str">
        <f>IFERROR(VLOOKUP(B50,пр.взв!$B$7:$H$38,3,0),"")</f>
        <v/>
      </c>
      <c r="E50" s="382" t="str">
        <f>IFERROR(VLOOKUP(B50,пр.взв!$B$7:$H$38,4,0),"")</f>
        <v/>
      </c>
      <c r="F50" s="382" t="str">
        <f>IFERROR(VLOOKUP(B50,пр.взв!$B$7:$H$38,5,0),"")</f>
        <v/>
      </c>
      <c r="G50" s="378"/>
      <c r="H50" s="384"/>
      <c r="I50" s="385"/>
      <c r="J50" s="458"/>
      <c r="K50" s="396">
        <v>7</v>
      </c>
      <c r="L50" s="399">
        <f>пр.хода!T24</f>
        <v>4</v>
      </c>
      <c r="M50" s="391" t="str">
        <f>IFERROR(VLOOKUP(L50,пр.взв!$B$7:$H$38,2,0),"")</f>
        <v>КОТОВ Сергей Валерьевич</v>
      </c>
      <c r="N50" s="382" t="str">
        <f>IFERROR(VLOOKUP(L50,пр.взв!$B$7:$H$38,3,0),"")</f>
        <v>30.11.1990, МС</v>
      </c>
      <c r="O50" s="382" t="str">
        <f>IFERROR(VLOOKUP(L50,пр.взв!$B$7:$H$38,4,0),"")</f>
        <v>СФО</v>
      </c>
      <c r="P50" s="382" t="str">
        <f>IFERROR(VLOOKUP(L50,пр.взв!$B$7:$H$38,5,0),"")</f>
        <v xml:space="preserve">Кемеровская, Новокузнецк </v>
      </c>
      <c r="Q50" s="378"/>
      <c r="R50" s="384"/>
      <c r="S50" s="385"/>
      <c r="T50" s="458"/>
    </row>
    <row r="51" spans="1:20" ht="12.6" customHeight="1">
      <c r="A51" s="454"/>
      <c r="B51" s="400"/>
      <c r="C51" s="392"/>
      <c r="D51" s="383"/>
      <c r="E51" s="383"/>
      <c r="F51" s="383"/>
      <c r="G51" s="373"/>
      <c r="H51" s="373"/>
      <c r="I51" s="376"/>
      <c r="J51" s="457"/>
      <c r="K51" s="397"/>
      <c r="L51" s="400"/>
      <c r="M51" s="392"/>
      <c r="N51" s="383"/>
      <c r="O51" s="383"/>
      <c r="P51" s="383"/>
      <c r="Q51" s="373"/>
      <c r="R51" s="373"/>
      <c r="S51" s="376"/>
      <c r="T51" s="457"/>
    </row>
    <row r="52" spans="1:20" ht="12.75" customHeight="1">
      <c r="A52" s="454"/>
      <c r="B52" s="401">
        <f>пр.хода!E28</f>
        <v>11</v>
      </c>
      <c r="C52" s="403" t="str">
        <f>IFERROR(VLOOKUP(B52,пр.взв!$B$7:$H$38,2,0),"")</f>
        <v>ТАРАНКОВ Никита Сергеевич</v>
      </c>
      <c r="D52" s="380" t="str">
        <f>IFERROR(VLOOKUP(B52,пр.взв!$B$7:$H$38,3,0),"")</f>
        <v>25.08.2000, КМС</v>
      </c>
      <c r="E52" s="380" t="str">
        <f>IFERROR(VLOOKUP(B52,пр.взв!$B$7:$H$38,4,0),"")</f>
        <v>ПФО</v>
      </c>
      <c r="F52" s="380" t="str">
        <f>IFERROR(VLOOKUP(B52,пр.взв!$B$7:$H$38,5,0),"")</f>
        <v>Нижегородская, Нижний Новгород</v>
      </c>
      <c r="G52" s="370"/>
      <c r="H52" s="370"/>
      <c r="I52" s="304"/>
      <c r="J52" s="405"/>
      <c r="K52" s="397"/>
      <c r="L52" s="401">
        <f>пр.хода!T28</f>
        <v>12</v>
      </c>
      <c r="M52" s="403" t="str">
        <f>IFERROR(VLOOKUP(L52,пр.взв!$B$7:$H$38,2,0),"")</f>
        <v>МЕРЗЛЯКОВ Максим Максимович</v>
      </c>
      <c r="N52" s="380" t="str">
        <f>IFERROR(VLOOKUP(L52,пр.взв!$B$7:$H$38,3,0),"")</f>
        <v>23.09.2003, МС</v>
      </c>
      <c r="O52" s="380" t="str">
        <f>IFERROR(VLOOKUP(L52,пр.взв!$B$7:$H$38,4,0),"")</f>
        <v>СПБ</v>
      </c>
      <c r="P52" s="380" t="str">
        <f>IFERROR(VLOOKUP(L52,пр.взв!$B$7:$H$38,5,0),"")</f>
        <v>Санкт-Петербург</v>
      </c>
      <c r="Q52" s="370"/>
      <c r="R52" s="370"/>
      <c r="S52" s="304"/>
      <c r="T52" s="405"/>
    </row>
    <row r="53" spans="1:20" ht="12.95" customHeight="1" thickBot="1">
      <c r="A53" s="455"/>
      <c r="B53" s="402"/>
      <c r="C53" s="404"/>
      <c r="D53" s="381"/>
      <c r="E53" s="381"/>
      <c r="F53" s="381"/>
      <c r="G53" s="371"/>
      <c r="H53" s="371"/>
      <c r="I53" s="387"/>
      <c r="J53" s="406"/>
      <c r="K53" s="398"/>
      <c r="L53" s="402"/>
      <c r="M53" s="404"/>
      <c r="N53" s="381"/>
      <c r="O53" s="381"/>
      <c r="P53" s="381"/>
      <c r="Q53" s="371"/>
      <c r="R53" s="371"/>
      <c r="S53" s="387"/>
      <c r="T53" s="406"/>
    </row>
    <row r="54" spans="1:20" ht="12.75" customHeight="1">
      <c r="A54" s="453">
        <v>4</v>
      </c>
      <c r="B54" s="399">
        <f>пр.хода!E32</f>
        <v>7</v>
      </c>
      <c r="C54" s="391" t="str">
        <f>IFERROR(VLOOKUP(B54,пр.взв!$B$7:$H$38,2,0),"")</f>
        <v>КУРБАНОВ Аслан Юрьевич</v>
      </c>
      <c r="D54" s="382" t="str">
        <f>IFERROR(VLOOKUP(B54,пр.взв!$B$7:$H$38,3,0),"")</f>
        <v>17.10.1991, МС</v>
      </c>
      <c r="E54" s="382" t="str">
        <f>IFERROR(VLOOKUP(B54,пр.взв!$B$7:$H$38,4,0),"")</f>
        <v>СКФО</v>
      </c>
      <c r="F54" s="382" t="str">
        <f>IFERROR(VLOOKUP(B54,пр.взв!$B$7:$H$38,5,0),"")</f>
        <v>Р. Дагестан, Махачкала</v>
      </c>
      <c r="G54" s="372"/>
      <c r="H54" s="374"/>
      <c r="I54" s="375"/>
      <c r="J54" s="456"/>
      <c r="K54" s="396">
        <v>8</v>
      </c>
      <c r="L54" s="399">
        <f>пр.хода!T32</f>
        <v>8</v>
      </c>
      <c r="M54" s="391" t="str">
        <f>IFERROR(VLOOKUP(L54,пр.взв!$B$7:$H$38,2,0),"")</f>
        <v>КУЗНЕЦОВ Сергей Владимирович</v>
      </c>
      <c r="N54" s="382" t="str">
        <f>IFERROR(VLOOKUP(L54,пр.взв!$B$7:$H$38,3,0),"")</f>
        <v>21.11.2022, МС</v>
      </c>
      <c r="O54" s="382" t="str">
        <f>IFERROR(VLOOKUP(L54,пр.взв!$B$7:$H$38,4,0),"")</f>
        <v>УФО</v>
      </c>
      <c r="P54" s="382" t="str">
        <f>IFERROR(VLOOKUP(L54,пр.взв!$B$7:$H$38,5,0),"")</f>
        <v>Свердловская, Верхняя Пышма</v>
      </c>
      <c r="Q54" s="372"/>
      <c r="R54" s="374"/>
      <c r="S54" s="375"/>
      <c r="T54" s="456"/>
    </row>
    <row r="55" spans="1:20" ht="12.6" customHeight="1">
      <c r="A55" s="454"/>
      <c r="B55" s="400"/>
      <c r="C55" s="392"/>
      <c r="D55" s="383"/>
      <c r="E55" s="383"/>
      <c r="F55" s="383"/>
      <c r="G55" s="373"/>
      <c r="H55" s="373"/>
      <c r="I55" s="376"/>
      <c r="J55" s="457"/>
      <c r="K55" s="397"/>
      <c r="L55" s="400"/>
      <c r="M55" s="392"/>
      <c r="N55" s="383"/>
      <c r="O55" s="383"/>
      <c r="P55" s="383"/>
      <c r="Q55" s="373"/>
      <c r="R55" s="373"/>
      <c r="S55" s="376"/>
      <c r="T55" s="457"/>
    </row>
    <row r="56" spans="1:20" ht="12.75" customHeight="1">
      <c r="A56" s="454"/>
      <c r="B56" s="401">
        <f>пр.хода!E36</f>
        <v>15</v>
      </c>
      <c r="C56" s="403" t="str">
        <f>IFERROR(VLOOKUP(B56,пр.взв!$B$7:$H$38,2,0),"")</f>
        <v>ФАРХОДОВ Закир Завкибекович</v>
      </c>
      <c r="D56" s="393" t="str">
        <f>IFERROR(VLOOKUP(B56,пр.взв!$B$7:$H$38,3,0),"")</f>
        <v>11.06.2003, КМС</v>
      </c>
      <c r="E56" s="393" t="str">
        <f>IFERROR(VLOOKUP(B56,пр.взв!$B$7:$H$38,4,0),"")</f>
        <v>СПБ</v>
      </c>
      <c r="F56" s="393" t="str">
        <f>IFERROR(VLOOKUP(B56,пр.взв!$B$7:$H$38,5,0),"")</f>
        <v>Санкт-Петербург</v>
      </c>
      <c r="G56" s="370"/>
      <c r="H56" s="370"/>
      <c r="I56" s="304"/>
      <c r="J56" s="405"/>
      <c r="K56" s="397"/>
      <c r="L56" s="401">
        <f>пр.хода!T36</f>
        <v>16</v>
      </c>
      <c r="M56" s="403" t="str">
        <f>IFERROR(VLOOKUP(L56,пр.взв!$B$7:$H$38,2,0),"")</f>
        <v>МАНУКЯН Леван Гарикович</v>
      </c>
      <c r="N56" s="393" t="str">
        <f>IFERROR(VLOOKUP(L56,пр.взв!$B$7:$H$38,3,0),"")</f>
        <v>22.11.2002  МСМК</v>
      </c>
      <c r="O56" s="393" t="str">
        <f>IFERROR(VLOOKUP(L56,пр.взв!$B$7:$H$38,4,0),"")</f>
        <v>ЮФО</v>
      </c>
      <c r="P56" s="393" t="str">
        <f>IFERROR(VLOOKUP(L56,пр.взв!$B$7:$H$38,5,0),"")</f>
        <v>Краснодарский, Сочи</v>
      </c>
      <c r="Q56" s="370"/>
      <c r="R56" s="370"/>
      <c r="S56" s="304"/>
      <c r="T56" s="405"/>
    </row>
    <row r="57" spans="1:20" ht="12.95" customHeight="1" thickBot="1">
      <c r="A57" s="455"/>
      <c r="B57" s="402"/>
      <c r="C57" s="404"/>
      <c r="D57" s="394"/>
      <c r="E57" s="394"/>
      <c r="F57" s="394"/>
      <c r="G57" s="371"/>
      <c r="H57" s="371"/>
      <c r="I57" s="387"/>
      <c r="J57" s="406"/>
      <c r="K57" s="398"/>
      <c r="L57" s="402"/>
      <c r="M57" s="404"/>
      <c r="N57" s="394"/>
      <c r="O57" s="394"/>
      <c r="P57" s="394"/>
      <c r="Q57" s="371"/>
      <c r="R57" s="371"/>
      <c r="S57" s="387"/>
      <c r="T57" s="406"/>
    </row>
    <row r="58" spans="1:20" ht="15.75">
      <c r="B58" s="288">
        <f>B38</f>
        <v>0</v>
      </c>
      <c r="C58" s="289" t="s">
        <v>108</v>
      </c>
      <c r="D58" s="289"/>
      <c r="E58" s="379"/>
      <c r="F58" s="379"/>
      <c r="G58" s="289"/>
      <c r="H58" s="289"/>
      <c r="I58" s="289"/>
      <c r="J58" s="289"/>
      <c r="L58" s="288">
        <f>L38</f>
        <v>0</v>
      </c>
      <c r="M58" s="289" t="s">
        <v>108</v>
      </c>
      <c r="N58" s="289"/>
      <c r="O58" s="379"/>
      <c r="P58" s="379"/>
      <c r="Q58" s="289"/>
      <c r="R58" s="289"/>
      <c r="S58" s="289"/>
      <c r="T58" s="289"/>
    </row>
    <row r="59" spans="1:20" ht="16.5" thickBot="1">
      <c r="B59" s="72" t="s">
        <v>30</v>
      </c>
      <c r="C59" s="74" t="s">
        <v>38</v>
      </c>
      <c r="D59" s="73" t="s">
        <v>36</v>
      </c>
      <c r="E59" s="73"/>
      <c r="F59" s="74"/>
      <c r="G59" s="72" t="str">
        <f>G71</f>
        <v>В.к. 98 кг.</v>
      </c>
      <c r="H59" s="74"/>
      <c r="I59" s="74"/>
      <c r="J59" s="74"/>
      <c r="K59" s="74"/>
      <c r="L59" s="72" t="s">
        <v>32</v>
      </c>
      <c r="M59" s="74" t="s">
        <v>38</v>
      </c>
      <c r="N59" s="73" t="s">
        <v>36</v>
      </c>
      <c r="O59" s="73"/>
      <c r="P59" s="74"/>
      <c r="Q59" s="72" t="str">
        <f>Q71</f>
        <v>В.к. 98 кг.</v>
      </c>
      <c r="R59" s="74"/>
      <c r="S59" s="74"/>
      <c r="T59" s="74"/>
    </row>
    <row r="60" spans="1:20" ht="12.75" customHeight="1">
      <c r="A60" s="429" t="s">
        <v>39</v>
      </c>
      <c r="B60" s="431" t="s">
        <v>4</v>
      </c>
      <c r="C60" s="425" t="s">
        <v>5</v>
      </c>
      <c r="D60" s="377" t="s">
        <v>14</v>
      </c>
      <c r="E60" s="437" t="s">
        <v>15</v>
      </c>
      <c r="F60" s="438"/>
      <c r="G60" s="425" t="s">
        <v>16</v>
      </c>
      <c r="H60" s="427" t="s">
        <v>40</v>
      </c>
      <c r="I60" s="420" t="s">
        <v>17</v>
      </c>
      <c r="J60" s="422" t="s">
        <v>18</v>
      </c>
      <c r="K60" s="429" t="s">
        <v>39</v>
      </c>
      <c r="L60" s="431" t="s">
        <v>4</v>
      </c>
      <c r="M60" s="425" t="s">
        <v>5</v>
      </c>
      <c r="N60" s="377" t="s">
        <v>14</v>
      </c>
      <c r="O60" s="433" t="s">
        <v>15</v>
      </c>
      <c r="P60" s="434"/>
      <c r="Q60" s="425" t="s">
        <v>16</v>
      </c>
      <c r="R60" s="427" t="s">
        <v>40</v>
      </c>
      <c r="S60" s="420" t="s">
        <v>17</v>
      </c>
      <c r="T60" s="422" t="s">
        <v>18</v>
      </c>
    </row>
    <row r="61" spans="1:20" ht="13.5" customHeight="1" thickBot="1">
      <c r="A61" s="430"/>
      <c r="B61" s="432" t="s">
        <v>33</v>
      </c>
      <c r="C61" s="426"/>
      <c r="D61" s="395"/>
      <c r="E61" s="439"/>
      <c r="F61" s="440"/>
      <c r="G61" s="426"/>
      <c r="H61" s="428"/>
      <c r="I61" s="421"/>
      <c r="J61" s="423" t="s">
        <v>34</v>
      </c>
      <c r="K61" s="430"/>
      <c r="L61" s="432" t="s">
        <v>33</v>
      </c>
      <c r="M61" s="426"/>
      <c r="N61" s="395"/>
      <c r="O61" s="435"/>
      <c r="P61" s="436"/>
      <c r="Q61" s="426"/>
      <c r="R61" s="428"/>
      <c r="S61" s="421"/>
      <c r="T61" s="423" t="s">
        <v>34</v>
      </c>
    </row>
    <row r="62" spans="1:20" ht="12.75" customHeight="1">
      <c r="A62" s="449">
        <v>1</v>
      </c>
      <c r="B62" s="399">
        <f>пр.хода!G10</f>
        <v>0</v>
      </c>
      <c r="C62" s="391" t="str">
        <f>IFERROR(VLOOKUP(B62,пр.взв!$B$7:$H$38,2,0),"")</f>
        <v/>
      </c>
      <c r="D62" s="382" t="str">
        <f>IFERROR(VLOOKUP(B62,пр.взв!$B$7:$H$38,3,0),"")</f>
        <v/>
      </c>
      <c r="E62" s="382" t="str">
        <f>IFERROR(VLOOKUP(B62,пр.взв!$B$7:$H$38,4,0),"")</f>
        <v/>
      </c>
      <c r="F62" s="382" t="str">
        <f>IFERROR(VLOOKUP(B62,пр.взв!$B$7:$H$38,5,0),"")</f>
        <v/>
      </c>
      <c r="G62" s="372"/>
      <c r="H62" s="374"/>
      <c r="I62" s="375"/>
      <c r="J62" s="377"/>
      <c r="K62" s="388">
        <v>3</v>
      </c>
      <c r="L62" s="399">
        <f>пр.хода!R10</f>
        <v>0</v>
      </c>
      <c r="M62" s="391" t="str">
        <f>IFERROR(VLOOKUP(L62,пр.взв!$B$7:$H$38,2,0),"")</f>
        <v/>
      </c>
      <c r="N62" s="382" t="str">
        <f>IFERROR(VLOOKUP(L62,пр.взв!$B$7:$H$38,3,0),"")</f>
        <v/>
      </c>
      <c r="O62" s="382" t="str">
        <f>IFERROR(VLOOKUP(L62,пр.взв!$B$7:$H$38,4,0),"")</f>
        <v/>
      </c>
      <c r="P62" s="382" t="str">
        <f>IFERROR(VLOOKUP(L62,пр.взв!$B$7:$H$38,5,0),"")</f>
        <v/>
      </c>
      <c r="Q62" s="372"/>
      <c r="R62" s="374"/>
      <c r="S62" s="375"/>
      <c r="T62" s="377"/>
    </row>
    <row r="63" spans="1:20" ht="12.6" customHeight="1">
      <c r="A63" s="450"/>
      <c r="B63" s="400"/>
      <c r="C63" s="392"/>
      <c r="D63" s="383"/>
      <c r="E63" s="383"/>
      <c r="F63" s="383"/>
      <c r="G63" s="373"/>
      <c r="H63" s="373"/>
      <c r="I63" s="376"/>
      <c r="J63" s="303"/>
      <c r="K63" s="368"/>
      <c r="L63" s="400"/>
      <c r="M63" s="392"/>
      <c r="N63" s="383"/>
      <c r="O63" s="383"/>
      <c r="P63" s="383"/>
      <c r="Q63" s="373"/>
      <c r="R63" s="373"/>
      <c r="S63" s="376"/>
      <c r="T63" s="303"/>
    </row>
    <row r="64" spans="1:20" ht="12.75" customHeight="1">
      <c r="A64" s="450"/>
      <c r="B64" s="401">
        <f>пр.хода!G18</f>
        <v>0</v>
      </c>
      <c r="C64" s="403" t="str">
        <f>IFERROR(VLOOKUP(B64,пр.взв!$B$7:$H$38,2,0),"")</f>
        <v/>
      </c>
      <c r="D64" s="380" t="str">
        <f>IFERROR(VLOOKUP(B64,пр.взв!$B$7:$H$38,3,0),"")</f>
        <v/>
      </c>
      <c r="E64" s="380" t="str">
        <f>IFERROR(VLOOKUP(B64,пр.взв!$B$7:$H$38,4,0),"")</f>
        <v/>
      </c>
      <c r="F64" s="380" t="str">
        <f>IFERROR(VLOOKUP(B64,пр.взв!$B$7:$H$38,5,0),"")</f>
        <v/>
      </c>
      <c r="G64" s="370"/>
      <c r="H64" s="370"/>
      <c r="I64" s="304"/>
      <c r="J64" s="304"/>
      <c r="K64" s="368"/>
      <c r="L64" s="401">
        <f>пр.хода!R18</f>
        <v>0</v>
      </c>
      <c r="M64" s="403" t="str">
        <f>IFERROR(VLOOKUP(L64,пр.взв!$B$7:$H$38,2,0),"")</f>
        <v/>
      </c>
      <c r="N64" s="380" t="str">
        <f>IFERROR(VLOOKUP(L64,пр.взв!$B$7:$H$38,3,0),"")</f>
        <v/>
      </c>
      <c r="O64" s="380" t="str">
        <f>IFERROR(VLOOKUP(L64,пр.взв!$B$7:$H$38,4,0),"")</f>
        <v/>
      </c>
      <c r="P64" s="380" t="str">
        <f>IFERROR(VLOOKUP(L64,пр.взв!$B$7:$H$38,5,0),"")</f>
        <v/>
      </c>
      <c r="Q64" s="370"/>
      <c r="R64" s="370"/>
      <c r="S64" s="304"/>
      <c r="T64" s="304"/>
    </row>
    <row r="65" spans="1:20" ht="12.95" customHeight="1" thickBot="1">
      <c r="A65" s="451"/>
      <c r="B65" s="402"/>
      <c r="C65" s="404"/>
      <c r="D65" s="381"/>
      <c r="E65" s="381"/>
      <c r="F65" s="381"/>
      <c r="G65" s="371"/>
      <c r="H65" s="371"/>
      <c r="I65" s="387"/>
      <c r="J65" s="387"/>
      <c r="K65" s="369"/>
      <c r="L65" s="402"/>
      <c r="M65" s="404"/>
      <c r="N65" s="381"/>
      <c r="O65" s="381"/>
      <c r="P65" s="381"/>
      <c r="Q65" s="371"/>
      <c r="R65" s="371"/>
      <c r="S65" s="387"/>
      <c r="T65" s="387"/>
    </row>
    <row r="66" spans="1:20" ht="12.75" customHeight="1">
      <c r="A66" s="449">
        <v>2</v>
      </c>
      <c r="B66" s="399">
        <f>пр.хода!G26</f>
        <v>0</v>
      </c>
      <c r="C66" s="391" t="str">
        <f>IFERROR(VLOOKUP(B66,пр.взв!$B$7:$H$38,2,0),"")</f>
        <v/>
      </c>
      <c r="D66" s="382" t="str">
        <f>IFERROR(VLOOKUP(B66,пр.взв!$B$7:$H$38,3,0),"")</f>
        <v/>
      </c>
      <c r="E66" s="382" t="str">
        <f>IFERROR(VLOOKUP(B66,пр.взв!$B$7:$H$38,4,0),"")</f>
        <v/>
      </c>
      <c r="F66" s="382" t="str">
        <f>IFERROR(VLOOKUP(B66,пр.взв!$B$7:$H$38,5,0),"")</f>
        <v/>
      </c>
      <c r="G66" s="372"/>
      <c r="H66" s="374"/>
      <c r="I66" s="375"/>
      <c r="J66" s="448"/>
      <c r="K66" s="388">
        <v>4</v>
      </c>
      <c r="L66" s="399">
        <f>пр.хода!R26</f>
        <v>0</v>
      </c>
      <c r="M66" s="391" t="str">
        <f>IFERROR(VLOOKUP(L66,пр.взв!$B$7:$H$38,2,0),"")</f>
        <v/>
      </c>
      <c r="N66" s="382" t="str">
        <f>IFERROR(VLOOKUP(L66,пр.взв!$B$7:$H$38,3,0),"")</f>
        <v/>
      </c>
      <c r="O66" s="382" t="str">
        <f>IFERROR(VLOOKUP(L66,пр.взв!$B$7:$H$38,4,0),"")</f>
        <v/>
      </c>
      <c r="P66" s="382" t="str">
        <f>IFERROR(VLOOKUP(L66,пр.взв!$B$7:$H$38,5,0),"")</f>
        <v/>
      </c>
      <c r="Q66" s="372"/>
      <c r="R66" s="374"/>
      <c r="S66" s="375"/>
      <c r="T66" s="448"/>
    </row>
    <row r="67" spans="1:20" ht="12.6" customHeight="1">
      <c r="A67" s="450"/>
      <c r="B67" s="400"/>
      <c r="C67" s="392"/>
      <c r="D67" s="383"/>
      <c r="E67" s="383"/>
      <c r="F67" s="383"/>
      <c r="G67" s="373"/>
      <c r="H67" s="373"/>
      <c r="I67" s="376"/>
      <c r="J67" s="303"/>
      <c r="K67" s="368"/>
      <c r="L67" s="400"/>
      <c r="M67" s="392"/>
      <c r="N67" s="383"/>
      <c r="O67" s="383"/>
      <c r="P67" s="383"/>
      <c r="Q67" s="373"/>
      <c r="R67" s="373"/>
      <c r="S67" s="376"/>
      <c r="T67" s="303"/>
    </row>
    <row r="68" spans="1:20" ht="12.75" customHeight="1">
      <c r="A68" s="450"/>
      <c r="B68" s="401">
        <f>пр.хода!G34</f>
        <v>0</v>
      </c>
      <c r="C68" s="403" t="str">
        <f>IFERROR(VLOOKUP(B68,пр.взв!$B$7:$H$38,2,0),"")</f>
        <v/>
      </c>
      <c r="D68" s="393" t="str">
        <f>IFERROR(VLOOKUP(B68,пр.взв!$B$7:$H$38,3,0),"")</f>
        <v/>
      </c>
      <c r="E68" s="393" t="str">
        <f>IFERROR(VLOOKUP(B68,пр.взв!$B$7:$H$38,4,0),"")</f>
        <v/>
      </c>
      <c r="F68" s="393" t="str">
        <f>IFERROR(VLOOKUP(B68,пр.взв!$B$7:$H$38,5,0),"")</f>
        <v/>
      </c>
      <c r="G68" s="370"/>
      <c r="H68" s="370"/>
      <c r="I68" s="304"/>
      <c r="J68" s="304"/>
      <c r="K68" s="368"/>
      <c r="L68" s="401">
        <f>пр.хода!R34</f>
        <v>0</v>
      </c>
      <c r="M68" s="403" t="str">
        <f>IFERROR(VLOOKUP(L68,пр.взв!$B$7:$H$38,2,0),"")</f>
        <v/>
      </c>
      <c r="N68" s="393" t="str">
        <f>IFERROR(VLOOKUP(L68,пр.взв!$B$7:$H$38,3,0),"")</f>
        <v/>
      </c>
      <c r="O68" s="393" t="str">
        <f>IFERROR(VLOOKUP(L68,пр.взв!$B$7:$H$38,4,0),"")</f>
        <v/>
      </c>
      <c r="P68" s="393" t="str">
        <f>IFERROR(VLOOKUP(L68,пр.взв!$B$7:$H$38,5,0),"")</f>
        <v/>
      </c>
      <c r="Q68" s="370"/>
      <c r="R68" s="370"/>
      <c r="S68" s="304"/>
      <c r="T68" s="304"/>
    </row>
    <row r="69" spans="1:20" ht="12.95" customHeight="1" thickBot="1">
      <c r="A69" s="451"/>
      <c r="B69" s="402"/>
      <c r="C69" s="404"/>
      <c r="D69" s="394"/>
      <c r="E69" s="394"/>
      <c r="F69" s="394"/>
      <c r="G69" s="371"/>
      <c r="H69" s="371"/>
      <c r="I69" s="387"/>
      <c r="J69" s="387"/>
      <c r="K69" s="369"/>
      <c r="L69" s="402"/>
      <c r="M69" s="404"/>
      <c r="N69" s="394"/>
      <c r="O69" s="394"/>
      <c r="P69" s="394"/>
      <c r="Q69" s="371"/>
      <c r="R69" s="371"/>
      <c r="S69" s="387"/>
      <c r="T69" s="387"/>
    </row>
    <row r="70" spans="1:20" ht="15.75">
      <c r="B70" s="288">
        <f>B58</f>
        <v>0</v>
      </c>
      <c r="C70" s="289" t="s">
        <v>108</v>
      </c>
      <c r="D70" s="289"/>
      <c r="E70" s="379"/>
      <c r="F70" s="379"/>
      <c r="G70" s="289"/>
      <c r="H70" s="289"/>
      <c r="I70" s="289"/>
      <c r="J70" s="289"/>
      <c r="L70" s="288">
        <f>L58</f>
        <v>0</v>
      </c>
      <c r="M70" s="289" t="s">
        <v>108</v>
      </c>
      <c r="N70" s="289"/>
      <c r="O70" s="379"/>
      <c r="P70" s="379"/>
      <c r="Q70" s="289"/>
      <c r="R70" s="289"/>
      <c r="S70" s="289"/>
      <c r="T70" s="289"/>
    </row>
    <row r="71" spans="1:20" ht="16.5" thickBot="1">
      <c r="B71" s="72" t="s">
        <v>30</v>
      </c>
      <c r="C71" s="85" t="s">
        <v>41</v>
      </c>
      <c r="D71" s="76"/>
      <c r="E71" s="76"/>
      <c r="F71" s="76"/>
      <c r="G71" s="77" t="str">
        <f>G80</f>
        <v>В.к. 98 кг.</v>
      </c>
      <c r="H71" s="76"/>
      <c r="I71" s="76"/>
      <c r="J71" s="76"/>
      <c r="K71" s="75"/>
      <c r="L71" s="72" t="s">
        <v>1</v>
      </c>
      <c r="M71" s="85" t="s">
        <v>41</v>
      </c>
      <c r="N71" s="76"/>
      <c r="O71" s="76"/>
      <c r="P71" s="76"/>
      <c r="Q71" s="72" t="str">
        <f>G71</f>
        <v>В.к. 98 кг.</v>
      </c>
      <c r="R71" s="76"/>
      <c r="S71" s="76"/>
      <c r="T71" s="76"/>
    </row>
    <row r="72" spans="1:20" ht="12.75" customHeight="1">
      <c r="A72" s="429" t="s">
        <v>39</v>
      </c>
      <c r="B72" s="431" t="s">
        <v>4</v>
      </c>
      <c r="C72" s="425" t="s">
        <v>5</v>
      </c>
      <c r="D72" s="377" t="s">
        <v>14</v>
      </c>
      <c r="E72" s="437" t="s">
        <v>15</v>
      </c>
      <c r="F72" s="438"/>
      <c r="G72" s="425" t="s">
        <v>16</v>
      </c>
      <c r="H72" s="427" t="s">
        <v>40</v>
      </c>
      <c r="I72" s="420" t="s">
        <v>17</v>
      </c>
      <c r="J72" s="422" t="s">
        <v>18</v>
      </c>
      <c r="K72" s="429" t="s">
        <v>39</v>
      </c>
      <c r="L72" s="431" t="s">
        <v>4</v>
      </c>
      <c r="M72" s="425" t="s">
        <v>5</v>
      </c>
      <c r="N72" s="377" t="s">
        <v>14</v>
      </c>
      <c r="O72" s="433" t="s">
        <v>15</v>
      </c>
      <c r="P72" s="434"/>
      <c r="Q72" s="425" t="s">
        <v>16</v>
      </c>
      <c r="R72" s="427" t="s">
        <v>40</v>
      </c>
      <c r="S72" s="420" t="s">
        <v>17</v>
      </c>
      <c r="T72" s="422" t="s">
        <v>18</v>
      </c>
    </row>
    <row r="73" spans="1:20" ht="13.5" customHeight="1" thickBot="1">
      <c r="A73" s="430"/>
      <c r="B73" s="432" t="s">
        <v>33</v>
      </c>
      <c r="C73" s="426"/>
      <c r="D73" s="395"/>
      <c r="E73" s="439"/>
      <c r="F73" s="440"/>
      <c r="G73" s="426"/>
      <c r="H73" s="428"/>
      <c r="I73" s="421"/>
      <c r="J73" s="423" t="s">
        <v>34</v>
      </c>
      <c r="K73" s="430"/>
      <c r="L73" s="432" t="s">
        <v>33</v>
      </c>
      <c r="M73" s="426"/>
      <c r="N73" s="395"/>
      <c r="O73" s="435"/>
      <c r="P73" s="436"/>
      <c r="Q73" s="426"/>
      <c r="R73" s="428"/>
      <c r="S73" s="421"/>
      <c r="T73" s="423" t="s">
        <v>34</v>
      </c>
    </row>
    <row r="74" spans="1:20" ht="12.75" customHeight="1">
      <c r="A74" s="443">
        <v>1</v>
      </c>
      <c r="B74" s="446">
        <f>пр.хода!I14</f>
        <v>0</v>
      </c>
      <c r="C74" s="391" t="str">
        <f>IFERROR(VLOOKUP(B74,пр.взв!$B$7:$H$38,2,0),"")</f>
        <v/>
      </c>
      <c r="D74" s="382" t="str">
        <f>IFERROR(VLOOKUP(B74,пр.взв!$B$7:$H$38,3,0),"")</f>
        <v/>
      </c>
      <c r="E74" s="382" t="str">
        <f>IFERROR(VLOOKUP(B74,пр.взв!$B$7:$H$38,4,0),"")</f>
        <v/>
      </c>
      <c r="F74" s="382" t="str">
        <f>IFERROR(VLOOKUP(B74,пр.взв!$B$7:$H$38,5,0),"")</f>
        <v/>
      </c>
      <c r="G74" s="372"/>
      <c r="H74" s="374"/>
      <c r="I74" s="375"/>
      <c r="J74" s="377"/>
      <c r="K74" s="443">
        <v>2</v>
      </c>
      <c r="L74" s="446">
        <f>пр.хода!P14</f>
        <v>0</v>
      </c>
      <c r="M74" s="391" t="str">
        <f>IFERROR(VLOOKUP(L74,пр.взв!$B$7:$H$38,2,0),"")</f>
        <v/>
      </c>
      <c r="N74" s="382" t="str">
        <f>IFERROR(VLOOKUP(L74,пр.взв!$B$7:$H$38,3,0),"")</f>
        <v/>
      </c>
      <c r="O74" s="382" t="str">
        <f>IFERROR(VLOOKUP(L74,пр.взв!$B$7:$H$38,4,0),"")</f>
        <v/>
      </c>
      <c r="P74" s="382" t="str">
        <f>IFERROR(VLOOKUP(L74,пр.взв!$B$7:$H$38,5,0),"")</f>
        <v/>
      </c>
      <c r="Q74" s="372"/>
      <c r="R74" s="374"/>
      <c r="S74" s="375"/>
      <c r="T74" s="377"/>
    </row>
    <row r="75" spans="1:20" ht="12.6" customHeight="1">
      <c r="A75" s="444"/>
      <c r="B75" s="390"/>
      <c r="C75" s="392"/>
      <c r="D75" s="383"/>
      <c r="E75" s="383"/>
      <c r="F75" s="383"/>
      <c r="G75" s="373"/>
      <c r="H75" s="373"/>
      <c r="I75" s="376"/>
      <c r="J75" s="303"/>
      <c r="K75" s="444"/>
      <c r="L75" s="390"/>
      <c r="M75" s="392"/>
      <c r="N75" s="383"/>
      <c r="O75" s="383"/>
      <c r="P75" s="383"/>
      <c r="Q75" s="373"/>
      <c r="R75" s="373"/>
      <c r="S75" s="376"/>
      <c r="T75" s="303"/>
    </row>
    <row r="76" spans="1:20" ht="12.75" customHeight="1">
      <c r="A76" s="444"/>
      <c r="B76" s="441">
        <f>пр.хода!I30</f>
        <v>0</v>
      </c>
      <c r="C76" s="403" t="str">
        <f>IFERROR(VLOOKUP(B76,пр.взв!$B$7:$H$38,2,0),"")</f>
        <v/>
      </c>
      <c r="D76" s="393" t="str">
        <f>IFERROR(VLOOKUP(B76,пр.взв!$B$7:$H$38,3,0),"")</f>
        <v/>
      </c>
      <c r="E76" s="393" t="str">
        <f>IFERROR(VLOOKUP(B76,пр.взв!$B$7:$H$38,4,0),"")</f>
        <v/>
      </c>
      <c r="F76" s="393" t="str">
        <f>IFERROR(VLOOKUP(B76,пр.взв!$B$7:$H$38,5,0),"")</f>
        <v/>
      </c>
      <c r="G76" s="370"/>
      <c r="H76" s="370"/>
      <c r="I76" s="304"/>
      <c r="J76" s="304"/>
      <c r="K76" s="444"/>
      <c r="L76" s="447">
        <f>пр.хода!P30</f>
        <v>0</v>
      </c>
      <c r="M76" s="403" t="str">
        <f>IFERROR(VLOOKUP(L76,пр.взв!$B$7:$H$38,2,0),"")</f>
        <v/>
      </c>
      <c r="N76" s="393" t="str">
        <f>IFERROR(VLOOKUP(L76,пр.взв!$B$7:$H$38,3,0),"")</f>
        <v/>
      </c>
      <c r="O76" s="393" t="str">
        <f>IFERROR(VLOOKUP(L76,пр.взв!$B$7:$H$38,4,0),"")</f>
        <v/>
      </c>
      <c r="P76" s="393" t="str">
        <f>IFERROR(VLOOKUP(L76,пр.взв!$B$7:$H$38,5,0),"")</f>
        <v/>
      </c>
      <c r="Q76" s="370"/>
      <c r="R76" s="370"/>
      <c r="S76" s="304"/>
      <c r="T76" s="304"/>
    </row>
    <row r="77" spans="1:20" ht="12.75" customHeight="1" thickBot="1">
      <c r="A77" s="445"/>
      <c r="B77" s="442"/>
      <c r="C77" s="404"/>
      <c r="D77" s="394"/>
      <c r="E77" s="394"/>
      <c r="F77" s="394"/>
      <c r="G77" s="371"/>
      <c r="H77" s="371"/>
      <c r="I77" s="387"/>
      <c r="J77" s="387"/>
      <c r="K77" s="445"/>
      <c r="L77" s="412"/>
      <c r="M77" s="404"/>
      <c r="N77" s="394"/>
      <c r="O77" s="394"/>
      <c r="P77" s="394"/>
      <c r="Q77" s="371"/>
      <c r="R77" s="371"/>
      <c r="S77" s="387"/>
      <c r="T77" s="387"/>
    </row>
    <row r="78" spans="1:20" ht="15.75">
      <c r="B78" s="288">
        <f>B70</f>
        <v>0</v>
      </c>
      <c r="C78" s="289" t="s">
        <v>108</v>
      </c>
      <c r="D78" s="289"/>
      <c r="E78" s="379"/>
      <c r="F78" s="379"/>
      <c r="G78" s="289"/>
      <c r="H78" s="289"/>
      <c r="I78" s="289"/>
      <c r="J78" s="289"/>
      <c r="L78" s="288">
        <f>L70</f>
        <v>0</v>
      </c>
      <c r="M78" s="289" t="s">
        <v>108</v>
      </c>
      <c r="N78" s="289"/>
      <c r="O78" s="379"/>
      <c r="P78" s="379"/>
      <c r="Q78" s="289"/>
      <c r="R78" s="289"/>
      <c r="S78" s="289"/>
      <c r="T78" s="289"/>
    </row>
    <row r="79" spans="1:20" ht="15">
      <c r="A79" s="452" t="s">
        <v>109</v>
      </c>
      <c r="B79" s="452"/>
      <c r="C79" s="452"/>
      <c r="D79" s="452"/>
      <c r="E79" s="452"/>
      <c r="F79" s="452"/>
      <c r="G79" s="452"/>
      <c r="H79" s="452"/>
      <c r="I79" s="452"/>
      <c r="J79" s="452"/>
      <c r="K79" s="452" t="s">
        <v>109</v>
      </c>
      <c r="L79" s="452"/>
      <c r="M79" s="452"/>
      <c r="N79" s="452"/>
      <c r="O79" s="452"/>
      <c r="P79" s="452"/>
      <c r="Q79" s="452"/>
      <c r="R79" s="452"/>
      <c r="S79" s="452"/>
      <c r="T79" s="452"/>
    </row>
    <row r="80" spans="1:20" ht="16.5" thickBot="1">
      <c r="B80" s="72" t="s">
        <v>30</v>
      </c>
      <c r="C80" s="78"/>
      <c r="D80" s="78"/>
      <c r="E80" s="78"/>
      <c r="F80" s="78"/>
      <c r="G80" s="79" t="str">
        <f>пр.взв!D4</f>
        <v>В.к. 98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98 кг.</v>
      </c>
      <c r="R80" s="75"/>
      <c r="S80" s="75"/>
      <c r="T80" s="75"/>
    </row>
    <row r="81" spans="1:20" ht="12.75" customHeight="1">
      <c r="A81" s="429" t="s">
        <v>39</v>
      </c>
      <c r="B81" s="431" t="s">
        <v>4</v>
      </c>
      <c r="C81" s="425" t="s">
        <v>5</v>
      </c>
      <c r="D81" s="377" t="s">
        <v>14</v>
      </c>
      <c r="E81" s="437" t="s">
        <v>15</v>
      </c>
      <c r="F81" s="438"/>
      <c r="G81" s="425" t="s">
        <v>16</v>
      </c>
      <c r="H81" s="427" t="s">
        <v>40</v>
      </c>
      <c r="I81" s="420" t="s">
        <v>17</v>
      </c>
      <c r="J81" s="422" t="s">
        <v>18</v>
      </c>
      <c r="K81" s="429" t="s">
        <v>39</v>
      </c>
      <c r="L81" s="431" t="s">
        <v>4</v>
      </c>
      <c r="M81" s="425" t="s">
        <v>5</v>
      </c>
      <c r="N81" s="377" t="s">
        <v>14</v>
      </c>
      <c r="O81" s="433" t="s">
        <v>15</v>
      </c>
      <c r="P81" s="434"/>
      <c r="Q81" s="425" t="s">
        <v>16</v>
      </c>
      <c r="R81" s="427" t="s">
        <v>40</v>
      </c>
      <c r="S81" s="420" t="s">
        <v>17</v>
      </c>
      <c r="T81" s="422" t="s">
        <v>18</v>
      </c>
    </row>
    <row r="82" spans="1:20" ht="13.5" customHeight="1" thickBot="1">
      <c r="A82" s="430"/>
      <c r="B82" s="432" t="s">
        <v>33</v>
      </c>
      <c r="C82" s="426"/>
      <c r="D82" s="395"/>
      <c r="E82" s="439"/>
      <c r="F82" s="440"/>
      <c r="G82" s="426"/>
      <c r="H82" s="428"/>
      <c r="I82" s="421"/>
      <c r="J82" s="423" t="s">
        <v>34</v>
      </c>
      <c r="K82" s="430"/>
      <c r="L82" s="432" t="s">
        <v>33</v>
      </c>
      <c r="M82" s="426"/>
      <c r="N82" s="395"/>
      <c r="O82" s="435"/>
      <c r="P82" s="436"/>
      <c r="Q82" s="426"/>
      <c r="R82" s="428"/>
      <c r="S82" s="421"/>
      <c r="T82" s="423" t="s">
        <v>34</v>
      </c>
    </row>
    <row r="83" spans="1:20" ht="12.75" customHeight="1">
      <c r="A83" s="388">
        <v>1</v>
      </c>
      <c r="B83" s="414" t="str">
        <f>пр.хода!K5</f>
        <v xml:space="preserve"> </v>
      </c>
      <c r="C83" s="391" t="str">
        <f>IFERROR(VLOOKUP(B83,пр.взв!$B$7:$H$38,2,0),"")</f>
        <v/>
      </c>
      <c r="D83" s="382" t="str">
        <f>IFERROR(VLOOKUP(B83,пр.взв!$B$7:$H$38,3,0),"")</f>
        <v/>
      </c>
      <c r="E83" s="382" t="str">
        <f>IFERROR(VLOOKUP(B83,пр.взв!$B$7:$H$38,4,0),"")</f>
        <v/>
      </c>
      <c r="F83" s="382" t="str">
        <f>IFERROR(VLOOKUP(B83,пр.взв!$B$7:$H$38,5,0),"")</f>
        <v/>
      </c>
      <c r="G83" s="372"/>
      <c r="H83" s="374"/>
      <c r="I83" s="375"/>
      <c r="J83" s="377"/>
      <c r="K83" s="388">
        <v>3</v>
      </c>
      <c r="L83" s="414" t="str">
        <f>пр.хода!K33</f>
        <v xml:space="preserve"> </v>
      </c>
      <c r="M83" s="391" t="str">
        <f>IFERROR(VLOOKUP(L83,пр.взв!$B$7:$H$38,2,0),"")</f>
        <v/>
      </c>
      <c r="N83" s="382" t="str">
        <f>IFERROR(VLOOKUP(L83,пр.взв!$B$7:$H$38,3,0),"")</f>
        <v/>
      </c>
      <c r="O83" s="382" t="str">
        <f>IFERROR(VLOOKUP(L83,пр.взв!$B$7:$H$38,4,0),"")</f>
        <v/>
      </c>
      <c r="P83" s="382" t="str">
        <f>IFERROR(VLOOKUP(L83,пр.взв!$B$7:$H$38,5,0),"")</f>
        <v/>
      </c>
      <c r="Q83" s="418"/>
      <c r="R83" s="419"/>
      <c r="S83" s="416"/>
      <c r="T83" s="417"/>
    </row>
    <row r="84" spans="1:20" ht="12.75" customHeight="1">
      <c r="A84" s="368"/>
      <c r="B84" s="390"/>
      <c r="C84" s="392"/>
      <c r="D84" s="383"/>
      <c r="E84" s="383"/>
      <c r="F84" s="383"/>
      <c r="G84" s="373"/>
      <c r="H84" s="373"/>
      <c r="I84" s="376"/>
      <c r="J84" s="303"/>
      <c r="K84" s="368"/>
      <c r="L84" s="390"/>
      <c r="M84" s="392"/>
      <c r="N84" s="383"/>
      <c r="O84" s="383"/>
      <c r="P84" s="383"/>
      <c r="Q84" s="378"/>
      <c r="R84" s="384"/>
      <c r="S84" s="385"/>
      <c r="T84" s="386"/>
    </row>
    <row r="85" spans="1:20" ht="12.75" customHeight="1">
      <c r="A85" s="368"/>
      <c r="B85" s="411" t="str">
        <f>пр.хода!K7</f>
        <v xml:space="preserve"> </v>
      </c>
      <c r="C85" s="403" t="str">
        <f>IFERROR(VLOOKUP(B85,пр.взв!$B$7:$H$38,2,0),"")</f>
        <v/>
      </c>
      <c r="D85" s="380" t="str">
        <f>IFERROR(VLOOKUP(B85,пр.взв!$B$7:$H$38,3,0),"")</f>
        <v/>
      </c>
      <c r="E85" s="380" t="str">
        <f>IFERROR(VLOOKUP(B85,пр.взв!$B$7:$H$38,4,0),"")</f>
        <v/>
      </c>
      <c r="F85" s="380" t="str">
        <f>IFERROR(VLOOKUP(B85,пр.взв!$B$7:$H$38,5,0),"")</f>
        <v/>
      </c>
      <c r="G85" s="370"/>
      <c r="H85" s="370"/>
      <c r="I85" s="304"/>
      <c r="J85" s="304"/>
      <c r="K85" s="368"/>
      <c r="L85" s="411" t="str">
        <f>пр.хода!K35</f>
        <v xml:space="preserve"> </v>
      </c>
      <c r="M85" s="403" t="str">
        <f>IFERROR(VLOOKUP(L85,пр.взв!$B$7:$H$38,2,0),"")</f>
        <v/>
      </c>
      <c r="N85" s="380" t="str">
        <f>IFERROR(VLOOKUP(L85,пр.взв!$B$7:$H$38,3,0),"")</f>
        <v/>
      </c>
      <c r="O85" s="380" t="str">
        <f>IFERROR(VLOOKUP(L85,пр.взв!$B$7:$H$38,4,0),"")</f>
        <v/>
      </c>
      <c r="P85" s="380" t="str">
        <f>IFERROR(VLOOKUP(L85,пр.взв!$B$7:$H$38,5,0),"")</f>
        <v/>
      </c>
      <c r="Q85" s="370"/>
      <c r="R85" s="370"/>
      <c r="S85" s="304"/>
      <c r="T85" s="304"/>
    </row>
    <row r="86" spans="1:20" ht="13.5" customHeight="1" thickBot="1">
      <c r="A86" s="424"/>
      <c r="B86" s="412"/>
      <c r="C86" s="404"/>
      <c r="D86" s="381"/>
      <c r="E86" s="381"/>
      <c r="F86" s="381"/>
      <c r="G86" s="371"/>
      <c r="H86" s="371"/>
      <c r="I86" s="387"/>
      <c r="J86" s="387"/>
      <c r="K86" s="424"/>
      <c r="L86" s="412"/>
      <c r="M86" s="404"/>
      <c r="N86" s="381"/>
      <c r="O86" s="381"/>
      <c r="P86" s="381"/>
      <c r="Q86" s="371"/>
      <c r="R86" s="371"/>
      <c r="S86" s="387"/>
      <c r="T86" s="387"/>
    </row>
    <row r="87" spans="1:20" ht="12.75" customHeight="1">
      <c r="A87" s="388">
        <v>2</v>
      </c>
      <c r="B87" s="389" t="str">
        <f>пр.хода!K9</f>
        <v xml:space="preserve"> </v>
      </c>
      <c r="C87" s="391" t="str">
        <f>IFERROR(VLOOKUP(B87,пр.взв!$B$7:$H$38,2,0),"")</f>
        <v/>
      </c>
      <c r="D87" s="382" t="str">
        <f>IFERROR(VLOOKUP(B87,пр.взв!$B$7:$H$38,3,0),"")</f>
        <v/>
      </c>
      <c r="E87" s="382" t="str">
        <f>IFERROR(VLOOKUP(B87,пр.взв!$B$7:$H$38,4,0),"")</f>
        <v/>
      </c>
      <c r="F87" s="382" t="str">
        <f>IFERROR(VLOOKUP(B87,пр.взв!$B$7:$H$38,5,0),"")</f>
        <v/>
      </c>
      <c r="G87" s="372"/>
      <c r="H87" s="374"/>
      <c r="I87" s="375"/>
      <c r="J87" s="377"/>
      <c r="K87" s="388">
        <v>4</v>
      </c>
      <c r="L87" s="389" t="str">
        <f>пр.хода!K37</f>
        <v xml:space="preserve"> </v>
      </c>
      <c r="M87" s="391" t="str">
        <f>IFERROR(VLOOKUP(L87,пр.взв!$B$7:$H$38,2,0),"")</f>
        <v/>
      </c>
      <c r="N87" s="382" t="str">
        <f>IFERROR(VLOOKUP(L87,пр.взв!$B$7:$H$38,3,0),"")</f>
        <v/>
      </c>
      <c r="O87" s="382" t="str">
        <f>IFERROR(VLOOKUP(L87,пр.взв!$B$7:$H$38,4,0),"")</f>
        <v/>
      </c>
      <c r="P87" s="382" t="str">
        <f>IFERROR(VLOOKUP(L87,пр.взв!$B$7:$H$38,5,0),"")</f>
        <v/>
      </c>
      <c r="Q87" s="418"/>
      <c r="R87" s="419"/>
      <c r="S87" s="416"/>
      <c r="T87" s="417"/>
    </row>
    <row r="88" spans="1:20" ht="12.75" customHeight="1">
      <c r="A88" s="368"/>
      <c r="B88" s="390"/>
      <c r="C88" s="392"/>
      <c r="D88" s="383"/>
      <c r="E88" s="383"/>
      <c r="F88" s="383"/>
      <c r="G88" s="373"/>
      <c r="H88" s="373"/>
      <c r="I88" s="376"/>
      <c r="J88" s="303"/>
      <c r="K88" s="368"/>
      <c r="L88" s="390"/>
      <c r="M88" s="392"/>
      <c r="N88" s="383"/>
      <c r="O88" s="383"/>
      <c r="P88" s="383"/>
      <c r="Q88" s="378"/>
      <c r="R88" s="384"/>
      <c r="S88" s="385"/>
      <c r="T88" s="386"/>
    </row>
    <row r="89" spans="1:20" ht="12.75" customHeight="1">
      <c r="A89" s="368"/>
      <c r="B89" s="411" t="str">
        <f>пр.хода!K11</f>
        <v xml:space="preserve"> </v>
      </c>
      <c r="C89" s="403" t="str">
        <f>IFERROR(VLOOKUP(B89,пр.взв!$B$7:$H$38,2,0),"")</f>
        <v/>
      </c>
      <c r="D89" s="393" t="str">
        <f>IFERROR(VLOOKUP(B89,пр.взв!$B$7:$H$38,3,0),"")</f>
        <v/>
      </c>
      <c r="E89" s="393" t="str">
        <f>IFERROR(VLOOKUP(B89,пр.взв!$B$7:$H$38,4,0),"")</f>
        <v/>
      </c>
      <c r="F89" s="393" t="str">
        <f>IFERROR(VLOOKUP(B89,пр.взв!$B$7:$H$38,5,0),"")</f>
        <v/>
      </c>
      <c r="G89" s="370"/>
      <c r="H89" s="370"/>
      <c r="I89" s="304"/>
      <c r="J89" s="304"/>
      <c r="K89" s="368"/>
      <c r="L89" s="411" t="str">
        <f>пр.хода!K39</f>
        <v xml:space="preserve"> </v>
      </c>
      <c r="M89" s="403" t="str">
        <f>IFERROR(VLOOKUP(L89,пр.взв!$B$7:$H$38,2,0),"")</f>
        <v/>
      </c>
      <c r="N89" s="393" t="str">
        <f>IFERROR(VLOOKUP(L89,пр.взв!$B$7:$H$38,3,0),"")</f>
        <v/>
      </c>
      <c r="O89" s="393" t="str">
        <f>IFERROR(VLOOKUP(L89,пр.взв!$B$7:$H$38,4,0),"")</f>
        <v/>
      </c>
      <c r="P89" s="393" t="str">
        <f>IFERROR(VLOOKUP(L89,пр.взв!$B$7:$H$38,5,0),"")</f>
        <v/>
      </c>
      <c r="Q89" s="370"/>
      <c r="R89" s="370"/>
      <c r="S89" s="304"/>
      <c r="T89" s="304"/>
    </row>
    <row r="90" spans="1:20" ht="12.75" customHeight="1" thickBot="1">
      <c r="A90" s="369"/>
      <c r="B90" s="412"/>
      <c r="C90" s="404"/>
      <c r="D90" s="394"/>
      <c r="E90" s="394"/>
      <c r="F90" s="394"/>
      <c r="G90" s="371"/>
      <c r="H90" s="371"/>
      <c r="I90" s="387"/>
      <c r="J90" s="387"/>
      <c r="K90" s="369"/>
      <c r="L90" s="412"/>
      <c r="M90" s="404"/>
      <c r="N90" s="394"/>
      <c r="O90" s="394"/>
      <c r="P90" s="394"/>
      <c r="Q90" s="371"/>
      <c r="R90" s="371"/>
      <c r="S90" s="387"/>
      <c r="T90" s="387"/>
    </row>
    <row r="91" spans="1:20" ht="12.75" customHeight="1">
      <c r="B91" s="288">
        <f>B78</f>
        <v>0</v>
      </c>
      <c r="C91" s="289" t="s">
        <v>108</v>
      </c>
      <c r="D91" s="289"/>
      <c r="E91" s="379"/>
      <c r="F91" s="379"/>
      <c r="G91" s="289"/>
      <c r="H91" s="289"/>
      <c r="I91" s="289"/>
      <c r="J91" s="289"/>
      <c r="L91" s="288">
        <f>L78</f>
        <v>0</v>
      </c>
      <c r="M91" s="289" t="s">
        <v>108</v>
      </c>
      <c r="N91" s="289"/>
      <c r="O91" s="379"/>
      <c r="P91" s="379"/>
      <c r="Q91" s="289"/>
      <c r="R91" s="289"/>
      <c r="S91" s="289"/>
      <c r="T91" s="289"/>
    </row>
    <row r="92" spans="1:20" ht="12.75" customHeight="1">
      <c r="A92" s="452" t="s">
        <v>110</v>
      </c>
      <c r="B92" s="452"/>
      <c r="C92" s="452"/>
      <c r="D92" s="452"/>
      <c r="E92" s="452"/>
      <c r="F92" s="452"/>
      <c r="G92" s="452"/>
      <c r="H92" s="452"/>
      <c r="I92" s="452"/>
      <c r="J92" s="452"/>
      <c r="K92" s="452" t="s">
        <v>110</v>
      </c>
      <c r="L92" s="452"/>
      <c r="M92" s="452"/>
      <c r="N92" s="452"/>
      <c r="O92" s="452"/>
      <c r="P92" s="452"/>
      <c r="Q92" s="452"/>
      <c r="R92" s="452"/>
      <c r="S92" s="452"/>
      <c r="T92" s="452"/>
    </row>
    <row r="93" spans="1:20" ht="12.75" customHeight="1" thickBot="1">
      <c r="B93" s="72" t="s">
        <v>30</v>
      </c>
      <c r="C93" s="78"/>
      <c r="D93" s="78"/>
      <c r="E93" s="78"/>
      <c r="F93" s="78"/>
      <c r="G93" s="79" t="str">
        <f>G80</f>
        <v>В.к. 98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98 кг.</v>
      </c>
      <c r="R93" s="75"/>
      <c r="S93" s="75"/>
      <c r="T93" s="75"/>
    </row>
    <row r="94" spans="1:20" ht="12.75" customHeight="1">
      <c r="A94" s="429" t="s">
        <v>39</v>
      </c>
      <c r="B94" s="431" t="s">
        <v>4</v>
      </c>
      <c r="C94" s="425" t="s">
        <v>5</v>
      </c>
      <c r="D94" s="377" t="s">
        <v>14</v>
      </c>
      <c r="E94" s="437" t="s">
        <v>15</v>
      </c>
      <c r="F94" s="438"/>
      <c r="G94" s="425" t="s">
        <v>16</v>
      </c>
      <c r="H94" s="427" t="s">
        <v>40</v>
      </c>
      <c r="I94" s="420" t="s">
        <v>17</v>
      </c>
      <c r="J94" s="422" t="s">
        <v>18</v>
      </c>
      <c r="K94" s="429" t="s">
        <v>39</v>
      </c>
      <c r="L94" s="431" t="s">
        <v>4</v>
      </c>
      <c r="M94" s="425" t="s">
        <v>5</v>
      </c>
      <c r="N94" s="377" t="s">
        <v>14</v>
      </c>
      <c r="O94" s="433" t="s">
        <v>15</v>
      </c>
      <c r="P94" s="434"/>
      <c r="Q94" s="425" t="s">
        <v>16</v>
      </c>
      <c r="R94" s="427" t="s">
        <v>40</v>
      </c>
      <c r="S94" s="420" t="s">
        <v>17</v>
      </c>
      <c r="T94" s="422" t="s">
        <v>18</v>
      </c>
    </row>
    <row r="95" spans="1:20" ht="13.5" thickBot="1">
      <c r="A95" s="430"/>
      <c r="B95" s="432" t="s">
        <v>33</v>
      </c>
      <c r="C95" s="426"/>
      <c r="D95" s="395"/>
      <c r="E95" s="439"/>
      <c r="F95" s="440"/>
      <c r="G95" s="426"/>
      <c r="H95" s="428"/>
      <c r="I95" s="421"/>
      <c r="J95" s="423" t="s">
        <v>34</v>
      </c>
      <c r="K95" s="430"/>
      <c r="L95" s="432" t="s">
        <v>33</v>
      </c>
      <c r="M95" s="426"/>
      <c r="N95" s="395"/>
      <c r="O95" s="435"/>
      <c r="P95" s="436"/>
      <c r="Q95" s="426"/>
      <c r="R95" s="428"/>
      <c r="S95" s="421"/>
      <c r="T95" s="423" t="s">
        <v>34</v>
      </c>
    </row>
    <row r="96" spans="1:20" ht="12.75" customHeight="1">
      <c r="A96" s="368">
        <v>5</v>
      </c>
      <c r="B96" s="414">
        <f>пр.хода!L6</f>
        <v>0</v>
      </c>
      <c r="C96" s="415" t="str">
        <f>IFERROR(VLOOKUP(B96,пр.взв!$B$7:$H$38,2,0),"")</f>
        <v/>
      </c>
      <c r="D96" s="413" t="str">
        <f>IFERROR(VLOOKUP(B96,пр.взв!$B$7:$H$38,3,0),"")</f>
        <v/>
      </c>
      <c r="E96" s="413" t="str">
        <f>IFERROR(VLOOKUP(B96,пр.взв!$B$7:$H$38,4,0),"")</f>
        <v/>
      </c>
      <c r="F96" s="413" t="str">
        <f>IFERROR(VLOOKUP(B96,пр.взв!$B$7:$H$38,5,0),"")</f>
        <v/>
      </c>
      <c r="G96" s="378"/>
      <c r="H96" s="384"/>
      <c r="I96" s="385"/>
      <c r="J96" s="386"/>
      <c r="K96" s="368">
        <v>7</v>
      </c>
      <c r="L96" s="414">
        <f>пр.хода!L34</f>
        <v>0</v>
      </c>
      <c r="M96" s="415" t="str">
        <f>IFERROR(VLOOKUP(L96,пр.взв!$B$7:$H$38,2,0),"")</f>
        <v/>
      </c>
      <c r="N96" s="413" t="str">
        <f>IFERROR(VLOOKUP(L96,пр.взв!$B$7:$H$38,3,0),"")</f>
        <v/>
      </c>
      <c r="O96" s="413" t="str">
        <f>IFERROR(VLOOKUP(L96,пр.взв!$B$7:$H$38,4,0),"")</f>
        <v/>
      </c>
      <c r="P96" s="413" t="str">
        <f>IFERROR(VLOOKUP(L96,пр.взв!$B$7:$H$38,5,0),"")</f>
        <v/>
      </c>
      <c r="Q96" s="378"/>
      <c r="R96" s="384"/>
      <c r="S96" s="385"/>
      <c r="T96" s="386"/>
    </row>
    <row r="97" spans="1:20" ht="12.75" customHeight="1">
      <c r="A97" s="368"/>
      <c r="B97" s="390"/>
      <c r="C97" s="392"/>
      <c r="D97" s="383"/>
      <c r="E97" s="383"/>
      <c r="F97" s="383"/>
      <c r="G97" s="373"/>
      <c r="H97" s="373"/>
      <c r="I97" s="376"/>
      <c r="J97" s="303"/>
      <c r="K97" s="368"/>
      <c r="L97" s="390"/>
      <c r="M97" s="392"/>
      <c r="N97" s="383"/>
      <c r="O97" s="383"/>
      <c r="P97" s="383"/>
      <c r="Q97" s="373"/>
      <c r="R97" s="373"/>
      <c r="S97" s="376"/>
      <c r="T97" s="303"/>
    </row>
    <row r="98" spans="1:20" ht="12.75" customHeight="1">
      <c r="A98" s="368"/>
      <c r="B98" s="411" t="str">
        <f>пр.хода!L8</f>
        <v xml:space="preserve"> </v>
      </c>
      <c r="C98" s="403" t="str">
        <f>IFERROR(VLOOKUP(B98,пр.взв!$B$7:$H$38,2,0),"")</f>
        <v/>
      </c>
      <c r="D98" s="380" t="str">
        <f>IFERROR(VLOOKUP(B98,пр.взв!$B$7:$H$38,3,0),"")</f>
        <v/>
      </c>
      <c r="E98" s="380" t="str">
        <f>IFERROR(VLOOKUP(B98,пр.взв!$B$7:$H$38,4,0),"")</f>
        <v/>
      </c>
      <c r="F98" s="380" t="str">
        <f>IFERROR(VLOOKUP(B98,пр.взв!$B$7:$H$38,5,0),"")</f>
        <v/>
      </c>
      <c r="G98" s="370"/>
      <c r="H98" s="370"/>
      <c r="I98" s="304"/>
      <c r="J98" s="304"/>
      <c r="K98" s="368"/>
      <c r="L98" s="411" t="str">
        <f>пр.хода!L36</f>
        <v xml:space="preserve"> </v>
      </c>
      <c r="M98" s="403" t="str">
        <f>IFERROR(VLOOKUP(L98,пр.взв!$B$7:$H$38,2,0),"")</f>
        <v/>
      </c>
      <c r="N98" s="380" t="str">
        <f>IFERROR(VLOOKUP(L98,пр.взв!$B$7:$H$38,3,0),"")</f>
        <v/>
      </c>
      <c r="O98" s="380" t="str">
        <f>IFERROR(VLOOKUP(L98,пр.взв!$B$7:$H$38,4,0),"")</f>
        <v/>
      </c>
      <c r="P98" s="380" t="str">
        <f>IFERROR(VLOOKUP(L98,пр.взв!$B$7:$H$38,5,0),"")</f>
        <v/>
      </c>
      <c r="Q98" s="370"/>
      <c r="R98" s="370"/>
      <c r="S98" s="304"/>
      <c r="T98" s="304"/>
    </row>
    <row r="99" spans="1:20" ht="13.5" customHeight="1" thickBot="1">
      <c r="A99" s="369"/>
      <c r="B99" s="412"/>
      <c r="C99" s="404"/>
      <c r="D99" s="381"/>
      <c r="E99" s="381"/>
      <c r="F99" s="381"/>
      <c r="G99" s="371"/>
      <c r="H99" s="371"/>
      <c r="I99" s="387"/>
      <c r="J99" s="387"/>
      <c r="K99" s="369"/>
      <c r="L99" s="412"/>
      <c r="M99" s="404"/>
      <c r="N99" s="381"/>
      <c r="O99" s="381"/>
      <c r="P99" s="381"/>
      <c r="Q99" s="371"/>
      <c r="R99" s="371"/>
      <c r="S99" s="387"/>
      <c r="T99" s="387"/>
    </row>
    <row r="100" spans="1:20" ht="12.75" customHeight="1">
      <c r="A100" s="388">
        <v>6</v>
      </c>
      <c r="B100" s="389">
        <f>пр.хода!L10</f>
        <v>0</v>
      </c>
      <c r="C100" s="391" t="str">
        <f>IFERROR(VLOOKUP(B100,пр.взв!$B$7:$H$38,2,0),"")</f>
        <v/>
      </c>
      <c r="D100" s="382" t="str">
        <f>IFERROR(VLOOKUP(B100,пр.взв!$B$7:$H$38,3,0),"")</f>
        <v/>
      </c>
      <c r="E100" s="382" t="str">
        <f>IFERROR(VLOOKUP(B100,пр.взв!$B$7:$H$38,4,0),"")</f>
        <v/>
      </c>
      <c r="F100" s="382" t="str">
        <f>IFERROR(VLOOKUP(B100,пр.взв!$B$7:$H$38,5,0),"")</f>
        <v/>
      </c>
      <c r="G100" s="372"/>
      <c r="H100" s="374"/>
      <c r="I100" s="375"/>
      <c r="J100" s="377"/>
      <c r="K100" s="388">
        <v>8</v>
      </c>
      <c r="L100" s="389">
        <f>пр.хода!L38</f>
        <v>0</v>
      </c>
      <c r="M100" s="391" t="str">
        <f>IFERROR(VLOOKUP(L100,пр.взв!$B$7:$H$38,2,0),"")</f>
        <v/>
      </c>
      <c r="N100" s="382" t="str">
        <f>IFERROR(VLOOKUP(L100,пр.взв!$B$7:$H$38,3,0),"")</f>
        <v/>
      </c>
      <c r="O100" s="382" t="str">
        <f>IFERROR(VLOOKUP(L100,пр.взв!$B$7:$H$38,4,0),"")</f>
        <v/>
      </c>
      <c r="P100" s="382" t="str">
        <f>IFERROR(VLOOKUP(L100,пр.взв!$B$7:$H$38,5,0),"")</f>
        <v/>
      </c>
      <c r="Q100" s="372"/>
      <c r="R100" s="374"/>
      <c r="S100" s="375"/>
      <c r="T100" s="377"/>
    </row>
    <row r="101" spans="1:20" ht="12.75" customHeight="1">
      <c r="A101" s="368"/>
      <c r="B101" s="390"/>
      <c r="C101" s="392"/>
      <c r="D101" s="383"/>
      <c r="E101" s="383"/>
      <c r="F101" s="383"/>
      <c r="G101" s="373"/>
      <c r="H101" s="373"/>
      <c r="I101" s="376"/>
      <c r="J101" s="303"/>
      <c r="K101" s="368"/>
      <c r="L101" s="390"/>
      <c r="M101" s="392"/>
      <c r="N101" s="383"/>
      <c r="O101" s="383"/>
      <c r="P101" s="383"/>
      <c r="Q101" s="373"/>
      <c r="R101" s="373"/>
      <c r="S101" s="376"/>
      <c r="T101" s="303"/>
    </row>
    <row r="102" spans="1:20" ht="12.75" customHeight="1">
      <c r="A102" s="368"/>
      <c r="B102" s="411" t="str">
        <f>пр.хода!L12</f>
        <v xml:space="preserve"> </v>
      </c>
      <c r="C102" s="403" t="str">
        <f>IFERROR(VLOOKUP(B102,пр.взв!$B$7:$H$38,2,0),"")</f>
        <v/>
      </c>
      <c r="D102" s="393" t="str">
        <f>IFERROR(VLOOKUP(B102,пр.взв!$B$7:$H$38,3,0),"")</f>
        <v/>
      </c>
      <c r="E102" s="393" t="str">
        <f>IFERROR(VLOOKUP(B102,пр.взв!$B$7:$H$38,4,0),"")</f>
        <v/>
      </c>
      <c r="F102" s="393" t="str">
        <f>IFERROR(VLOOKUP(B102,пр.взв!$B$7:$H$38,5,0),"")</f>
        <v/>
      </c>
      <c r="G102" s="370"/>
      <c r="H102" s="370"/>
      <c r="I102" s="304"/>
      <c r="J102" s="304"/>
      <c r="K102" s="368"/>
      <c r="L102" s="411" t="str">
        <f>пр.хода!L40</f>
        <v xml:space="preserve"> </v>
      </c>
      <c r="M102" s="403" t="str">
        <f>IFERROR(VLOOKUP(L102,пр.взв!$B$7:$H$38,2,0),"")</f>
        <v/>
      </c>
      <c r="N102" s="393" t="str">
        <f>IFERROR(VLOOKUP(L102,пр.взв!$B$7:$H$38,3,0),"")</f>
        <v/>
      </c>
      <c r="O102" s="393" t="str">
        <f>IFERROR(VLOOKUP(L102,пр.взв!$B$7:$H$38,4,0),"")</f>
        <v/>
      </c>
      <c r="P102" s="393" t="str">
        <f>IFERROR(VLOOKUP(L102,пр.взв!$B$7:$H$38,5,0),"")</f>
        <v/>
      </c>
      <c r="Q102" s="370"/>
      <c r="R102" s="370"/>
      <c r="S102" s="304"/>
      <c r="T102" s="304"/>
    </row>
    <row r="103" spans="1:20" ht="12.75" customHeight="1" thickBot="1">
      <c r="A103" s="369"/>
      <c r="B103" s="412"/>
      <c r="C103" s="404"/>
      <c r="D103" s="394"/>
      <c r="E103" s="394"/>
      <c r="F103" s="394"/>
      <c r="G103" s="371"/>
      <c r="H103" s="371"/>
      <c r="I103" s="387"/>
      <c r="J103" s="387"/>
      <c r="K103" s="369"/>
      <c r="L103" s="412"/>
      <c r="M103" s="404"/>
      <c r="N103" s="394"/>
      <c r="O103" s="394"/>
      <c r="P103" s="394"/>
      <c r="Q103" s="371"/>
      <c r="R103" s="371"/>
      <c r="S103" s="387"/>
      <c r="T103" s="387"/>
    </row>
    <row r="104" spans="1:20" ht="12.75" customHeight="1">
      <c r="B104" s="288">
        <f>B91</f>
        <v>0</v>
      </c>
      <c r="C104" s="289" t="s">
        <v>108</v>
      </c>
      <c r="D104" s="289"/>
      <c r="E104" s="379"/>
      <c r="F104" s="379"/>
      <c r="G104" s="289"/>
      <c r="H104" s="289"/>
      <c r="I104" s="289"/>
      <c r="J104" s="289"/>
      <c r="L104" s="288">
        <f>L91</f>
        <v>0</v>
      </c>
      <c r="M104" s="289" t="s">
        <v>108</v>
      </c>
      <c r="N104" s="289"/>
      <c r="O104" s="379"/>
      <c r="P104" s="379"/>
      <c r="Q104" s="289"/>
      <c r="R104" s="289"/>
      <c r="S104" s="289"/>
      <c r="T104" s="289"/>
    </row>
    <row r="105" spans="1:20" ht="12.75" customHeight="1">
      <c r="A105" s="452" t="s">
        <v>111</v>
      </c>
      <c r="B105" s="452"/>
      <c r="C105" s="452"/>
      <c r="D105" s="452"/>
      <c r="E105" s="452"/>
      <c r="F105" s="452"/>
      <c r="G105" s="452"/>
      <c r="H105" s="452"/>
      <c r="I105" s="452"/>
      <c r="J105" s="452"/>
      <c r="K105" s="452" t="s">
        <v>111</v>
      </c>
      <c r="L105" s="452"/>
      <c r="M105" s="452"/>
      <c r="N105" s="452"/>
      <c r="O105" s="452"/>
      <c r="P105" s="452"/>
      <c r="Q105" s="452"/>
      <c r="R105" s="452"/>
      <c r="S105" s="452"/>
      <c r="T105" s="452"/>
    </row>
    <row r="106" spans="1:20" ht="12.75" customHeight="1" thickBot="1">
      <c r="B106" s="72" t="s">
        <v>30</v>
      </c>
      <c r="C106" s="78"/>
      <c r="D106" s="78"/>
      <c r="E106" s="78"/>
      <c r="F106" s="78"/>
      <c r="G106" s="79" t="str">
        <f>G93</f>
        <v>В.к. 98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98 кг.</v>
      </c>
      <c r="R106" s="75"/>
      <c r="S106" s="75"/>
      <c r="T106" s="75"/>
    </row>
    <row r="107" spans="1:20" ht="12.75" customHeight="1">
      <c r="A107" s="429" t="s">
        <v>39</v>
      </c>
      <c r="B107" s="431" t="s">
        <v>4</v>
      </c>
      <c r="C107" s="425" t="s">
        <v>5</v>
      </c>
      <c r="D107" s="377" t="s">
        <v>14</v>
      </c>
      <c r="E107" s="437" t="s">
        <v>15</v>
      </c>
      <c r="F107" s="438"/>
      <c r="G107" s="425" t="s">
        <v>16</v>
      </c>
      <c r="H107" s="427" t="s">
        <v>40</v>
      </c>
      <c r="I107" s="420" t="s">
        <v>17</v>
      </c>
      <c r="J107" s="422" t="s">
        <v>18</v>
      </c>
      <c r="K107" s="429" t="s">
        <v>39</v>
      </c>
      <c r="L107" s="431" t="s">
        <v>4</v>
      </c>
      <c r="M107" s="425" t="s">
        <v>5</v>
      </c>
      <c r="N107" s="377" t="s">
        <v>14</v>
      </c>
      <c r="O107" s="433" t="s">
        <v>15</v>
      </c>
      <c r="P107" s="434"/>
      <c r="Q107" s="425" t="s">
        <v>16</v>
      </c>
      <c r="R107" s="427" t="s">
        <v>40</v>
      </c>
      <c r="S107" s="420" t="s">
        <v>17</v>
      </c>
      <c r="T107" s="422" t="s">
        <v>18</v>
      </c>
    </row>
    <row r="108" spans="1:20" ht="13.5" thickBot="1">
      <c r="A108" s="430"/>
      <c r="B108" s="432" t="s">
        <v>33</v>
      </c>
      <c r="C108" s="426"/>
      <c r="D108" s="395"/>
      <c r="E108" s="439"/>
      <c r="F108" s="440"/>
      <c r="G108" s="426"/>
      <c r="H108" s="428"/>
      <c r="I108" s="421"/>
      <c r="J108" s="423" t="s">
        <v>34</v>
      </c>
      <c r="K108" s="430"/>
      <c r="L108" s="432" t="s">
        <v>33</v>
      </c>
      <c r="M108" s="426"/>
      <c r="N108" s="395"/>
      <c r="O108" s="435"/>
      <c r="P108" s="436"/>
      <c r="Q108" s="426"/>
      <c r="R108" s="428"/>
      <c r="S108" s="421"/>
      <c r="T108" s="423" t="s">
        <v>34</v>
      </c>
    </row>
    <row r="109" spans="1:20" ht="12.75" customHeight="1">
      <c r="A109" s="388">
        <v>9</v>
      </c>
      <c r="B109" s="389">
        <f>пр.хода!M7</f>
        <v>0</v>
      </c>
      <c r="C109" s="391" t="str">
        <f>IFERROR(VLOOKUP(B109,пр.взв!$B$7:$H$38,2,0),"")</f>
        <v/>
      </c>
      <c r="D109" s="382" t="str">
        <f>IFERROR(VLOOKUP(B109,пр.взв!$B$7:$H$38,3,0),"")</f>
        <v/>
      </c>
      <c r="E109" s="382" t="str">
        <f>IFERROR(VLOOKUP(B109,пр.взв!$B$7:$H$38,4,0),"")</f>
        <v/>
      </c>
      <c r="F109" s="382" t="str">
        <f>IFERROR(VLOOKUP(B109,пр.взв!$B$7:$H$38,5,0),"")</f>
        <v/>
      </c>
      <c r="G109" s="372"/>
      <c r="H109" s="374"/>
      <c r="I109" s="375"/>
      <c r="J109" s="377"/>
      <c r="K109" s="388">
        <v>10</v>
      </c>
      <c r="L109" s="389">
        <f>пр.хода!M35</f>
        <v>0</v>
      </c>
      <c r="M109" s="391" t="str">
        <f>IFERROR(VLOOKUP(L109,пр.взв!$B$7:$H$38,2,0),"")</f>
        <v/>
      </c>
      <c r="N109" s="382" t="str">
        <f>IFERROR(VLOOKUP(L109,пр.взв!$B$7:$H$38,3,0),"")</f>
        <v/>
      </c>
      <c r="O109" s="382" t="str">
        <f>IFERROR(VLOOKUP(L109,пр.взв!$B$7:$H$38,4,0),"")</f>
        <v/>
      </c>
      <c r="P109" s="382" t="str">
        <f>IFERROR(VLOOKUP(L109,пр.взв!$B$7:$H$38,5,0),"")</f>
        <v/>
      </c>
      <c r="Q109" s="372"/>
      <c r="R109" s="374"/>
      <c r="S109" s="375"/>
      <c r="T109" s="377"/>
    </row>
    <row r="110" spans="1:20" ht="12.75" customHeight="1">
      <c r="A110" s="368"/>
      <c r="B110" s="390"/>
      <c r="C110" s="392"/>
      <c r="D110" s="383"/>
      <c r="E110" s="383"/>
      <c r="F110" s="383"/>
      <c r="G110" s="373"/>
      <c r="H110" s="373"/>
      <c r="I110" s="376"/>
      <c r="J110" s="303"/>
      <c r="K110" s="368"/>
      <c r="L110" s="390"/>
      <c r="M110" s="392"/>
      <c r="N110" s="383"/>
      <c r="O110" s="383"/>
      <c r="P110" s="383"/>
      <c r="Q110" s="373"/>
      <c r="R110" s="373"/>
      <c r="S110" s="376"/>
      <c r="T110" s="303"/>
    </row>
    <row r="111" spans="1:20" ht="12.75" customHeight="1">
      <c r="A111" s="368"/>
      <c r="B111" s="411">
        <f>пр.хода!M11</f>
        <v>0</v>
      </c>
      <c r="C111" s="403" t="str">
        <f>IFERROR(VLOOKUP(B111,пр.взв!$B$7:$H$38,2,0),"")</f>
        <v/>
      </c>
      <c r="D111" s="393" t="str">
        <f>IFERROR(VLOOKUP(B111,пр.взв!$B$7:$H$38,3,0),"")</f>
        <v/>
      </c>
      <c r="E111" s="393" t="str">
        <f>IFERROR(VLOOKUP(B111,пр.взв!$B$7:$H$38,4,0),"")</f>
        <v/>
      </c>
      <c r="F111" s="393" t="str">
        <f>IFERROR(VLOOKUP(B111,пр.взв!$B$7:$H$38,5,0),"")</f>
        <v/>
      </c>
      <c r="G111" s="370"/>
      <c r="H111" s="370"/>
      <c r="I111" s="304"/>
      <c r="J111" s="304"/>
      <c r="K111" s="368"/>
      <c r="L111" s="411">
        <f>пр.хода!M39</f>
        <v>0</v>
      </c>
      <c r="M111" s="403" t="str">
        <f>IFERROR(VLOOKUP(L111,пр.взв!$B$7:$H$38,2,0),"")</f>
        <v/>
      </c>
      <c r="N111" s="393" t="str">
        <f>IFERROR(VLOOKUP(L111,пр.взв!$B$7:$H$38,3,0),"")</f>
        <v/>
      </c>
      <c r="O111" s="393" t="str">
        <f>IFERROR(VLOOKUP(L111,пр.взв!$B$7:$H$38,4,0),"")</f>
        <v/>
      </c>
      <c r="P111" s="393" t="str">
        <f>IFERROR(VLOOKUP(L111,пр.взв!$B$7:$H$38,5,0),"")</f>
        <v/>
      </c>
      <c r="Q111" s="370"/>
      <c r="R111" s="370"/>
      <c r="S111" s="304"/>
      <c r="T111" s="304"/>
    </row>
    <row r="112" spans="1:20" ht="12.75" customHeight="1" thickBot="1">
      <c r="A112" s="369"/>
      <c r="B112" s="412"/>
      <c r="C112" s="404"/>
      <c r="D112" s="394"/>
      <c r="E112" s="394"/>
      <c r="F112" s="394"/>
      <c r="G112" s="371"/>
      <c r="H112" s="371"/>
      <c r="I112" s="387"/>
      <c r="J112" s="387"/>
      <c r="K112" s="369"/>
      <c r="L112" s="412"/>
      <c r="M112" s="404"/>
      <c r="N112" s="394"/>
      <c r="O112" s="394"/>
      <c r="P112" s="394"/>
      <c r="Q112" s="371"/>
      <c r="R112" s="371"/>
      <c r="S112" s="387"/>
      <c r="T112" s="387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4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85" t="str">
        <f>пр.взв!A2</f>
        <v>Кубок России по самбо среди мужчин (№ ЕКП 1801)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0" ht="15.75">
      <c r="D2" s="53"/>
      <c r="E2" s="494" t="str">
        <f>HYPERLINK(пр.взв!D4)</f>
        <v>В.к. 98 кг.</v>
      </c>
      <c r="F2" s="494"/>
    </row>
    <row r="3" spans="1:10" ht="20.25" customHeight="1">
      <c r="C3" s="300" t="s">
        <v>112</v>
      </c>
    </row>
    <row r="4" spans="1:10">
      <c r="C4" s="54" t="s">
        <v>12</v>
      </c>
    </row>
    <row r="5" spans="1:10">
      <c r="A5" s="490" t="s">
        <v>13</v>
      </c>
      <c r="B5" s="303" t="s">
        <v>4</v>
      </c>
      <c r="C5" s="386" t="s">
        <v>5</v>
      </c>
      <c r="D5" s="303" t="s">
        <v>14</v>
      </c>
      <c r="E5" s="486" t="s">
        <v>15</v>
      </c>
      <c r="F5" s="487"/>
      <c r="G5" s="303" t="s">
        <v>16</v>
      </c>
      <c r="H5" s="304" t="s">
        <v>40</v>
      </c>
      <c r="I5" s="303" t="s">
        <v>17</v>
      </c>
      <c r="J5" s="303" t="s">
        <v>18</v>
      </c>
    </row>
    <row r="6" spans="1:10">
      <c r="A6" s="491"/>
      <c r="B6" s="304"/>
      <c r="C6" s="304"/>
      <c r="D6" s="304"/>
      <c r="E6" s="488"/>
      <c r="F6" s="489"/>
      <c r="G6" s="304"/>
      <c r="H6" s="386"/>
      <c r="I6" s="304"/>
      <c r="J6" s="304"/>
    </row>
    <row r="7" spans="1:10">
      <c r="A7" s="495"/>
      <c r="B7" s="496">
        <f>пр.хода!N9</f>
        <v>0</v>
      </c>
      <c r="C7" s="497" t="str">
        <f>IFERROR(VLOOKUP(B7,пр.взв!$B$7:$H$38,2,0),"")</f>
        <v/>
      </c>
      <c r="D7" s="497" t="str">
        <f>IFERROR(VLOOKUP(B7,пр.взв!$B$7:$H$38,3,0),"")</f>
        <v/>
      </c>
      <c r="E7" s="499" t="str">
        <f>IFERROR(VLOOKUP(B7,пр.взв!$B$7:$H$38,4,0),"")</f>
        <v/>
      </c>
      <c r="F7" s="497" t="str">
        <f>IFERROR(VLOOKUP(B7,пр.взв!$B$7:$H$38,5,0),"")</f>
        <v/>
      </c>
      <c r="G7" s="492"/>
      <c r="H7" s="304"/>
      <c r="I7" s="376"/>
      <c r="J7" s="303"/>
    </row>
    <row r="8" spans="1:10">
      <c r="A8" s="495"/>
      <c r="B8" s="303"/>
      <c r="C8" s="498"/>
      <c r="D8" s="498"/>
      <c r="E8" s="500"/>
      <c r="F8" s="501"/>
      <c r="G8" s="492"/>
      <c r="H8" s="386"/>
      <c r="I8" s="376"/>
      <c r="J8" s="303"/>
    </row>
    <row r="9" spans="1:10" ht="12.6" customHeight="1">
      <c r="A9" s="493"/>
      <c r="B9" s="496" t="str">
        <f>пр.хода!N13</f>
        <v xml:space="preserve"> </v>
      </c>
      <c r="C9" s="497" t="str">
        <f>IFERROR(VLOOKUP(B9,пр.взв!$B$7:$H$38,2,0),"")</f>
        <v/>
      </c>
      <c r="D9" s="497" t="str">
        <f>IFERROR(VLOOKUP(B9,пр.взв!$B$7:$H$38,3,0),"")</f>
        <v/>
      </c>
      <c r="E9" s="499" t="str">
        <f>IFERROR(VLOOKUP(B9,пр.взв!$B$7:$H$38,4,0),"")</f>
        <v/>
      </c>
      <c r="F9" s="497" t="str">
        <f>IFERROR(VLOOKUP(B9,пр.взв!$B$7:$H$38,5,0),"")</f>
        <v/>
      </c>
      <c r="G9" s="492"/>
      <c r="H9" s="304"/>
      <c r="I9" s="303"/>
      <c r="J9" s="303"/>
    </row>
    <row r="10" spans="1:10" ht="12.6" customHeight="1">
      <c r="A10" s="493"/>
      <c r="B10" s="303"/>
      <c r="C10" s="498"/>
      <c r="D10" s="498"/>
      <c r="E10" s="500"/>
      <c r="F10" s="501"/>
      <c r="G10" s="492"/>
      <c r="H10" s="386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112</v>
      </c>
    </row>
    <row r="16" spans="1:10" ht="15.75">
      <c r="C16" s="54" t="s">
        <v>20</v>
      </c>
      <c r="E16" s="65" t="str">
        <f>E2</f>
        <v>В.к. 98 кг.</v>
      </c>
    </row>
    <row r="17" spans="1:10" ht="12.75" customHeight="1">
      <c r="A17" s="490" t="s">
        <v>13</v>
      </c>
      <c r="B17" s="303" t="s">
        <v>4</v>
      </c>
      <c r="C17" s="386" t="s">
        <v>5</v>
      </c>
      <c r="D17" s="303" t="s">
        <v>14</v>
      </c>
      <c r="E17" s="486" t="s">
        <v>15</v>
      </c>
      <c r="F17" s="487"/>
      <c r="G17" s="303" t="s">
        <v>16</v>
      </c>
      <c r="H17" s="304" t="s">
        <v>40</v>
      </c>
      <c r="I17" s="303" t="s">
        <v>17</v>
      </c>
      <c r="J17" s="303" t="s">
        <v>18</v>
      </c>
    </row>
    <row r="18" spans="1:10">
      <c r="A18" s="491"/>
      <c r="B18" s="304"/>
      <c r="C18" s="304"/>
      <c r="D18" s="304"/>
      <c r="E18" s="502"/>
      <c r="F18" s="503"/>
      <c r="G18" s="304"/>
      <c r="H18" s="386"/>
      <c r="I18" s="304"/>
      <c r="J18" s="304"/>
    </row>
    <row r="19" spans="1:10" ht="12.6" customHeight="1">
      <c r="A19" s="495"/>
      <c r="B19" s="496">
        <f>пр.хода!N37</f>
        <v>0</v>
      </c>
      <c r="C19" s="497" t="str">
        <f>IFERROR(VLOOKUP(B19,пр.взв!$B$7:$H$38,2,0),"")</f>
        <v/>
      </c>
      <c r="D19" s="497" t="str">
        <f>IFERROR(VLOOKUP(B19,пр.взв!$B$7:$H$38,3,0),"")</f>
        <v/>
      </c>
      <c r="E19" s="499" t="str">
        <f>IFERROR(VLOOKUP(B19,пр.взв!$B$7:$H$38,4,0),"")</f>
        <v/>
      </c>
      <c r="F19" s="497" t="str">
        <f>IFERROR(VLOOKUP(B19,пр.взв!$B$7:$H$38,5,0),"")</f>
        <v/>
      </c>
      <c r="G19" s="492"/>
      <c r="H19" s="304"/>
      <c r="I19" s="376"/>
      <c r="J19" s="303"/>
    </row>
    <row r="20" spans="1:10" ht="12.6" customHeight="1">
      <c r="A20" s="495"/>
      <c r="B20" s="303"/>
      <c r="C20" s="498"/>
      <c r="D20" s="498"/>
      <c r="E20" s="500"/>
      <c r="F20" s="501"/>
      <c r="G20" s="492"/>
      <c r="H20" s="386"/>
      <c r="I20" s="376"/>
      <c r="J20" s="303"/>
    </row>
    <row r="21" spans="1:10" ht="12.6" customHeight="1">
      <c r="A21" s="493"/>
      <c r="B21" s="496" t="str">
        <f>пр.хода!N41</f>
        <v xml:space="preserve"> </v>
      </c>
      <c r="C21" s="497" t="str">
        <f>IFERROR(VLOOKUP(B21,пр.взв!$B$7:$H$38,2,0),"")</f>
        <v/>
      </c>
      <c r="D21" s="497" t="str">
        <f>IFERROR(VLOOKUP(B21,пр.взв!$B$7:$H$38,3,0),"")</f>
        <v/>
      </c>
      <c r="E21" s="499" t="str">
        <f>IFERROR(VLOOKUP(B21,пр.взв!$B$7:$H$38,4,0),"")</f>
        <v/>
      </c>
      <c r="F21" s="497" t="str">
        <f>IFERROR(VLOOKUP(B21,пр.взв!$B$7:$H$38,5,0),"")</f>
        <v/>
      </c>
      <c r="G21" s="492"/>
      <c r="H21" s="304"/>
      <c r="I21" s="303"/>
      <c r="J21" s="303"/>
    </row>
    <row r="22" spans="1:10" ht="12.6" customHeight="1">
      <c r="A22" s="493"/>
      <c r="B22" s="303"/>
      <c r="C22" s="498"/>
      <c r="D22" s="498"/>
      <c r="E22" s="500"/>
      <c r="F22" s="501"/>
      <c r="G22" s="492"/>
      <c r="H22" s="386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4" t="str">
        <f>HYPERLINK(пр.взв!D4)</f>
        <v>В.к. 98 кг.</v>
      </c>
      <c r="F29" s="494"/>
    </row>
    <row r="30" spans="1:10" ht="12.75" customHeight="1">
      <c r="A30" s="490" t="s">
        <v>13</v>
      </c>
      <c r="B30" s="303" t="s">
        <v>4</v>
      </c>
      <c r="C30" s="386" t="s">
        <v>5</v>
      </c>
      <c r="D30" s="303" t="s">
        <v>14</v>
      </c>
      <c r="E30" s="486" t="s">
        <v>15</v>
      </c>
      <c r="F30" s="487"/>
      <c r="G30" s="303" t="s">
        <v>16</v>
      </c>
      <c r="H30" s="304" t="s">
        <v>40</v>
      </c>
      <c r="I30" s="303" t="s">
        <v>17</v>
      </c>
      <c r="J30" s="303" t="s">
        <v>18</v>
      </c>
    </row>
    <row r="31" spans="1:10" ht="12.75" customHeight="1">
      <c r="A31" s="491"/>
      <c r="B31" s="304"/>
      <c r="C31" s="304"/>
      <c r="D31" s="304"/>
      <c r="E31" s="502"/>
      <c r="F31" s="503"/>
      <c r="G31" s="304"/>
      <c r="H31" s="386"/>
      <c r="I31" s="304"/>
      <c r="J31" s="304"/>
    </row>
    <row r="32" spans="1:10" ht="12.6" customHeight="1">
      <c r="A32" s="495"/>
      <c r="B32" s="504">
        <f>пр.хода!K22</f>
        <v>0</v>
      </c>
      <c r="C32" s="497" t="str">
        <f>IFERROR(VLOOKUP(B32,пр.взв!$B$7:$H$38,2,0),"")</f>
        <v/>
      </c>
      <c r="D32" s="497" t="str">
        <f>IFERROR(VLOOKUP(B32,пр.взв!$B$7:$H$38,3,0),"")</f>
        <v/>
      </c>
      <c r="E32" s="499" t="str">
        <f>IFERROR(VLOOKUP(B32,пр.взв!$B$7:$H$38,4,0),"")</f>
        <v/>
      </c>
      <c r="F32" s="497" t="str">
        <f>IFERROR(VLOOKUP(B32,пр.взв!$B$7:$H$38,5,0),"")</f>
        <v/>
      </c>
      <c r="G32" s="492"/>
      <c r="H32" s="304"/>
      <c r="I32" s="376"/>
      <c r="J32" s="303"/>
    </row>
    <row r="33" spans="1:10" ht="12.6" customHeight="1">
      <c r="A33" s="495"/>
      <c r="B33" s="303"/>
      <c r="C33" s="498"/>
      <c r="D33" s="498"/>
      <c r="E33" s="500"/>
      <c r="F33" s="501"/>
      <c r="G33" s="492"/>
      <c r="H33" s="386"/>
      <c r="I33" s="376"/>
      <c r="J33" s="303"/>
    </row>
    <row r="34" spans="1:10" ht="12.6" customHeight="1">
      <c r="A34" s="493"/>
      <c r="B34" s="504">
        <f>пр.хода!N22</f>
        <v>0</v>
      </c>
      <c r="C34" s="497" t="str">
        <f>IFERROR(VLOOKUP(B34,пр.взв!$B$7:$H$38,2,0),"")</f>
        <v/>
      </c>
      <c r="D34" s="497" t="str">
        <f>IFERROR(VLOOKUP(B34,пр.взв!$B$7:$H$38,3,0),"")</f>
        <v/>
      </c>
      <c r="E34" s="499" t="str">
        <f>IFERROR(VLOOKUP(B34,пр.взв!$B$7:$H$38,4,0),"")</f>
        <v/>
      </c>
      <c r="F34" s="497" t="str">
        <f>IFERROR(VLOOKUP(B34,пр.взв!$B$7:$H$38,5,0),"")</f>
        <v/>
      </c>
      <c r="G34" s="492"/>
      <c r="H34" s="304"/>
      <c r="I34" s="303"/>
      <c r="J34" s="303"/>
    </row>
    <row r="35" spans="1:10" ht="12.6" customHeight="1">
      <c r="A35" s="493"/>
      <c r="B35" s="303"/>
      <c r="C35" s="498"/>
      <c r="D35" s="498"/>
      <c r="E35" s="500"/>
      <c r="F35" s="501"/>
      <c r="G35" s="492"/>
      <c r="H35" s="386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105</v>
      </c>
      <c r="B42" s="36"/>
      <c r="C42" s="36"/>
      <c r="D42" s="36"/>
      <c r="E42" s="15"/>
      <c r="F42" s="56" t="s">
        <v>105</v>
      </c>
      <c r="G42" s="34" t="s">
        <v>105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105</v>
      </c>
      <c r="C44" s="36"/>
      <c r="D44" s="36"/>
      <c r="E44" s="33"/>
      <c r="F44" s="56" t="s">
        <v>105</v>
      </c>
      <c r="G44" s="35" t="s">
        <v>105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4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indexed="10"/>
  </sheetPr>
  <dimension ref="A1:AO75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05" t="s">
        <v>23</v>
      </c>
      <c r="B1" s="505"/>
      <c r="C1" s="505"/>
      <c r="D1" s="505"/>
      <c r="E1" s="505"/>
      <c r="F1" s="505"/>
      <c r="G1" s="505"/>
      <c r="H1" s="505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14" t="s">
        <v>115</v>
      </c>
      <c r="C2" s="514"/>
      <c r="D2" s="521" t="str">
        <f>[1]реквизиты!$A$2</f>
        <v>Кубок России по самбо среди мужчин (№ ЕКП 1801)</v>
      </c>
      <c r="E2" s="522"/>
      <c r="F2" s="522"/>
      <c r="G2" s="522"/>
      <c r="H2" s="523"/>
      <c r="T2" s="319">
        <f>SUMIF(J14:J16,V1,$K$14:$K$17)</f>
        <v>2</v>
      </c>
      <c r="U2" s="319"/>
      <c r="V2" s="319"/>
      <c r="W2" s="319"/>
      <c r="X2" s="319"/>
    </row>
    <row r="3" spans="1:41" ht="15" customHeight="1" thickBot="1">
      <c r="B3" s="513" t="str">
        <f>[1]реквизиты!$A$3</f>
        <v>21-25 ноября 2022 года                          г. Кстово, Нижегородская область</v>
      </c>
      <c r="C3" s="513"/>
      <c r="D3" s="513"/>
      <c r="E3" s="513"/>
      <c r="F3" s="513"/>
      <c r="G3" s="513"/>
      <c r="H3" s="12" t="str">
        <f>HYPERLINK(пр.взв!D4)</f>
        <v>В.к. 98 кг.</v>
      </c>
    </row>
    <row r="4" spans="1:41" ht="12.95" customHeight="1" thickBot="1">
      <c r="A4" s="515" t="s">
        <v>42</v>
      </c>
      <c r="B4" s="517" t="s">
        <v>4</v>
      </c>
      <c r="C4" s="519" t="s">
        <v>5</v>
      </c>
      <c r="D4" s="438" t="s">
        <v>6</v>
      </c>
      <c r="E4" s="437" t="s">
        <v>7</v>
      </c>
      <c r="F4" s="438"/>
      <c r="G4" s="417" t="s">
        <v>9</v>
      </c>
      <c r="H4" s="524" t="s">
        <v>8</v>
      </c>
      <c r="J4" s="526" t="str">
        <f>IFERROR(LEFT(F6,FIND(",",F6)-1),F6)</f>
        <v/>
      </c>
      <c r="K4" s="527">
        <v>1</v>
      </c>
      <c r="L4" s="528" t="s">
        <v>55</v>
      </c>
      <c r="M4" s="511" t="s">
        <v>56</v>
      </c>
      <c r="N4" s="506"/>
      <c r="O4" s="507"/>
      <c r="P4" s="507"/>
      <c r="Q4" s="508"/>
      <c r="S4" s="509" t="s">
        <v>55</v>
      </c>
      <c r="T4" s="511" t="s">
        <v>56</v>
      </c>
      <c r="U4" s="506"/>
      <c r="V4" s="507"/>
      <c r="W4" s="507"/>
      <c r="X4" s="508"/>
      <c r="AC4" s="509" t="s">
        <v>55</v>
      </c>
      <c r="AD4" s="511" t="s">
        <v>56</v>
      </c>
      <c r="AE4" s="506"/>
      <c r="AF4" s="507"/>
      <c r="AG4" s="507"/>
      <c r="AH4" s="508"/>
      <c r="AJ4" s="509" t="s">
        <v>55</v>
      </c>
      <c r="AK4" s="511" t="s">
        <v>56</v>
      </c>
      <c r="AL4" s="506"/>
      <c r="AM4" s="507"/>
      <c r="AN4" s="507"/>
      <c r="AO4" s="508"/>
    </row>
    <row r="5" spans="1:41" ht="12.95" customHeight="1" thickBot="1">
      <c r="A5" s="516"/>
      <c r="B5" s="518"/>
      <c r="C5" s="520"/>
      <c r="D5" s="440"/>
      <c r="E5" s="439"/>
      <c r="F5" s="440"/>
      <c r="G5" s="387"/>
      <c r="H5" s="406"/>
      <c r="J5" s="526"/>
      <c r="K5" s="527"/>
      <c r="L5" s="529"/>
      <c r="M5" s="525"/>
      <c r="N5" s="187">
        <v>1</v>
      </c>
      <c r="O5" s="188">
        <v>2</v>
      </c>
      <c r="P5" s="188">
        <v>3</v>
      </c>
      <c r="Q5" s="189">
        <v>5</v>
      </c>
      <c r="S5" s="510"/>
      <c r="T5" s="525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10"/>
      <c r="AD5" s="512"/>
      <c r="AE5" s="209">
        <v>1</v>
      </c>
      <c r="AF5" s="210">
        <v>2</v>
      </c>
      <c r="AG5" s="210">
        <v>3</v>
      </c>
      <c r="AH5" s="211">
        <v>5</v>
      </c>
      <c r="AJ5" s="510"/>
      <c r="AK5" s="512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26" t="s">
        <v>57</v>
      </c>
      <c r="K6" s="527">
        <v>1</v>
      </c>
      <c r="L6" s="190">
        <v>1</v>
      </c>
      <c r="M6" s="191" t="s">
        <v>58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26"/>
      <c r="K7" s="527"/>
      <c r="L7" s="194">
        <v>2</v>
      </c>
      <c r="M7" s="191" t="s">
        <v>59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27" t="str">
        <f>IFERROR(LEFT(F7,FIND(",",F7)-1),F7)</f>
        <v/>
      </c>
      <c r="K8" s="527">
        <v>1</v>
      </c>
      <c r="L8" s="195">
        <v>3</v>
      </c>
      <c r="M8" s="191" t="s">
        <v>60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27"/>
      <c r="K9" s="527"/>
      <c r="L9" s="194">
        <v>4</v>
      </c>
      <c r="M9" s="191" t="s">
        <v>61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27" t="str">
        <f>IFERROR(LEFT(F8,FIND(",",F8)-1),F8)</f>
        <v/>
      </c>
      <c r="K10" s="527">
        <v>1</v>
      </c>
      <c r="L10" s="195">
        <v>5</v>
      </c>
      <c r="M10" s="191" t="s">
        <v>62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27"/>
      <c r="K11" s="527"/>
      <c r="L11" s="194">
        <v>6</v>
      </c>
      <c r="M11" s="191" t="s">
        <v>63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43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27" t="str">
        <f>IFERROR(LEFT(F9,FIND(",",F9)-1),F9)</f>
        <v/>
      </c>
      <c r="K12" s="527">
        <v>1</v>
      </c>
      <c r="L12" s="195">
        <v>7</v>
      </c>
      <c r="M12" s="191" t="s">
        <v>64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43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27"/>
      <c r="K13" s="527"/>
      <c r="L13" s="194">
        <v>8</v>
      </c>
      <c r="M13" s="191" t="s">
        <v>65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46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27" t="str">
        <f>IFERROR(LEFT(F10,FIND(",",F10)-1),F10)</f>
        <v/>
      </c>
      <c r="K14" s="527">
        <v>1</v>
      </c>
      <c r="L14" s="195">
        <v>9</v>
      </c>
      <c r="M14" s="191" t="s">
        <v>66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46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27"/>
      <c r="K15" s="527"/>
      <c r="L15" s="194">
        <v>10</v>
      </c>
      <c r="M15" s="191" t="s">
        <v>67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46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27" t="str">
        <f>IFERROR(LEFT(F11,FIND(",",F11)-1),F11)</f>
        <v/>
      </c>
      <c r="K16" s="527">
        <v>1</v>
      </c>
      <c r="L16" s="195">
        <v>11</v>
      </c>
      <c r="M16" s="205" t="s">
        <v>68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46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27"/>
      <c r="K17" s="527"/>
      <c r="L17" s="194">
        <v>12</v>
      </c>
      <c r="M17" s="205" t="s">
        <v>69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47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47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47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47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52</v>
      </c>
      <c r="B22" s="261">
        <f>пр.хода!AC12</f>
        <v>9</v>
      </c>
      <c r="C22" s="274" t="str">
        <f>IFERROR(VLOOKUP(B22,пр.взв!$B$7:$H$38,2,0),"")</f>
        <v>ПОДГОРНЫЙ Артем Андреевич</v>
      </c>
      <c r="D22" s="275" t="str">
        <f>IFERROR(VLOOKUP(B22,пр.взв!$B$7:$H$38,3,0),"")</f>
        <v>27.01.2000, КМС</v>
      </c>
      <c r="E22" s="276" t="str">
        <f>IFERROR(VLOOKUP(B22,пр.взв!$B$7:$H$38,4,0),"")</f>
        <v>СПБ</v>
      </c>
      <c r="F22" s="277" t="str">
        <f>IFERROR(VLOOKUP(B22,пр.взв!$B$7:$H$38,5,0),"")</f>
        <v>Санкт-Петербург</v>
      </c>
      <c r="G22" s="278">
        <f>IFERROR(VLOOKUP(B22,пр.взв!$B$7:$H$38,6,0),"")</f>
        <v>0</v>
      </c>
      <c r="H22" s="279" t="str">
        <f>IFERROR(VLOOKUP(B22,пр.взв!$B$7:$H$38,7,0),"")</f>
        <v>Микайлов М.М.</v>
      </c>
    </row>
    <row r="23" spans="1:24" ht="24" customHeight="1">
      <c r="A23" s="260" t="s">
        <v>52</v>
      </c>
      <c r="B23" s="261">
        <f>пр.хода!AC22</f>
        <v>10</v>
      </c>
      <c r="C23" s="274" t="str">
        <f>IFERROR(VLOOKUP(B23,пр.взв!$B$7:$H$38,2,0),"")</f>
        <v>НИКУЛИН Иван Дмитриевич</v>
      </c>
      <c r="D23" s="275" t="str">
        <f>IFERROR(VLOOKUP(B23,пр.взв!$B$7:$H$38,3,0),"")</f>
        <v>20.03.1993, МСМК</v>
      </c>
      <c r="E23" s="276" t="str">
        <f>IFERROR(VLOOKUP(B23,пр.взв!$B$7:$H$38,4,0),"")</f>
        <v>УФО</v>
      </c>
      <c r="F23" s="277" t="str">
        <f>IFERROR(VLOOKUP(B23,пр.взв!$B$7:$H$38,5,0),"")</f>
        <v>Свердловская, Верхняя Пышма</v>
      </c>
      <c r="G23" s="278">
        <f>IFERROR(VLOOKUP(B23,пр.взв!$B$7:$H$38,6,0),"")</f>
        <v>0</v>
      </c>
      <c r="H23" s="279" t="str">
        <f>IFERROR(VLOOKUP(B23,пр.взв!$B$7:$H$38,7,0),"")</f>
        <v>Хлыбов ИЕ, Суханов МИ</v>
      </c>
    </row>
    <row r="24" spans="1:24" ht="24" customHeight="1">
      <c r="A24" s="260" t="s">
        <v>52</v>
      </c>
      <c r="B24" s="261">
        <f>пр.хода!AC17</f>
        <v>11</v>
      </c>
      <c r="C24" s="274" t="str">
        <f>IFERROR(VLOOKUP(B24,пр.взв!$B$7:$H$38,2,0),"")</f>
        <v>ТАРАНКОВ Никита Сергеевич</v>
      </c>
      <c r="D24" s="275" t="str">
        <f>IFERROR(VLOOKUP(B24,пр.взв!$B$7:$H$38,3,0),"")</f>
        <v>25.08.2000, КМС</v>
      </c>
      <c r="E24" s="276" t="str">
        <f>IFERROR(VLOOKUP(B24,пр.взв!$B$7:$H$38,4,0),"")</f>
        <v>ПФО</v>
      </c>
      <c r="F24" s="277" t="str">
        <f>IFERROR(VLOOKUP(B24,пр.взв!$B$7:$H$38,5,0),"")</f>
        <v>Нижегородская, Нижний Новгород</v>
      </c>
      <c r="G24" s="278">
        <f>IFERROR(VLOOKUP(B24,пр.взв!$B$7:$H$38,6,0),"")</f>
        <v>0</v>
      </c>
      <c r="H24" s="279" t="str">
        <f>IFERROR(VLOOKUP(B24,пр.взв!$B$7:$H$38,7,0),"")</f>
        <v>Симанов ДВ</v>
      </c>
    </row>
    <row r="25" spans="1:24" ht="24" customHeight="1">
      <c r="A25" s="260" t="s">
        <v>52</v>
      </c>
      <c r="B25" s="261">
        <f>пр.хода!AC27</f>
        <v>4</v>
      </c>
      <c r="C25" s="274" t="str">
        <f>IFERROR(VLOOKUP(B25,пр.взв!$B$7:$H$38,2,0),"")</f>
        <v>КОТОВ Сергей Валерьевич</v>
      </c>
      <c r="D25" s="275" t="str">
        <f>IFERROR(VLOOKUP(B25,пр.взв!$B$7:$H$38,3,0),"")</f>
        <v>30.11.1990, МС</v>
      </c>
      <c r="E25" s="276" t="str">
        <f>IFERROR(VLOOKUP(B25,пр.взв!$B$7:$H$38,4,0),"")</f>
        <v>СФО</v>
      </c>
      <c r="F25" s="277" t="str">
        <f>IFERROR(VLOOKUP(B25,пр.взв!$B$7:$H$38,5,0),"")</f>
        <v xml:space="preserve">Кемеровская, Новокузнецк </v>
      </c>
      <c r="G25" s="278">
        <f>IFERROR(VLOOKUP(B25,пр.взв!$B$7:$H$38,6,0),"")</f>
        <v>0</v>
      </c>
      <c r="H25" s="279" t="str">
        <f>IFERROR(VLOOKUP(B25,пр.взв!$B$7:$H$38,7,0),"")</f>
        <v>Параскивопуло И.В.</v>
      </c>
    </row>
    <row r="26" spans="1:24" ht="24" customHeight="1">
      <c r="A26" s="260" t="s">
        <v>53</v>
      </c>
      <c r="B26" s="261">
        <f>пр.хода!AB11</f>
        <v>1</v>
      </c>
      <c r="C26" s="274" t="str">
        <f>IFERROR(VLOOKUP(B26,пр.взв!$B$7:$H$38,2,0),"")</f>
        <v>ПОРТЫШЕВ Владимир Владимирович</v>
      </c>
      <c r="D26" s="275" t="str">
        <f>IFERROR(VLOOKUP(B26,пр.взв!$B$7:$H$38,3,0),"")</f>
        <v>01.06.1994, МС</v>
      </c>
      <c r="E26" s="276" t="str">
        <f>IFERROR(VLOOKUP(B26,пр.взв!$B$7:$H$38,4,0),"")</f>
        <v>СФО</v>
      </c>
      <c r="F26" s="277" t="str">
        <f>IFERROR(VLOOKUP(B26,пр.взв!$B$7:$H$38,5,0),"")</f>
        <v xml:space="preserve">Кемеровская, Новокузнецк </v>
      </c>
      <c r="G26" s="278">
        <f>IFERROR(VLOOKUP(B26,пр.взв!$B$7:$H$38,6,0),"")</f>
        <v>0</v>
      </c>
      <c r="H26" s="279" t="str">
        <f>IFERROR(VLOOKUP(B26,пр.взв!$B$7:$H$38,7,0),"")</f>
        <v>Параскивопуло И.В.</v>
      </c>
    </row>
    <row r="27" spans="1:24" ht="24" customHeight="1">
      <c r="A27" s="260" t="s">
        <v>53</v>
      </c>
      <c r="B27" s="261">
        <f>пр.хода!AB21</f>
        <v>2</v>
      </c>
      <c r="C27" s="274" t="str">
        <f>IFERROR(VLOOKUP(B27,пр.взв!$B$7:$H$38,2,0),"")</f>
        <v>ТЛЕУЖ Азмет Юрьевич</v>
      </c>
      <c r="D27" s="275" t="str">
        <f>IFERROR(VLOOKUP(B27,пр.взв!$B$7:$H$38,3,0),"")</f>
        <v>16.06.1999, МС</v>
      </c>
      <c r="E27" s="276" t="str">
        <f>IFERROR(VLOOKUP(B27,пр.взв!$B$7:$H$38,4,0),"")</f>
        <v>ЮФО</v>
      </c>
      <c r="F27" s="277" t="str">
        <f>IFERROR(VLOOKUP(B27,пр.взв!$B$7:$H$38,5,0),"")</f>
        <v>Р. Адыгея Майкоп</v>
      </c>
      <c r="G27" s="278">
        <f>IFERROR(VLOOKUP(B27,пр.взв!$B$7:$H$38,6,0),"")</f>
        <v>0</v>
      </c>
      <c r="H27" s="279" t="str">
        <f>IFERROR(VLOOKUP(B27,пр.взв!$B$7:$H$38,7,0),"")</f>
        <v>Джаримок Р.Н., Джаримок А.Н.</v>
      </c>
    </row>
    <row r="28" spans="1:24" ht="24" customHeight="1">
      <c r="A28" s="260" t="s">
        <v>53</v>
      </c>
      <c r="B28" s="261">
        <f>пр.хода!AB16</f>
        <v>3</v>
      </c>
      <c r="C28" s="274" t="str">
        <f>IFERROR(VLOOKUP(B28,пр.взв!$B$7:$H$38,2,0),"")</f>
        <v>ЖИДЕЛЕВ Яков Евгеньевич</v>
      </c>
      <c r="D28" s="275" t="str">
        <f>IFERROR(VLOOKUP(B28,пр.взв!$B$7:$H$38,3,0),"")</f>
        <v>26.09.2001, МС</v>
      </c>
      <c r="E28" s="276" t="str">
        <f>IFERROR(VLOOKUP(B28,пр.взв!$B$7:$H$38,4,0),"")</f>
        <v>МОС</v>
      </c>
      <c r="F28" s="277" t="str">
        <f>IFERROR(VLOOKUP(B28,пр.взв!$B$7:$H$38,5,0),"")</f>
        <v>Москва</v>
      </c>
      <c r="G28" s="278">
        <f>IFERROR(VLOOKUP(B28,пр.взв!$B$7:$H$38,6,0),"")</f>
        <v>0</v>
      </c>
      <c r="H28" s="279" t="str">
        <f>IFERROR(VLOOKUP(B28,пр.взв!$B$7:$H$38,7,0),"")</f>
        <v>Кабанов Д.Б., Сальников В.В.</v>
      </c>
    </row>
    <row r="29" spans="1:24" ht="24" customHeight="1">
      <c r="A29" s="260" t="s">
        <v>53</v>
      </c>
      <c r="B29" s="261">
        <f>пр.хода!AB26</f>
        <v>20</v>
      </c>
      <c r="C29" s="274" t="str">
        <f>IFERROR(VLOOKUP(B29,пр.взв!$B$7:$H$38,2,0),"")</f>
        <v/>
      </c>
      <c r="D29" s="275" t="str">
        <f>IFERROR(VLOOKUP(B29,пр.взв!$B$7:$H$38,3,0),"")</f>
        <v/>
      </c>
      <c r="E29" s="276" t="str">
        <f>IFERROR(VLOOKUP(B29,пр.взв!$B$7:$H$38,4,0),"")</f>
        <v/>
      </c>
      <c r="F29" s="277" t="str">
        <f>IFERROR(VLOOKUP(B29,пр.взв!$B$7:$H$38,5,0),"")</f>
        <v/>
      </c>
      <c r="G29" s="280" t="str">
        <f>IFERROR(VLOOKUP(B29,пр.взв!$B$7:$H$38,6,0),"")</f>
        <v/>
      </c>
      <c r="H29" s="279" t="str">
        <f>IFERROR(VLOOKUP(B29,пр.взв!$B$7:$H$38,7,0),"")</f>
        <v/>
      </c>
    </row>
    <row r="30" spans="1:24" ht="24" customHeight="1">
      <c r="A30" s="260" t="s">
        <v>53</v>
      </c>
      <c r="B30" s="261">
        <f>пр.хода!AB13</f>
        <v>21</v>
      </c>
      <c r="C30" s="274" t="str">
        <f>IFERROR(VLOOKUP(B30,пр.взв!$B$7:$H$38,2,0),"")</f>
        <v/>
      </c>
      <c r="D30" s="275" t="str">
        <f>IFERROR(VLOOKUP(B30,пр.взв!$B$7:$H$38,3,0),"")</f>
        <v/>
      </c>
      <c r="E30" s="276" t="str">
        <f>IFERROR(VLOOKUP(B30,пр.взв!$B$7:$H$38,4,0),"")</f>
        <v/>
      </c>
      <c r="F30" s="277" t="str">
        <f>IFERROR(VLOOKUP(B30,пр.взв!$B$7:$H$38,5,0),"")</f>
        <v/>
      </c>
      <c r="G30" s="280" t="str">
        <f>IFERROR(VLOOKUP(B30,пр.взв!$B$7:$H$38,6,0),"")</f>
        <v/>
      </c>
      <c r="H30" s="279" t="str">
        <f>IFERROR(VLOOKUP(B30,пр.взв!$B$7:$H$38,7,0),"")</f>
        <v/>
      </c>
    </row>
    <row r="31" spans="1:24" ht="24" customHeight="1">
      <c r="A31" s="260" t="s">
        <v>53</v>
      </c>
      <c r="B31" s="261">
        <f>пр.хода!AB23</f>
        <v>22</v>
      </c>
      <c r="C31" s="274" t="str">
        <f>IFERROR(VLOOKUP(B31,пр.взв!$B$7:$H$38,2,0),"")</f>
        <v/>
      </c>
      <c r="D31" s="275" t="str">
        <f>IFERROR(VLOOKUP(B31,пр.взв!$B$7:$H$38,3,0),"")</f>
        <v/>
      </c>
      <c r="E31" s="276" t="str">
        <f>IFERROR(VLOOKUP(B31,пр.взв!$B$7:$H$38,4,0),"")</f>
        <v/>
      </c>
      <c r="F31" s="277" t="str">
        <f>IFERROR(VLOOKUP(B31,пр.взв!$B$7:$H$38,5,0),"")</f>
        <v/>
      </c>
      <c r="G31" s="280" t="str">
        <f>IFERROR(VLOOKUP(B31,пр.взв!$B$7:$H$38,6,0),"")</f>
        <v/>
      </c>
      <c r="H31" s="279" t="str">
        <f>IFERROR(VLOOKUP(B31,пр.взв!$B$7:$H$38,7,0),"")</f>
        <v/>
      </c>
    </row>
    <row r="32" spans="1:24" ht="24" customHeight="1">
      <c r="A32" s="260" t="s">
        <v>53</v>
      </c>
      <c r="B32" s="261">
        <f>пр.хода!AB18</f>
        <v>23</v>
      </c>
      <c r="C32" s="274" t="str">
        <f>IFERROR(VLOOKUP(B32,пр.взв!$B$7:$H$38,2,0),"")</f>
        <v/>
      </c>
      <c r="D32" s="275" t="str">
        <f>IFERROR(VLOOKUP(B32,пр.взв!$B$7:$H$38,3,0),"")</f>
        <v/>
      </c>
      <c r="E32" s="276" t="str">
        <f>IFERROR(VLOOKUP(B32,пр.взв!$B$7:$H$38,4,0),"")</f>
        <v/>
      </c>
      <c r="F32" s="277" t="str">
        <f>IFERROR(VLOOKUP(B32,пр.взв!$B$7:$H$38,5,0),"")</f>
        <v/>
      </c>
      <c r="G32" s="280" t="str">
        <f>IFERROR(VLOOKUP(B32,пр.взв!$B$7:$H$38,6,0),"")</f>
        <v/>
      </c>
      <c r="H32" s="279" t="str">
        <f>IFERROR(VLOOKUP(B32,пр.взв!$B$7:$H$38,7,0),"")</f>
        <v/>
      </c>
    </row>
    <row r="33" spans="1:8" ht="24" customHeight="1">
      <c r="A33" s="260" t="s">
        <v>53</v>
      </c>
      <c r="B33" s="265">
        <f>пр.хода!AB28</f>
        <v>24</v>
      </c>
      <c r="C33" s="274" t="str">
        <f>IFERROR(VLOOKUP(B33,пр.взв!$B$7:$H$38,2,0),"")</f>
        <v/>
      </c>
      <c r="D33" s="275" t="str">
        <f>IFERROR(VLOOKUP(B33,пр.взв!$B$7:$H$38,3,0),"")</f>
        <v/>
      </c>
      <c r="E33" s="276" t="str">
        <f>IFERROR(VLOOKUP(B33,пр.взв!$B$7:$H$38,4,0),"")</f>
        <v/>
      </c>
      <c r="F33" s="277" t="str">
        <f>IFERROR(VLOOKUP(B33,пр.взв!$B$7:$H$38,5,0),"")</f>
        <v/>
      </c>
      <c r="G33" s="280" t="str">
        <f>IFERROR(VLOOKUP(B33,пр.взв!$B$7:$H$38,6,0),"")</f>
        <v/>
      </c>
      <c r="H33" s="279" t="str">
        <f>IFERROR(VLOOKUP(B33,пр.взв!$B$7:$H$38,7,0),"")</f>
        <v/>
      </c>
    </row>
    <row r="34" spans="1:8" ht="24" customHeight="1">
      <c r="A34" s="260" t="s">
        <v>53</v>
      </c>
      <c r="B34" s="261">
        <f>пр.хода!AB12</f>
        <v>25</v>
      </c>
      <c r="C34" s="274" t="str">
        <f>IFERROR(VLOOKUP(B34,пр.взв!$B$7:$H$38,2,0),"")</f>
        <v/>
      </c>
      <c r="D34" s="275" t="str">
        <f>IFERROR(VLOOKUP(B34,пр.взв!$B$7:$H$38,3,0),"")</f>
        <v/>
      </c>
      <c r="E34" s="276" t="str">
        <f>IFERROR(VLOOKUP(B34,пр.взв!$B$7:$H$38,4,0),"")</f>
        <v/>
      </c>
      <c r="F34" s="277" t="str">
        <f>IFERROR(VLOOKUP(B34,пр.взв!$B$7:$H$38,5,0),"")</f>
        <v/>
      </c>
      <c r="G34" s="278" t="str">
        <f>IFERROR(VLOOKUP(B34,пр.взв!$B$7:$H$38,6,0),"")</f>
        <v/>
      </c>
      <c r="H34" s="279" t="str">
        <f>IFERROR(VLOOKUP(B34,пр.взв!$B$7:$H$38,7,0),"")</f>
        <v/>
      </c>
    </row>
    <row r="35" spans="1:8" ht="24" customHeight="1">
      <c r="A35" s="260" t="s">
        <v>53</v>
      </c>
      <c r="B35" s="261">
        <f>пр.хода!AB22</f>
        <v>26</v>
      </c>
      <c r="C35" s="274" t="str">
        <f>IFERROR(VLOOKUP(B35,пр.взв!$B$7:$H$38,2,0),"")</f>
        <v/>
      </c>
      <c r="D35" s="275" t="str">
        <f>IFERROR(VLOOKUP(B35,пр.взв!$B$7:$H$38,3,0),"")</f>
        <v/>
      </c>
      <c r="E35" s="276" t="str">
        <f>IFERROR(VLOOKUP(B35,пр.взв!$B$7:$H$38,4,0),"")</f>
        <v/>
      </c>
      <c r="F35" s="277" t="str">
        <f>IFERROR(VLOOKUP(B35,пр.взв!$B$7:$H$38,5,0),"")</f>
        <v/>
      </c>
      <c r="G35" s="278" t="str">
        <f>IFERROR(VLOOKUP(B35,пр.взв!$B$7:$H$38,6,0),"")</f>
        <v/>
      </c>
      <c r="H35" s="279" t="str">
        <f>IFERROR(VLOOKUP(B35,пр.взв!$B$7:$H$38,7,0),"")</f>
        <v/>
      </c>
    </row>
    <row r="36" spans="1:8" ht="24" customHeight="1">
      <c r="A36" s="260" t="s">
        <v>53</v>
      </c>
      <c r="B36" s="261">
        <f>пр.хода!AB17</f>
        <v>27</v>
      </c>
      <c r="C36" s="274" t="str">
        <f>IFERROR(VLOOKUP(B36,пр.взв!$B$7:$H$38,2,0),"")</f>
        <v/>
      </c>
      <c r="D36" s="275" t="str">
        <f>IFERROR(VLOOKUP(B36,пр.взв!$B$7:$H$38,3,0),"")</f>
        <v/>
      </c>
      <c r="E36" s="276" t="str">
        <f>IFERROR(VLOOKUP(B36,пр.взв!$B$7:$H$38,4,0),"")</f>
        <v/>
      </c>
      <c r="F36" s="277" t="str">
        <f>IFERROR(VLOOKUP(B36,пр.взв!$B$7:$H$38,5,0),"")</f>
        <v/>
      </c>
      <c r="G36" s="278" t="str">
        <f>IFERROR(VLOOKUP(B36,пр.взв!$B$7:$H$38,6,0),"")</f>
        <v/>
      </c>
      <c r="H36" s="279" t="str">
        <f>IFERROR(VLOOKUP(B36,пр.взв!$B$7:$H$38,7,0),"")</f>
        <v/>
      </c>
    </row>
    <row r="37" spans="1:8" ht="24" customHeight="1" thickBot="1">
      <c r="A37" s="266" t="s">
        <v>53</v>
      </c>
      <c r="B37" s="267">
        <f>пр.хода!AB27</f>
        <v>28</v>
      </c>
      <c r="C37" s="282" t="str">
        <f>IFERROR(VLOOKUP(B37,пр.взв!$B$7:$H$38,2,0),"")</f>
        <v/>
      </c>
      <c r="D37" s="283" t="str">
        <f>IFERROR(VLOOKUP(B37,пр.взв!$B$7:$H$38,3,0),"")</f>
        <v/>
      </c>
      <c r="E37" s="284" t="str">
        <f>IFERROR(VLOOKUP(B37,пр.взв!$B$7:$H$38,4,0),"")</f>
        <v/>
      </c>
      <c r="F37" s="285" t="str">
        <f>IFERROR(VLOOKUP(B37,пр.взв!$B$7:$H$38,5,0),"")</f>
        <v/>
      </c>
      <c r="G37" s="286" t="str">
        <f>IFERROR(VLOOKUP(B37,пр.взв!$B$7:$H$38,6,0),"")</f>
        <v/>
      </c>
      <c r="H37" s="287" t="str">
        <f>IFERROR(VLOOKUP(B37,пр.взв!$B$7:$H$38,7,0),"")</f>
        <v/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Р.М. Болотский</v>
      </c>
      <c r="G38" s="84" t="str">
        <f>пр.хода!F41</f>
        <v>/г.Москва/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А.А. Зарипов</v>
      </c>
      <c r="G39" s="84" t="str">
        <f>пр.хода!F43</f>
        <v>/г. 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30" t="str">
        <f>[1]реквизиты!$A$2</f>
        <v>Кубок России по самбо среди мужчин (№ ЕКП 1801)</v>
      </c>
      <c r="B1" s="531"/>
      <c r="C1" s="531"/>
      <c r="D1" s="531"/>
      <c r="E1" s="531"/>
      <c r="F1" s="531"/>
      <c r="G1" s="531"/>
      <c r="H1" s="532"/>
    </row>
    <row r="2" spans="1:10" ht="12.75" customHeight="1">
      <c r="A2" s="533" t="str">
        <f>[1]реквизиты!$A$3</f>
        <v>21-25 ноября 2022 года                          г. Кстово, Нижегородская область</v>
      </c>
      <c r="B2" s="533"/>
      <c r="C2" s="533"/>
      <c r="D2" s="533"/>
      <c r="E2" s="533"/>
      <c r="F2" s="533"/>
      <c r="G2" s="533"/>
      <c r="H2" s="533"/>
    </row>
    <row r="3" spans="1:10" ht="18.75" thickBot="1">
      <c r="A3" s="534" t="s">
        <v>25</v>
      </c>
      <c r="B3" s="534"/>
      <c r="C3" s="534"/>
      <c r="D3" s="534"/>
      <c r="E3" s="534"/>
      <c r="F3" s="534"/>
      <c r="G3" s="534"/>
      <c r="H3" s="534"/>
    </row>
    <row r="4" spans="1:10" ht="18.75" thickBot="1">
      <c r="B4" s="66"/>
      <c r="C4" s="67"/>
      <c r="D4" s="535" t="str">
        <f>пр.взв!D4</f>
        <v>В.к. 98 кг.</v>
      </c>
      <c r="E4" s="536"/>
      <c r="F4" s="537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49" t="s">
        <v>26</v>
      </c>
      <c r="B6" s="541" t="str">
        <f>IFERROR(VLOOKUP(J6,пр.взв!$B$7:$H$38,2,0),"")</f>
        <v/>
      </c>
      <c r="C6" s="541"/>
      <c r="D6" s="541"/>
      <c r="E6" s="541"/>
      <c r="F6" s="541"/>
      <c r="G6" s="541"/>
      <c r="H6" s="543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50"/>
      <c r="B7" s="542"/>
      <c r="C7" s="542"/>
      <c r="D7" s="542"/>
      <c r="E7" s="542"/>
      <c r="F7" s="542"/>
      <c r="G7" s="542"/>
      <c r="H7" s="544"/>
      <c r="I7" s="67"/>
      <c r="J7" s="71"/>
    </row>
    <row r="8" spans="1:10" ht="12.75" customHeight="1">
      <c r="A8" s="550"/>
      <c r="B8" s="545" t="str">
        <f>IFERROR(VLOOKUP(J6,пр.взв!$B$7:$H$38,4,0),"")</f>
        <v/>
      </c>
      <c r="C8" s="545"/>
      <c r="D8" s="545"/>
      <c r="E8" s="545" t="str">
        <f>IFERROR(VLOOKUP(J6,пр.взв!$B$7:$H$38,5,0),"")</f>
        <v/>
      </c>
      <c r="F8" s="545"/>
      <c r="G8" s="545"/>
      <c r="H8" s="547"/>
      <c r="I8" s="67"/>
      <c r="J8" s="71"/>
    </row>
    <row r="9" spans="1:10" ht="13.5" customHeight="1" thickBot="1">
      <c r="A9" s="551"/>
      <c r="B9" s="546"/>
      <c r="C9" s="546"/>
      <c r="D9" s="546"/>
      <c r="E9" s="546"/>
      <c r="F9" s="546"/>
      <c r="G9" s="546"/>
      <c r="H9" s="548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38" t="s">
        <v>27</v>
      </c>
      <c r="B11" s="541" t="str">
        <f>IFERROR(VLOOKUP(J11,пр.взв!$B$7:$H$38,2,0),"")</f>
        <v/>
      </c>
      <c r="C11" s="541"/>
      <c r="D11" s="541"/>
      <c r="E11" s="541"/>
      <c r="F11" s="541"/>
      <c r="G11" s="541"/>
      <c r="H11" s="543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39"/>
      <c r="B12" s="542"/>
      <c r="C12" s="542"/>
      <c r="D12" s="542"/>
      <c r="E12" s="542"/>
      <c r="F12" s="542"/>
      <c r="G12" s="542"/>
      <c r="H12" s="544"/>
      <c r="I12" s="67"/>
      <c r="J12" s="71"/>
    </row>
    <row r="13" spans="1:10" ht="12.75" customHeight="1">
      <c r="A13" s="539"/>
      <c r="B13" s="545" t="str">
        <f>IFERROR(VLOOKUP(J11,пр.взв!$B$7:$H$38,4,0),"")</f>
        <v/>
      </c>
      <c r="C13" s="545"/>
      <c r="D13" s="545"/>
      <c r="E13" s="545" t="str">
        <f>IFERROR(VLOOKUP(J11,пр.взв!$B$7:$H$38,5,0),"")</f>
        <v/>
      </c>
      <c r="F13" s="545"/>
      <c r="G13" s="545"/>
      <c r="H13" s="547"/>
      <c r="I13" s="67"/>
      <c r="J13" s="71"/>
    </row>
    <row r="14" spans="1:10" ht="13.5" customHeight="1" thickBot="1">
      <c r="A14" s="540"/>
      <c r="B14" s="546"/>
      <c r="C14" s="546"/>
      <c r="D14" s="546"/>
      <c r="E14" s="546"/>
      <c r="F14" s="546"/>
      <c r="G14" s="546"/>
      <c r="H14" s="548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52" t="s">
        <v>28</v>
      </c>
      <c r="B16" s="541" t="str">
        <f>IFERROR(VLOOKUP(J16,пр.взв!$B$7:$H$38,2,0),"")</f>
        <v/>
      </c>
      <c r="C16" s="541"/>
      <c r="D16" s="541"/>
      <c r="E16" s="541"/>
      <c r="F16" s="541"/>
      <c r="G16" s="541"/>
      <c r="H16" s="543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53"/>
      <c r="B17" s="542"/>
      <c r="C17" s="542"/>
      <c r="D17" s="542"/>
      <c r="E17" s="542"/>
      <c r="F17" s="542"/>
      <c r="G17" s="542"/>
      <c r="H17" s="544"/>
      <c r="I17" s="67"/>
      <c r="J17" s="71"/>
    </row>
    <row r="18" spans="1:10" ht="12.75" customHeight="1">
      <c r="A18" s="553"/>
      <c r="B18" s="545" t="str">
        <f>IFERROR(VLOOKUP(J16,пр.взв!$B$7:$H$38,4,0),"")</f>
        <v/>
      </c>
      <c r="C18" s="545"/>
      <c r="D18" s="545"/>
      <c r="E18" s="545" t="str">
        <f>IFERROR(VLOOKUP(J16,пр.взв!$B$7:$H$38,5,0),"")</f>
        <v/>
      </c>
      <c r="F18" s="545"/>
      <c r="G18" s="545"/>
      <c r="H18" s="547"/>
      <c r="I18" s="67"/>
      <c r="J18" s="71"/>
    </row>
    <row r="19" spans="1:10" ht="13.5" customHeight="1" thickBot="1">
      <c r="A19" s="554"/>
      <c r="B19" s="546"/>
      <c r="C19" s="546"/>
      <c r="D19" s="546"/>
      <c r="E19" s="546"/>
      <c r="F19" s="546"/>
      <c r="G19" s="546"/>
      <c r="H19" s="548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52" t="s">
        <v>28</v>
      </c>
      <c r="B21" s="541" t="str">
        <f>IFERROR(VLOOKUP(J21,пр.взв!$B$7:$H$38,2,0),"")</f>
        <v/>
      </c>
      <c r="C21" s="541"/>
      <c r="D21" s="541"/>
      <c r="E21" s="541"/>
      <c r="F21" s="541"/>
      <c r="G21" s="541"/>
      <c r="H21" s="543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53"/>
      <c r="B22" s="542"/>
      <c r="C22" s="542"/>
      <c r="D22" s="542"/>
      <c r="E22" s="542"/>
      <c r="F22" s="542"/>
      <c r="G22" s="542"/>
      <c r="H22" s="544"/>
      <c r="I22" s="67"/>
      <c r="J22" s="71"/>
    </row>
    <row r="23" spans="1:10" ht="12.75" customHeight="1">
      <c r="A23" s="553"/>
      <c r="B23" s="545" t="str">
        <f>IFERROR(VLOOKUP(J21,пр.взв!$B$7:$H$38,4,0),"")</f>
        <v/>
      </c>
      <c r="C23" s="545"/>
      <c r="D23" s="545"/>
      <c r="E23" s="545" t="str">
        <f>IFERROR(VLOOKUP(J21,пр.взв!$B$7:$H$38,5,0),"")</f>
        <v/>
      </c>
      <c r="F23" s="545"/>
      <c r="G23" s="545"/>
      <c r="H23" s="547"/>
      <c r="I23" s="67"/>
    </row>
    <row r="24" spans="1:10" ht="13.5" customHeight="1" thickBot="1">
      <c r="A24" s="554"/>
      <c r="B24" s="546"/>
      <c r="C24" s="546"/>
      <c r="D24" s="546"/>
      <c r="E24" s="546"/>
      <c r="F24" s="546"/>
      <c r="G24" s="546"/>
      <c r="H24" s="548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45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55" t="str">
        <f>IFERROR(VLOOKUP(J28,пр.взв!$B$7:$H$38,7,0),"")</f>
        <v/>
      </c>
      <c r="B28" s="556"/>
      <c r="C28" s="556"/>
      <c r="D28" s="556"/>
      <c r="E28" s="556"/>
      <c r="F28" s="556"/>
      <c r="G28" s="556"/>
      <c r="H28" s="557"/>
      <c r="J28">
        <f>пр.хода!K17</f>
        <v>0</v>
      </c>
    </row>
    <row r="29" spans="1:10" ht="13.5" customHeight="1" thickBot="1">
      <c r="A29" s="558"/>
      <c r="B29" s="546"/>
      <c r="C29" s="546"/>
      <c r="D29" s="546"/>
      <c r="E29" s="546"/>
      <c r="F29" s="546"/>
      <c r="G29" s="546"/>
      <c r="H29" s="548"/>
    </row>
    <row r="32" spans="1:10" ht="18">
      <c r="A32" s="67" t="s">
        <v>29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74" t="s">
        <v>106</v>
      </c>
      <c r="B1" s="574"/>
      <c r="C1" s="574"/>
      <c r="D1" s="574"/>
      <c r="E1" s="574"/>
      <c r="F1" s="574"/>
      <c r="G1" s="574"/>
      <c r="H1" s="574" t="s">
        <v>106</v>
      </c>
      <c r="I1" s="574"/>
      <c r="J1" s="574"/>
      <c r="K1" s="574"/>
      <c r="L1" s="574"/>
      <c r="M1" s="574"/>
      <c r="N1" s="574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75" t="s">
        <v>105</v>
      </c>
      <c r="B2" s="576"/>
      <c r="C2" s="576"/>
      <c r="D2" s="576"/>
      <c r="E2" s="576"/>
      <c r="F2" s="576"/>
      <c r="G2" s="576"/>
      <c r="H2" s="575" t="s">
        <v>105</v>
      </c>
      <c r="I2" s="576"/>
      <c r="J2" s="576"/>
      <c r="K2" s="576"/>
      <c r="L2" s="576"/>
      <c r="M2" s="576"/>
      <c r="N2" s="576"/>
      <c r="O2" s="38"/>
      <c r="P2" s="38"/>
      <c r="Q2" s="38"/>
      <c r="R2" s="30"/>
      <c r="S2" s="30"/>
    </row>
    <row r="3" spans="1:33" ht="15.75">
      <c r="B3" s="37" t="s">
        <v>10</v>
      </c>
      <c r="C3" s="494" t="str">
        <f>HYPERLINK(пр.взв!D4)</f>
        <v>В.к. 98 кг.</v>
      </c>
      <c r="D3" s="494"/>
      <c r="E3" s="41"/>
      <c r="F3" s="41"/>
      <c r="G3" s="41"/>
      <c r="I3" s="37" t="s">
        <v>11</v>
      </c>
      <c r="J3" s="494" t="str">
        <f>HYPERLINK(пр.взв!D4)</f>
        <v>В.к. 98 кг.</v>
      </c>
      <c r="K3" s="494"/>
      <c r="L3" s="41"/>
      <c r="M3" s="41"/>
      <c r="N3" s="41"/>
    </row>
    <row r="4" spans="1:33" ht="16.5" thickBot="1">
      <c r="A4" s="573"/>
      <c r="B4" s="573"/>
    </row>
    <row r="5" spans="1:33" ht="12.75" customHeight="1">
      <c r="A5" s="561">
        <v>1</v>
      </c>
      <c r="B5" s="563" t="str">
        <f>VLOOKUP(A5,пр.взв!B5:C38,2,FALSE)</f>
        <v>ПОРТЫШЕВ Владимир Владимирович</v>
      </c>
      <c r="C5" s="563" t="str">
        <f>VLOOKUP(A5,пр.взв!B5:G38,3,FALSE)</f>
        <v>01.06.1994, МС</v>
      </c>
      <c r="D5" s="563" t="str">
        <f>VLOOKUP(A5,пр.взв!B5:G38,4,FALSE)</f>
        <v>СФО</v>
      </c>
      <c r="G5" s="19"/>
      <c r="H5" s="565">
        <v>2</v>
      </c>
      <c r="I5" s="559" t="str">
        <f>VLOOKUP(H5,пр.взв!B7:C38,2,FALSE)</f>
        <v>ТЛЕУЖ Азмет Юрьевич</v>
      </c>
      <c r="J5" s="559" t="str">
        <f>VLOOKUP(H5,пр.взв!B7:E38,3,FALSE)</f>
        <v>16.06.1999, МС</v>
      </c>
      <c r="K5" s="559" t="str">
        <f>VLOOKUP(H5,пр.взв!B7:E38,4,FALSE)</f>
        <v>ЮФО</v>
      </c>
    </row>
    <row r="6" spans="1:33" ht="15.75">
      <c r="A6" s="562"/>
      <c r="B6" s="564"/>
      <c r="C6" s="564"/>
      <c r="D6" s="564"/>
      <c r="E6" s="2"/>
      <c r="F6" s="2"/>
      <c r="G6" s="12"/>
      <c r="H6" s="566"/>
      <c r="I6" s="560"/>
      <c r="J6" s="560"/>
      <c r="K6" s="560"/>
    </row>
    <row r="7" spans="1:33" ht="15.75">
      <c r="A7" s="562">
        <v>17</v>
      </c>
      <c r="B7" s="560" t="str">
        <f>VLOOKUP(A7,пр.взв!B7:C38,2,FALSE)</f>
        <v>ОСИПОВ Егор Дмитриевич</v>
      </c>
      <c r="C7" s="560" t="str">
        <f>VLOOKUP(A7,пр.взв!B5:G38,3,FALSE)</f>
        <v>05.07.2001, МС</v>
      </c>
      <c r="D7" s="560" t="str">
        <f>VLOOKUP(A7,пр.взв!B5:G38,4,FALSE)</f>
        <v>ЦФО</v>
      </c>
      <c r="E7" s="4"/>
      <c r="F7" s="2"/>
      <c r="G7" s="2"/>
      <c r="H7" s="571">
        <v>18</v>
      </c>
      <c r="I7" s="567" t="str">
        <f>VLOOKUP(H7,пр.взв!B9:C38,2,FALSE)</f>
        <v>ТАШЛАНОВ Даниил Иванович</v>
      </c>
      <c r="J7" s="567" t="str">
        <f>VLOOKUP(H7,пр.взв!B9:E38,3,FALSE)</f>
        <v>03.02.1998, МСМК</v>
      </c>
      <c r="K7" s="567" t="str">
        <f>VLOOKUP(H7,пр.взв!B9:E38,4,FALSE)</f>
        <v>ПФО</v>
      </c>
      <c r="L7" s="43"/>
      <c r="M7" s="45"/>
    </row>
    <row r="8" spans="1:33" ht="16.5" thickBot="1">
      <c r="A8" s="569"/>
      <c r="B8" s="564"/>
      <c r="C8" s="564"/>
      <c r="D8" s="564"/>
      <c r="E8" s="5"/>
      <c r="F8" s="9"/>
      <c r="G8" s="2"/>
      <c r="H8" s="566"/>
      <c r="I8" s="568"/>
      <c r="J8" s="568"/>
      <c r="K8" s="568"/>
      <c r="L8" s="44"/>
      <c r="M8" s="45"/>
    </row>
    <row r="9" spans="1:33" ht="15.75">
      <c r="A9" s="561">
        <v>9</v>
      </c>
      <c r="B9" s="563" t="str">
        <f>VLOOKUP(A9,пр.взв!B9:C38,2,FALSE)</f>
        <v>ПОДГОРНЫЙ Артем Андреевич</v>
      </c>
      <c r="C9" s="563" t="str">
        <f>VLOOKUP(A9,пр.взв!B5:G38,3,FALSE)</f>
        <v>27.01.2000, КМС</v>
      </c>
      <c r="D9" s="563" t="str">
        <f>VLOOKUP(A9,пр.взв!B5:G38,4,FALSE)</f>
        <v>СПБ</v>
      </c>
      <c r="E9" s="5"/>
      <c r="F9" s="6"/>
      <c r="G9" s="2"/>
      <c r="H9" s="565">
        <v>10</v>
      </c>
      <c r="I9" s="559" t="str">
        <f>VLOOKUP(H9,пр.взв!B11:C38,2,FALSE)</f>
        <v>НИКУЛИН Иван Дмитриевич</v>
      </c>
      <c r="J9" s="559" t="str">
        <f>VLOOKUP(H9,пр.взв!B11:E38,3,FALSE)</f>
        <v>20.03.1993, МСМК</v>
      </c>
      <c r="K9" s="559" t="str">
        <f>VLOOKUP(H9,пр.взв!B11:E38,4,FALSE)</f>
        <v>УФО</v>
      </c>
      <c r="L9" s="44"/>
      <c r="M9" s="46"/>
    </row>
    <row r="10" spans="1:33" ht="15.75">
      <c r="A10" s="562"/>
      <c r="B10" s="564"/>
      <c r="C10" s="564"/>
      <c r="D10" s="564"/>
      <c r="E10" s="10"/>
      <c r="F10" s="7"/>
      <c r="G10" s="2"/>
      <c r="H10" s="566"/>
      <c r="I10" s="560"/>
      <c r="J10" s="560"/>
      <c r="K10" s="560"/>
      <c r="L10" s="42"/>
      <c r="M10" s="47"/>
    </row>
    <row r="11" spans="1:33" ht="15.75">
      <c r="A11" s="562">
        <v>25</v>
      </c>
      <c r="B11" s="560" t="e">
        <f>VLOOKUP(A11,пр.взв!B11:C38,2,FALSE)</f>
        <v>#N/A</v>
      </c>
      <c r="C11" s="560" t="e">
        <f>VLOOKUP(A11,пр.взв!B5:G38,3,FALSE)</f>
        <v>#N/A</v>
      </c>
      <c r="D11" s="560" t="e">
        <f>VLOOKUP(A11,пр.взв!B5:G38,4,FALSE)</f>
        <v>#N/A</v>
      </c>
      <c r="E11" s="3"/>
      <c r="F11" s="7"/>
      <c r="G11" s="2"/>
      <c r="H11" s="571">
        <v>26</v>
      </c>
      <c r="I11" s="567" t="e">
        <f>VLOOKUP(H11,пр.взв!B13:C38,2,FALSE)</f>
        <v>#N/A</v>
      </c>
      <c r="J11" s="567" t="e">
        <f>VLOOKUP(H11,пр.взв!B13:E38,3,FALSE)</f>
        <v>#N/A</v>
      </c>
      <c r="K11" s="567" t="e">
        <f>VLOOKUP(H11,пр.взв!B13:E38,4,FALSE)</f>
        <v>#N/A</v>
      </c>
      <c r="M11" s="48"/>
    </row>
    <row r="12" spans="1:33" ht="16.5" thickBot="1">
      <c r="A12" s="569"/>
      <c r="B12" s="564"/>
      <c r="C12" s="564"/>
      <c r="D12" s="564"/>
      <c r="E12" s="2"/>
      <c r="F12" s="7"/>
      <c r="G12" s="9"/>
      <c r="H12" s="566"/>
      <c r="I12" s="568"/>
      <c r="J12" s="568"/>
      <c r="K12" s="568"/>
      <c r="M12" s="48"/>
    </row>
    <row r="13" spans="1:33" ht="15.75">
      <c r="A13" s="561">
        <v>5</v>
      </c>
      <c r="B13" s="563" t="e">
        <f>VLOOKUP(A13,пр.взв!B13:C38,2,FALSE)</f>
        <v>#N/A</v>
      </c>
      <c r="C13" s="563" t="str">
        <f>VLOOKUP(A13,пр.взв!B5:G38,3,FALSE)</f>
        <v>16.03.1993, МСМК</v>
      </c>
      <c r="D13" s="563" t="str">
        <f>VLOOKUP(A13,пр.взв!B5:G38,4,FALSE)</f>
        <v>УФО</v>
      </c>
      <c r="E13" s="2"/>
      <c r="F13" s="7"/>
      <c r="G13" s="13"/>
      <c r="H13" s="565">
        <v>6</v>
      </c>
      <c r="I13" s="559" t="e">
        <f>VLOOKUP(H13,пр.взв!B15:C40,2,FALSE)</f>
        <v>#N/A</v>
      </c>
      <c r="J13" s="559" t="e">
        <f>VLOOKUP(H13,пр.взв!B15:E40,3,FALSE)</f>
        <v>#N/A</v>
      </c>
      <c r="K13" s="559" t="e">
        <f>VLOOKUP(H13,пр.взв!B15:E40,4,FALSE)</f>
        <v>#N/A</v>
      </c>
      <c r="M13" s="48"/>
      <c r="N13" s="50"/>
    </row>
    <row r="14" spans="1:33" ht="15.75">
      <c r="A14" s="562"/>
      <c r="B14" s="564"/>
      <c r="C14" s="564"/>
      <c r="D14" s="564"/>
      <c r="E14" s="8"/>
      <c r="F14" s="7"/>
      <c r="G14" s="2"/>
      <c r="H14" s="566"/>
      <c r="I14" s="560"/>
      <c r="J14" s="560"/>
      <c r="K14" s="560"/>
      <c r="L14" s="43"/>
      <c r="M14" s="47"/>
      <c r="N14" s="48"/>
    </row>
    <row r="15" spans="1:33" ht="15.75">
      <c r="A15" s="562">
        <v>21</v>
      </c>
      <c r="B15" s="560" t="e">
        <f>VLOOKUP(A15,пр.взв!B15:C40,2,FALSE)</f>
        <v>#N/A</v>
      </c>
      <c r="C15" s="560" t="e">
        <f>VLOOKUP(A15,пр.взв!B5:G38,3,FALSE)</f>
        <v>#N/A</v>
      </c>
      <c r="D15" s="560" t="e">
        <f>VLOOKUP(A15,пр.взв!B5:G38,4,FALSE)</f>
        <v>#N/A</v>
      </c>
      <c r="E15" s="4"/>
      <c r="F15" s="7"/>
      <c r="G15" s="2"/>
      <c r="H15" s="571">
        <v>22</v>
      </c>
      <c r="I15" s="567" t="e">
        <f>VLOOKUP(H15,пр.взв!B17:C42,2,FALSE)</f>
        <v>#N/A</v>
      </c>
      <c r="J15" s="567" t="e">
        <f>VLOOKUP(H15,пр.взв!B17:E42,3,FALSE)</f>
        <v>#N/A</v>
      </c>
      <c r="K15" s="567" t="e">
        <f>VLOOKUP(H15,пр.взв!B17:E42,4,FALSE)</f>
        <v>#N/A</v>
      </c>
      <c r="L15" s="44"/>
      <c r="M15" s="47"/>
      <c r="N15" s="48"/>
    </row>
    <row r="16" spans="1:33" ht="16.5" thickBot="1">
      <c r="A16" s="569"/>
      <c r="B16" s="564"/>
      <c r="C16" s="564"/>
      <c r="D16" s="564"/>
      <c r="E16" s="5"/>
      <c r="F16" s="11"/>
      <c r="G16" s="2"/>
      <c r="H16" s="566"/>
      <c r="I16" s="568"/>
      <c r="J16" s="568"/>
      <c r="K16" s="568"/>
      <c r="L16" s="44"/>
      <c r="M16" s="49"/>
      <c r="N16" s="48"/>
    </row>
    <row r="17" spans="1:14" ht="15.75">
      <c r="A17" s="561">
        <v>13</v>
      </c>
      <c r="B17" s="563" t="str">
        <f>VLOOKUP(A17,пр.взв!B17:C42,2,FALSE)</f>
        <v>ГАДЕЛИЯ Инал Бадриевич</v>
      </c>
      <c r="C17" s="563" t="str">
        <f>VLOOKUP(A17,пр.взв!B5:G38,3,FALSE)</f>
        <v>19.11.1995, МС</v>
      </c>
      <c r="D17" s="563" t="str">
        <f>VLOOKUP(A17,пр.взв!B5:G38,4,FALSE)</f>
        <v>ЮФО</v>
      </c>
      <c r="E17" s="5"/>
      <c r="F17" s="2"/>
      <c r="G17" s="2"/>
      <c r="H17" s="565">
        <v>14</v>
      </c>
      <c r="I17" s="559" t="str">
        <f>VLOOKUP(H17,пр.взв!B19:C44,2,FALSE)</f>
        <v>ГАЙБАЕВ Артем Римович</v>
      </c>
      <c r="J17" s="559" t="str">
        <f>VLOOKUP(H17,пр.взв!B19:E44,3,FALSE)</f>
        <v>06.08.1994, МС</v>
      </c>
      <c r="K17" s="559" t="str">
        <f>VLOOKUP(H17,пр.взв!B19:E44,4,FALSE)</f>
        <v>ПФО</v>
      </c>
      <c r="L17" s="44"/>
      <c r="M17" s="45"/>
      <c r="N17" s="48"/>
    </row>
    <row r="18" spans="1:14" ht="15.75">
      <c r="A18" s="562"/>
      <c r="B18" s="564"/>
      <c r="C18" s="564"/>
      <c r="D18" s="564"/>
      <c r="E18" s="10"/>
      <c r="F18" s="2"/>
      <c r="G18" s="2"/>
      <c r="H18" s="566"/>
      <c r="I18" s="560"/>
      <c r="J18" s="560"/>
      <c r="K18" s="560"/>
      <c r="L18" s="42"/>
      <c r="M18" s="45"/>
      <c r="N18" s="48"/>
    </row>
    <row r="19" spans="1:14" ht="15.75">
      <c r="A19" s="562">
        <v>29</v>
      </c>
      <c r="B19" s="560" t="e">
        <f>VLOOKUP(A19,пр.взв!B19:C44,2,FALSE)</f>
        <v>#N/A</v>
      </c>
      <c r="C19" s="560" t="e">
        <f>VLOOKUP(A19,пр.взв!B5:G38,3,FALSE)</f>
        <v>#N/A</v>
      </c>
      <c r="D19" s="560" t="e">
        <f>VLOOKUP(A19,пр.взв!B5:G38,4,FALSE)</f>
        <v>#N/A</v>
      </c>
      <c r="E19" s="3"/>
      <c r="F19" s="2"/>
      <c r="G19" s="2"/>
      <c r="H19" s="571">
        <v>30</v>
      </c>
      <c r="I19" s="567" t="e">
        <f>VLOOKUP(H19,пр.взв!B21:C46,2,FALSE)</f>
        <v>#N/A</v>
      </c>
      <c r="J19" s="567" t="e">
        <f>VLOOKUP(H19,пр.взв!B21:E46,3,FALSE)</f>
        <v>#N/A</v>
      </c>
      <c r="K19" s="567" t="e">
        <f>VLOOKUP(H19,пр.взв!B21:E46,4,FALSE)</f>
        <v>#N/A</v>
      </c>
      <c r="N19" s="48"/>
    </row>
    <row r="20" spans="1:14" ht="16.5" thickBot="1">
      <c r="A20" s="569"/>
      <c r="B20" s="564"/>
      <c r="C20" s="564"/>
      <c r="D20" s="564"/>
      <c r="E20" s="2"/>
      <c r="F20" s="2"/>
      <c r="G20" s="40"/>
      <c r="H20" s="566"/>
      <c r="I20" s="568"/>
      <c r="J20" s="568"/>
      <c r="K20" s="568"/>
      <c r="N20" s="51"/>
    </row>
    <row r="21" spans="1:14" ht="15.75">
      <c r="A21" s="561">
        <v>3</v>
      </c>
      <c r="B21" s="563" t="str">
        <f>VLOOKUP(A21,пр.взв!B5:C38,2,FALSE)</f>
        <v>ЖИДЕЛЕВ Яков Евгеньевич</v>
      </c>
      <c r="C21" s="563" t="str">
        <f>VLOOKUP(A21,пр.взв!B5:G38,3,FALSE)</f>
        <v>26.09.2001, МС</v>
      </c>
      <c r="D21" s="563" t="str">
        <f>VLOOKUP(A21,пр.взв!B5:G38,4,FALSE)</f>
        <v>МОС</v>
      </c>
      <c r="E21" s="2"/>
      <c r="F21" s="2"/>
      <c r="G21" s="2"/>
      <c r="H21" s="565">
        <v>4</v>
      </c>
      <c r="I21" s="559" t="str">
        <f>VLOOKUP(H21,пр.взв!B7:C38,2,FALSE)</f>
        <v>КОТОВ Сергей Валерьевич</v>
      </c>
      <c r="J21" s="559" t="str">
        <f>VLOOKUP(H21,пр.взв!B7:E38,3,FALSE)</f>
        <v>30.11.1990, МС</v>
      </c>
      <c r="K21" s="559" t="str">
        <f>VLOOKUP(H21,пр.взв!B7:E38,4,FALSE)</f>
        <v>СФО</v>
      </c>
      <c r="N21" s="48"/>
    </row>
    <row r="22" spans="1:14" ht="15.75">
      <c r="A22" s="562"/>
      <c r="B22" s="564"/>
      <c r="C22" s="564"/>
      <c r="D22" s="564"/>
      <c r="E22" s="8"/>
      <c r="F22" s="2"/>
      <c r="G22" s="2"/>
      <c r="H22" s="566"/>
      <c r="I22" s="560"/>
      <c r="J22" s="560"/>
      <c r="K22" s="560"/>
      <c r="N22" s="48"/>
    </row>
    <row r="23" spans="1:14" ht="15.75">
      <c r="A23" s="562">
        <v>19</v>
      </c>
      <c r="B23" s="560" t="str">
        <f>VLOOKUP(A23,пр.взв!B23:C48,2,FALSE)</f>
        <v>АЮБОВ Андрей Ферузович</v>
      </c>
      <c r="C23" s="560" t="str">
        <f>VLOOKUP(A23,пр.взв!B5:G38,3,FALSE)</f>
        <v>05.05.2003, МС</v>
      </c>
      <c r="D23" s="560" t="str">
        <f>VLOOKUP(A23,пр.взв!B5:G38,4,FALSE)</f>
        <v>УФО</v>
      </c>
      <c r="E23" s="4"/>
      <c r="F23" s="2"/>
      <c r="G23" s="2"/>
      <c r="H23" s="571">
        <v>20</v>
      </c>
      <c r="I23" s="567" t="e">
        <f>VLOOKUP(H23,пр.взв!B25:C50,2,FALSE)</f>
        <v>#N/A</v>
      </c>
      <c r="J23" s="567" t="e">
        <f>VLOOKUP(H23,пр.взв!B25:E50,3,FALSE)</f>
        <v>#N/A</v>
      </c>
      <c r="K23" s="567" t="e">
        <f>VLOOKUP(H23,пр.взв!B25:E50,4,FALSE)</f>
        <v>#N/A</v>
      </c>
      <c r="L23" s="43"/>
      <c r="M23" s="45"/>
      <c r="N23" s="48"/>
    </row>
    <row r="24" spans="1:14" ht="16.5" thickBot="1">
      <c r="A24" s="569"/>
      <c r="B24" s="564"/>
      <c r="C24" s="564"/>
      <c r="D24" s="564"/>
      <c r="E24" s="5"/>
      <c r="F24" s="9"/>
      <c r="G24" s="2"/>
      <c r="H24" s="566"/>
      <c r="I24" s="568"/>
      <c r="J24" s="568"/>
      <c r="K24" s="568"/>
      <c r="L24" s="44"/>
      <c r="M24" s="45"/>
      <c r="N24" s="48"/>
    </row>
    <row r="25" spans="1:14" ht="15.75">
      <c r="A25" s="561">
        <v>11</v>
      </c>
      <c r="B25" s="563" t="e">
        <f>VLOOKUP(A25,пр.взв!B25:C50,2,FALSE)</f>
        <v>#N/A</v>
      </c>
      <c r="C25" s="563" t="str">
        <f>VLOOKUP(A25,пр.взв!B5:G38,3,FALSE)</f>
        <v>25.08.2000, КМС</v>
      </c>
      <c r="D25" s="563" t="str">
        <f>VLOOKUP(A25,пр.взв!B5:G38,4,FALSE)</f>
        <v>ПФО</v>
      </c>
      <c r="E25" s="5"/>
      <c r="F25" s="6"/>
      <c r="G25" s="2"/>
      <c r="H25" s="565">
        <v>12</v>
      </c>
      <c r="I25" s="559" t="e">
        <f>VLOOKUP(H25,пр.взв!B27:C52,2,FALSE)</f>
        <v>#N/A</v>
      </c>
      <c r="J25" s="559" t="e">
        <f>VLOOKUP(H25,пр.взв!B27:E52,3,FALSE)</f>
        <v>#N/A</v>
      </c>
      <c r="K25" s="559" t="e">
        <f>VLOOKUP(H25,пр.взв!B27:E52,4,FALSE)</f>
        <v>#N/A</v>
      </c>
      <c r="L25" s="44"/>
      <c r="M25" s="46"/>
      <c r="N25" s="48"/>
    </row>
    <row r="26" spans="1:14" ht="15.75">
      <c r="A26" s="562"/>
      <c r="B26" s="564"/>
      <c r="C26" s="564"/>
      <c r="D26" s="564"/>
      <c r="E26" s="10"/>
      <c r="F26" s="7"/>
      <c r="G26" s="2"/>
      <c r="H26" s="566"/>
      <c r="I26" s="560"/>
      <c r="J26" s="560"/>
      <c r="K26" s="560"/>
      <c r="L26" s="42"/>
      <c r="M26" s="47"/>
      <c r="N26" s="48"/>
    </row>
    <row r="27" spans="1:14" ht="15.75">
      <c r="A27" s="562">
        <v>27</v>
      </c>
      <c r="B27" s="560" t="e">
        <f>VLOOKUP(A27,пр.взв!B27:C52,2,FALSE)</f>
        <v>#N/A</v>
      </c>
      <c r="C27" s="560" t="e">
        <f>VLOOKUP(A27,пр.взв!B5:G38,3,FALSE)</f>
        <v>#N/A</v>
      </c>
      <c r="D27" s="560" t="e">
        <f>VLOOKUP(A27,пр.взв!B5:G38,4,FALSE)</f>
        <v>#N/A</v>
      </c>
      <c r="E27" s="3"/>
      <c r="F27" s="7"/>
      <c r="G27" s="2"/>
      <c r="H27" s="571">
        <v>28</v>
      </c>
      <c r="I27" s="567" t="e">
        <f>VLOOKUP(H27,пр.взв!B29:C54,2,FALSE)</f>
        <v>#N/A</v>
      </c>
      <c r="J27" s="567" t="e">
        <f>VLOOKUP(H27,пр.взв!B29:E54,3,FALSE)</f>
        <v>#N/A</v>
      </c>
      <c r="K27" s="567" t="e">
        <f>VLOOKUP(H27,пр.взв!B29:E54,4,FALSE)</f>
        <v>#N/A</v>
      </c>
      <c r="M27" s="48"/>
      <c r="N27" s="48"/>
    </row>
    <row r="28" spans="1:14" ht="16.5" thickBot="1">
      <c r="A28" s="569"/>
      <c r="B28" s="564"/>
      <c r="C28" s="564"/>
      <c r="D28" s="564"/>
      <c r="E28" s="2"/>
      <c r="F28" s="7"/>
      <c r="G28" s="2"/>
      <c r="H28" s="566"/>
      <c r="I28" s="568"/>
      <c r="J28" s="568"/>
      <c r="K28" s="568"/>
      <c r="M28" s="48"/>
      <c r="N28" s="48"/>
    </row>
    <row r="29" spans="1:14" ht="15.75">
      <c r="A29" s="561">
        <v>7</v>
      </c>
      <c r="B29" s="563" t="str">
        <f>VLOOKUP(A29,пр.взв!B5:C38,2,FALSE)</f>
        <v>КУРБАНОВ Аслан Юрьевич</v>
      </c>
      <c r="C29" s="563" t="str">
        <f>VLOOKUP(A29,пр.взв!B5:G38,3,FALSE)</f>
        <v>17.10.1991, МС</v>
      </c>
      <c r="D29" s="563" t="str">
        <f>VLOOKUP(A29,пр.взв!B5:G38,4,FALSE)</f>
        <v>СКФО</v>
      </c>
      <c r="E29" s="2"/>
      <c r="F29" s="7"/>
      <c r="G29" s="52"/>
      <c r="H29" s="565">
        <v>8</v>
      </c>
      <c r="I29" s="559" t="str">
        <f>VLOOKUP(H29,пр.взв!B7:C38,2,FALSE)</f>
        <v>КУЗНЕЦОВ Сергей Владимирович</v>
      </c>
      <c r="J29" s="559" t="str">
        <f>VLOOKUP(H29,пр.взв!B7:E38,3,FALSE)</f>
        <v>21.11.2022, МС</v>
      </c>
      <c r="K29" s="559" t="str">
        <f>VLOOKUP(H29,пр.взв!B7:E38,4,FALSE)</f>
        <v>УФО</v>
      </c>
      <c r="M29" s="48"/>
      <c r="N29" s="51"/>
    </row>
    <row r="30" spans="1:14" ht="15.75">
      <c r="A30" s="562"/>
      <c r="B30" s="564"/>
      <c r="C30" s="564"/>
      <c r="D30" s="564"/>
      <c r="E30" s="8"/>
      <c r="F30" s="7"/>
      <c r="G30" s="2"/>
      <c r="H30" s="566"/>
      <c r="I30" s="560"/>
      <c r="J30" s="560"/>
      <c r="K30" s="560"/>
      <c r="M30" s="48"/>
    </row>
    <row r="31" spans="1:14" ht="15.75">
      <c r="A31" s="562">
        <v>23</v>
      </c>
      <c r="B31" s="560" t="e">
        <f>VLOOKUP(A31,пр.взв!B31:C56,2,FALSE)</f>
        <v>#N/A</v>
      </c>
      <c r="C31" s="560" t="e">
        <f>VLOOKUP(A31,пр.взв!B5:G38,3,FALSE)</f>
        <v>#N/A</v>
      </c>
      <c r="D31" s="560" t="e">
        <f>VLOOKUP(A31,пр.взв!B5:G38,4,FALSE)</f>
        <v>#N/A</v>
      </c>
      <c r="E31" s="4"/>
      <c r="F31" s="7"/>
      <c r="G31" s="2"/>
      <c r="H31" s="571">
        <v>24</v>
      </c>
      <c r="I31" s="567" t="e">
        <f>VLOOKUP(H31,пр.взв!B33:C58,2,FALSE)</f>
        <v>#N/A</v>
      </c>
      <c r="J31" s="567" t="e">
        <f>VLOOKUP(H31,пр.взв!B33:E58,3,FALSE)</f>
        <v>#N/A</v>
      </c>
      <c r="K31" s="567" t="e">
        <f>VLOOKUP(H31,пр.взв!B33:E58,4,FALSE)</f>
        <v>#N/A</v>
      </c>
      <c r="L31" s="43"/>
      <c r="M31" s="47"/>
    </row>
    <row r="32" spans="1:14" ht="16.5" thickBot="1">
      <c r="A32" s="569"/>
      <c r="B32" s="564"/>
      <c r="C32" s="564"/>
      <c r="D32" s="564"/>
      <c r="E32" s="5"/>
      <c r="F32" s="11"/>
      <c r="G32" s="2"/>
      <c r="H32" s="566"/>
      <c r="I32" s="568"/>
      <c r="J32" s="568"/>
      <c r="K32" s="568"/>
      <c r="L32" s="44"/>
      <c r="M32" s="49"/>
    </row>
    <row r="33" spans="1:16" ht="15.75">
      <c r="A33" s="561">
        <v>15</v>
      </c>
      <c r="B33" s="563" t="e">
        <f>VLOOKUP(A33,пр.взв!B33:C58,2,FALSE)</f>
        <v>#N/A</v>
      </c>
      <c r="C33" s="563" t="str">
        <f>VLOOKUP(A33,пр.взв!B5:G38,3,FALSE)</f>
        <v>11.06.2003, КМС</v>
      </c>
      <c r="D33" s="563" t="str">
        <f>VLOOKUP(A33,пр.взв!B5:G38,4,FALSE)</f>
        <v>СПБ</v>
      </c>
      <c r="E33" s="5"/>
      <c r="F33" s="2"/>
      <c r="G33" s="2"/>
      <c r="H33" s="565">
        <v>16</v>
      </c>
      <c r="I33" s="559" t="e">
        <f>VLOOKUP(H33,пр.взв!B35:C60,2,FALSE)</f>
        <v>#N/A</v>
      </c>
      <c r="J33" s="559" t="e">
        <f>VLOOKUP(H33,пр.взв!B35:E60,3,FALSE)</f>
        <v>#N/A</v>
      </c>
      <c r="K33" s="559" t="e">
        <f>VLOOKUP(H33,пр.взв!B35:E60,4,FALSE)</f>
        <v>#N/A</v>
      </c>
      <c r="L33" s="44"/>
      <c r="M33" s="45"/>
    </row>
    <row r="34" spans="1:16" ht="15.75">
      <c r="A34" s="562"/>
      <c r="B34" s="564"/>
      <c r="C34" s="564"/>
      <c r="D34" s="564"/>
      <c r="E34" s="10"/>
      <c r="F34" s="2"/>
      <c r="G34" s="2"/>
      <c r="H34" s="566"/>
      <c r="I34" s="560"/>
      <c r="J34" s="560"/>
      <c r="K34" s="560"/>
      <c r="L34" s="42"/>
      <c r="M34" s="45"/>
    </row>
    <row r="35" spans="1:16" ht="15.75">
      <c r="A35" s="562">
        <v>31</v>
      </c>
      <c r="B35" s="560" t="e">
        <f>VLOOKUP(A35,пр.взв!B35:C60,2,FALSE)</f>
        <v>#N/A</v>
      </c>
      <c r="C35" s="560" t="e">
        <f>VLOOKUP(A35,пр.взв!B5:G38,3,FALSE)</f>
        <v>#N/A</v>
      </c>
      <c r="D35" s="560" t="e">
        <f>VLOOKUP(A35,пр.взв!B5:G38,4,FALSE)</f>
        <v>#N/A</v>
      </c>
      <c r="E35" s="3"/>
      <c r="F35" s="2"/>
      <c r="G35" s="2"/>
      <c r="H35" s="571">
        <v>32</v>
      </c>
      <c r="I35" s="567" t="e">
        <f>VLOOKUP(H35,пр.взв!B37:C62,2,FALSE)</f>
        <v>#N/A</v>
      </c>
      <c r="J35" s="567" t="e">
        <f>VLOOKUP(H35,пр.взв!B37:E62,3,FALSE)</f>
        <v>#N/A</v>
      </c>
      <c r="K35" s="567" t="e">
        <f>VLOOKUP(H35,пр.взв!B37:E62,4,FALSE)</f>
        <v>#N/A</v>
      </c>
    </row>
    <row r="36" spans="1:16" ht="13.5" customHeight="1" thickBot="1">
      <c r="A36" s="569"/>
      <c r="B36" s="570"/>
      <c r="C36" s="570"/>
      <c r="D36" s="570"/>
      <c r="H36" s="572"/>
      <c r="I36" s="568"/>
      <c r="J36" s="568"/>
      <c r="K36" s="568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4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2021-11-25T06:31:10Z</cp:lastPrinted>
  <dcterms:created xsi:type="dcterms:W3CDTF">1996-10-08T23:32:33Z</dcterms:created>
  <dcterms:modified xsi:type="dcterms:W3CDTF">2022-11-21T18:17:54Z</dcterms:modified>
</cp:coreProperties>
</file>