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45621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L56" i="7" l="1"/>
  <c r="B56" i="7"/>
  <c r="G28" i="1" l="1"/>
  <c r="C4" i="3"/>
  <c r="C3" i="3"/>
  <c r="D5" i="4" l="1"/>
  <c r="C5" i="4"/>
  <c r="B23" i="7"/>
  <c r="B35" i="7" s="1"/>
  <c r="B43" i="7" s="1"/>
  <c r="L3" i="7"/>
  <c r="L23" i="7" s="1"/>
  <c r="L35" i="7" s="1"/>
  <c r="L43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<sst xmlns="http://schemas.openxmlformats.org/spreadsheetml/2006/main" count="360" uniqueCount="155">
  <si>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</si>
  <si>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</si>
  <si>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</si>
  <si>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</si>
  <si>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</si>
  <si>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</si>
  <si>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</si>
  <si>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</si>
  <si>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</si>
  <si>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</si>
  <si>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</si>
  <si>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</si>
  <si>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</si>
  <si>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</si>
  <si>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</si>
  <si>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</si>
  <si>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</si>
  <si>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</si>
  <si>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</si>
  <si>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</si>
  <si>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</si>
  <si>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</si>
  <si>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</si>
  <si>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</si>
  <si>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</si>
  <si>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</si>
  <si>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</si>
  <si>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</si>
  <si>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</si>
  <si>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</si>
  <si>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</si>
  <si>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</si>
  <si>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</si>
  <si>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</si>
  <si>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</si>
  <si>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</si>
  <si>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</si>
  <si>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</si>
  <si>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</si>
  <si>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</si>
  <si>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</si>
  <si>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</si>
  <si>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</si>
  <si>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</si>
  <si>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</si>
  <si>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</si>
  <si>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</si>
  <si>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</si>
  <si>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</si>
  <si>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</si>
  <si>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</si>
  <si>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</si>
  <si>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</si>
  <si>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</si>
  <si>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</si>
  <si>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</si>
  <si>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</si>
  <si>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</si>
  <si>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</si>
  <si>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</si>
  <si>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</si>
  <si>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</si>
  <si>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</si>
  <si>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</si>
  <si>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</si>
  <si>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</si>
  <si>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</si>
  <si>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</si>
  <si>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</si>
  <si>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</si>
  <si>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</si>
  <si>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</si>
  <si>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</si>
  <si>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</si>
  <si>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</si>
  <si>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</si>
  <si>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</si>
  <si>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</si>
  <si>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</si>
  <si>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</si>
  <si>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</si>
  <si>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</si>
  <si>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</si>
  <si>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</si>
  <si>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</si>
  <si>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</si>
  <si>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</si>
  <si>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</si>
  <si>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</si>
  <si>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</si>
  <si>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</si>
  <si>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</si>
  <si>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</si>
  <si>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</si>
  <si>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</si>
  <si>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В.к. 50 кг.</t>
  </si>
  <si>
    <t>ЕГОРОВА Елизавета Евгеньевна</t>
  </si>
  <si>
    <t>15.02.2002, МС</t>
  </si>
  <si>
    <t>ПФО</t>
  </si>
  <si>
    <t xml:space="preserve"> Чувашская Республика - Чувашия Чебоксары</t>
  </si>
  <si>
    <t>Пегасов С.В.</t>
  </si>
  <si>
    <t>ЕМЕЛЮКОВА Софья Константиновна</t>
  </si>
  <si>
    <t>09.03.2003, МС</t>
  </si>
  <si>
    <t>Пегасов Сергей Вячеславович</t>
  </si>
  <si>
    <t>ФЕДОРОВА Татьяна Владимировна</t>
  </si>
  <si>
    <t>25.11.2001, МС</t>
  </si>
  <si>
    <t>ДИКАЯ Валентина Александровна</t>
  </si>
  <si>
    <t>22.08.1999, МС</t>
  </si>
  <si>
    <t>СЗФО</t>
  </si>
  <si>
    <t xml:space="preserve"> г. Санкт-Петербург Санкт-Петербург</t>
  </si>
  <si>
    <t>Мизяев Константин Геннадьевич, Селяков Сергей Васильевич</t>
  </si>
  <si>
    <t>БЛИНОВА Ксения Сергеевна</t>
  </si>
  <si>
    <t>08.09.1999, МС</t>
  </si>
  <si>
    <t>СФО</t>
  </si>
  <si>
    <t xml:space="preserve"> Новосибирская обл. Новосибирск, Новосибирская область</t>
  </si>
  <si>
    <t>Орлов А.А., Лепяхов С.В.</t>
  </si>
  <si>
    <t>НЕФЁДОВА Екатерина Дмитриевна</t>
  </si>
  <si>
    <t>06.01.1999, МС</t>
  </si>
  <si>
    <t>УФО</t>
  </si>
  <si>
    <t xml:space="preserve"> Курганская обл. Куртамыш</t>
  </si>
  <si>
    <t>Пирогов И.Ю.</t>
  </si>
  <si>
    <t>КОБЕЛЕВА Оксана Вячеславовна</t>
  </si>
  <si>
    <t>20.09.2001, МС</t>
  </si>
  <si>
    <t>Свердловская обл. Екатеринбург</t>
  </si>
  <si>
    <t>Воронов В.В.</t>
  </si>
  <si>
    <t>КАЙГОРОДОВА София Витальевна</t>
  </si>
  <si>
    <t>21.03.2003, КМС</t>
  </si>
  <si>
    <t xml:space="preserve"> Свердловская обл. Ирбит</t>
  </si>
  <si>
    <t>Шевчук П. Н.</t>
  </si>
  <si>
    <t>МИХАЛЕВА Елена Павловна</t>
  </si>
  <si>
    <t>13.06.1995, МС</t>
  </si>
  <si>
    <t>ЦФО</t>
  </si>
  <si>
    <t xml:space="preserve"> Московская обл. Воскресенск</t>
  </si>
  <si>
    <t>Баринова М.В.</t>
  </si>
  <si>
    <t>БАРАНОВА Виктория Игоревна</t>
  </si>
  <si>
    <t>01.05.2002, МС</t>
  </si>
  <si>
    <t xml:space="preserve"> Московская обл. Королев</t>
  </si>
  <si>
    <t>Гончаров ЮС, Малов МВ</t>
  </si>
  <si>
    <t>КАШТАНОВА Галина Григорьевна</t>
  </si>
  <si>
    <t>23.09.2002, МС</t>
  </si>
  <si>
    <t xml:space="preserve"> Московская обл. Можайск</t>
  </si>
  <si>
    <t>Нагулин В.А.</t>
  </si>
  <si>
    <t>САРГСЯН Анна Андраниковна</t>
  </si>
  <si>
    <t>14.05.2002, КМС</t>
  </si>
  <si>
    <t>ЮФО</t>
  </si>
  <si>
    <t xml:space="preserve"> Краснодарский край Армавир</t>
  </si>
  <si>
    <t>Бородин Владимир Георгиевич</t>
  </si>
  <si>
    <t>ГОРЕЛИКОВА Анна Вадимовна</t>
  </si>
  <si>
    <t>03.06.1992, МСМК</t>
  </si>
  <si>
    <t xml:space="preserve"> Краснодарский край Крымск</t>
  </si>
  <si>
    <t>Адамян А.В.</t>
  </si>
  <si>
    <t>КАРЕКЯН Кристина Хачиковна</t>
  </si>
  <si>
    <t>23.01.1995, МС</t>
  </si>
  <si>
    <t xml:space="preserve"> Краснодарский край Сочи</t>
  </si>
  <si>
    <t>Антонян Руслан Аршакович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</si>
</sst>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58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56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1193800</xdr:colOff>
          <xdr:row>3</xdr:row>
          <xdr:rowOff>25400</xdr:rowOff>
        </xdr:from>
        <xdr:to>
          <xdr:col>5</xdr:col>
          <xdr:colOff>1327150</xdr:colOff>
          <xdr:row>4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</xdr:row>
          <xdr:rowOff>25400</xdr:rowOff>
        </xdr:from>
        <xdr:to>
          <xdr:col>1</xdr:col>
          <xdr:colOff>317500</xdr:colOff>
          <xdr:row>3</xdr:row>
          <xdr:rowOff>146050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Кубок России по самбо среди женщин(ЕКП№1801).</v>
          </cell>
        </row>
        <row r="3">
          <cell r="A3" t="str">
            <v>21-25 ноября 2022 года                          г.Кстово, Нижегородская обл.</v>
          </cell>
        </row>
        <row r="6">
          <cell r="A6" t="str">
            <v>Гл. судья, судья ВК</v>
          </cell>
          <cell r="G6" t="str">
            <v>Болотский Р.М.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Зарипов А.А.</v>
          </cell>
        </row>
        <row r="9">
          <cell r="G9" t="str">
            <v>/г. 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53"/>
  <sheetViews>
    <sheetView topLeftCell="A4" zoomScale="90" zoomScaleNormal="90" workbookViewId="0">
      <selection activeCell="AJ13" sqref="AJ13"/>
    </sheetView>
  </sheetViews>
  <sheetFormatPr defaultRowHeight="12.5"/>
  <cols>
    <col min="1" max="1" width="5.26953125" customWidth="1"/>
    <col min="2" max="2" width="4.81640625" customWidth="1"/>
    <col min="3" max="3" width="25.81640625" customWidth="1"/>
    <col min="4" max="4" width="12.26953125" customWidth="1"/>
    <col min="5" max="5" width="6.54296875" customWidth="1"/>
    <col min="6" max="6" width="19.26953125" customWidth="1"/>
    <col min="7" max="7" width="8" customWidth="1"/>
    <col min="8" max="8" width="17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4" width="4.26953125" hidden="1" customWidth="1"/>
    <col min="25" max="25" width="14.54296875" customWidth="1"/>
    <col min="26" max="27" width="4.2695312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9.25" customHeight="1">
      <c r="A1" s="289" t="s">
        <v>72</v>
      </c>
      <c r="B1" s="289"/>
      <c r="C1" s="289"/>
      <c r="D1" s="289"/>
      <c r="E1" s="289"/>
      <c r="F1" s="289"/>
      <c r="G1" s="289"/>
      <c r="H1" s="289"/>
    </row>
    <row r="2" spans="1:35" ht="54" customHeight="1">
      <c r="A2" s="226"/>
      <c r="B2" s="290" t="str">
        <f>[1]реквизиты!$A$2</f>
        <v>Кубок России по самбо среди женщин(ЕКП№1801).</v>
      </c>
      <c r="C2" s="290"/>
      <c r="D2" s="290"/>
      <c r="E2" s="290"/>
      <c r="F2" s="290"/>
      <c r="G2" s="290"/>
      <c r="H2" s="227"/>
      <c r="I2" s="214"/>
      <c r="J2" s="214"/>
      <c r="K2" s="214"/>
    </row>
    <row r="3" spans="1:35" ht="12.75" customHeight="1">
      <c r="A3" s="291" t="str">
        <f>[1]реквизиты!$A$3</f>
        <v>21-25 ноября 2022 года                          г.Кстово, Нижегородская обл.</v>
      </c>
      <c r="B3" s="291"/>
      <c r="C3" s="291"/>
      <c r="D3" s="291"/>
      <c r="E3" s="291"/>
      <c r="F3" s="291"/>
      <c r="G3" s="291"/>
      <c r="H3" s="291"/>
    </row>
    <row r="4" spans="1:35" ht="12.75" customHeight="1">
      <c r="D4" s="2" t="s">
        <v>95</v>
      </c>
      <c r="E4" s="2"/>
      <c r="Y4" s="293" t="s">
        <v>69</v>
      </c>
      <c r="Z4" s="293"/>
      <c r="AA4" s="293"/>
      <c r="AB4" s="293"/>
      <c r="AC4" s="293"/>
      <c r="AD4" s="293"/>
      <c r="AE4" s="293"/>
    </row>
    <row r="5" spans="1:35" ht="12.75" customHeight="1" thickBot="1">
      <c r="A5" s="283" t="s">
        <v>73</v>
      </c>
      <c r="B5" s="292" t="s">
        <v>4</v>
      </c>
      <c r="C5" s="283" t="s">
        <v>5</v>
      </c>
      <c r="D5" s="283" t="s">
        <v>6</v>
      </c>
      <c r="E5" s="285" t="s">
        <v>7</v>
      </c>
      <c r="F5" s="286"/>
      <c r="G5" s="283" t="s">
        <v>9</v>
      </c>
      <c r="H5" s="283" t="s">
        <v>8</v>
      </c>
      <c r="Q5" s="294"/>
      <c r="R5" s="294"/>
      <c r="S5" s="294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84"/>
      <c r="B6" s="284"/>
      <c r="C6" s="284"/>
      <c r="D6" s="284"/>
      <c r="E6" s="287"/>
      <c r="F6" s="288"/>
      <c r="G6" s="284"/>
      <c r="H6" s="284"/>
      <c r="J6" s="183"/>
      <c r="K6" s="183"/>
      <c r="L6" s="183"/>
      <c r="M6" s="183"/>
      <c r="N6" s="183"/>
      <c r="O6" s="183"/>
      <c r="P6" s="228"/>
      <c r="Q6" s="228" t="str">
        <f>N7</f>
        <v>КМС</v>
      </c>
      <c r="R6" s="228" t="str">
        <f>N8</f>
        <v>МС</v>
      </c>
      <c r="S6" s="185" t="str">
        <f>N9</f>
        <v>МСМК</v>
      </c>
      <c r="T6" s="185" t="str">
        <f>N10</f>
        <v/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70</v>
      </c>
      <c r="Z6" s="217" t="str">
        <f t="shared" ref="Z6:AF6" si="0">Q6</f>
        <v>КМС</v>
      </c>
      <c r="AA6" s="217" t="str">
        <f t="shared" si="0"/>
        <v>МС</v>
      </c>
      <c r="AB6" s="218" t="str">
        <f t="shared" si="0"/>
        <v>МСМК</v>
      </c>
      <c r="AC6" s="218" t="str">
        <f t="shared" si="0"/>
        <v/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2" customHeight="1">
      <c r="A7" s="229" t="s">
        <v>74</v>
      </c>
      <c r="B7" s="230">
        <v>1</v>
      </c>
      <c r="C7" s="231" t="s">
        <v>142</v>
      </c>
      <c r="D7" s="232" t="s">
        <v>143</v>
      </c>
      <c r="E7" s="233" t="s">
        <v>144</v>
      </c>
      <c r="F7" s="232" t="s">
        <v>145</v>
      </c>
      <c r="G7" s="234"/>
      <c r="H7" s="235" t="s">
        <v>146</v>
      </c>
      <c r="I7" s="236"/>
      <c r="J7" s="237">
        <v>1</v>
      </c>
      <c r="K7" s="225" t="str">
        <f>IFERROR(RIGHT(D7,LEN(D7)-FIND("*",SUBSTITUTE(D7," ","*",LEN(D7)-LEN(SUBSTITUTE(D7," ",""))))),D7)</f>
        <v>КМС</v>
      </c>
      <c r="L7" s="225" t="str">
        <f>IFERROR(LEFT(F7,FIND(",",F7)-1),F7)</f>
        <v xml:space="preserve"> Краснодарский край Армавир</v>
      </c>
      <c r="M7" s="238" t="str">
        <f t="array" ref="M7">IFERROR(INDEX(субъект,MATCH(SUM(COUNTIF(M$6:M6,субъект)),COUNTIF(субъект,"&lt;"&amp;субъект),0)),"")</f>
        <v xml:space="preserve"> г. Санкт-Петербург Санкт-Петербург</v>
      </c>
      <c r="N7" s="238" t="str">
        <f t="array" ref="N7">IFERROR(INDEX(разряд,MATCH(SUM(COUNTIF(N$6:N6,разряд)),COUNTIF(разряд,"&lt;"&amp;разряд),0)),"")</f>
        <v>КМС</v>
      </c>
      <c r="O7" s="239">
        <v>1</v>
      </c>
      <c r="P7" s="184" t="str">
        <f t="shared" ref="P7:P22" si="1">M7</f>
        <v xml:space="preserve"> г. Санкт-Петербург Санкт-Петербург</v>
      </c>
      <c r="Q7" s="187">
        <f t="shared" ref="Q7:Q22" si="2">SUMIFS($J$7:$J$38,$L$7:$L$38,P7,$K$7:$K$38,Q$6)</f>
        <v>0</v>
      </c>
      <c r="R7" s="187">
        <f t="shared" ref="R7:R22" si="3">SUMIFS($J$7:$J$38,$L$7:$L$38,P7,$K$7:$K$38,R$6)</f>
        <v>1</v>
      </c>
      <c r="S7" s="240">
        <f t="shared" ref="S7:S22" si="4">SUMIFS($J$7:$J$38,$L$7:$L$38,P7,$K$7:$K$38,S$6)</f>
        <v>0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 xml:space="preserve"> г. Санкт-Петербург Санкт-Петербург</v>
      </c>
      <c r="Z7" s="222" t="str">
        <f>IF(Q7=0," ",Q7)</f>
        <v xml:space="preserve"> </v>
      </c>
      <c r="AA7" s="222">
        <f>IF(R7=0," ",R7)</f>
        <v>1</v>
      </c>
      <c r="AB7" s="222" t="str">
        <f>IF(S7=0," ",S7)</f>
        <v xml:space="preserve"> 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95">
        <f>SUM(Z7:AF22)</f>
        <v>14</v>
      </c>
      <c r="AI7" s="296"/>
    </row>
    <row r="8" spans="1:35" ht="22" customHeight="1" thickBot="1">
      <c r="A8" s="229" t="s">
        <v>75</v>
      </c>
      <c r="B8" s="230">
        <v>2</v>
      </c>
      <c r="C8" s="231" t="s">
        <v>121</v>
      </c>
      <c r="D8" s="232" t="s">
        <v>122</v>
      </c>
      <c r="E8" s="233" t="s">
        <v>118</v>
      </c>
      <c r="F8" s="232" t="s">
        <v>123</v>
      </c>
      <c r="G8" s="234"/>
      <c r="H8" s="235" t="s">
        <v>124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МС</v>
      </c>
      <c r="L8" s="225" t="str">
        <f t="shared" ref="L8:L22" si="11">IFERROR(LEFT(F8,FIND(",",F8)-1),F8)</f>
        <v>Свердловская обл. Екатеринбург</v>
      </c>
      <c r="M8" s="238" t="str">
        <f t="array" ref="M8">IFERROR(INDEX(субъект,MATCH(SUM(COUNTIF(M$6:M7,субъект)),COUNTIF(субъект,"&lt;"&amp;субъект),0)),"")</f>
        <v xml:space="preserve"> Краснодарский край Армавир</v>
      </c>
      <c r="N8" s="238" t="str">
        <f t="array" ref="N8">IFERROR(INDEX(разряд,MATCH(SUM(COUNTIF(N$6:N7,разряд)),COUNTIF(разряд,"&lt;"&amp;разряд),0)),"")</f>
        <v>МС</v>
      </c>
      <c r="O8" s="239">
        <v>2</v>
      </c>
      <c r="P8" s="184" t="str">
        <f t="shared" si="1"/>
        <v xml:space="preserve"> Краснодарский край Армавир</v>
      </c>
      <c r="Q8" s="187">
        <f t="shared" si="2"/>
        <v>1</v>
      </c>
      <c r="R8" s="187">
        <f t="shared" si="3"/>
        <v>0</v>
      </c>
      <c r="S8" s="240">
        <f t="shared" si="4"/>
        <v>0</v>
      </c>
      <c r="T8" s="191">
        <f t="shared" si="5"/>
        <v>0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 xml:space="preserve"> Краснодарский край Армавир</v>
      </c>
      <c r="Z8" s="186">
        <f>IF($Y$8=$Y$7," ",IF(Q8=0," ",Q8))</f>
        <v>1</v>
      </c>
      <c r="AA8" s="186" t="str">
        <f>IF($Y$8=$Y$7," ",IF(R8=0," ",R8))</f>
        <v xml:space="preserve"> </v>
      </c>
      <c r="AB8" s="186" t="str">
        <f>IF($Y$8=$Y$7," ",IF(S8=0," ",S8))</f>
        <v xml:space="preserve"> </v>
      </c>
      <c r="AC8" s="186" t="str">
        <f>IF($Y$8=$Y$7," ",IF(T8=0," ",T8))</f>
        <v xml:space="preserve"> 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7"/>
      <c r="AI8" s="298"/>
    </row>
    <row r="9" spans="1:35" ht="22" customHeight="1">
      <c r="A9" s="229" t="s">
        <v>76</v>
      </c>
      <c r="B9" s="230">
        <v>3</v>
      </c>
      <c r="C9" s="231" t="s">
        <v>96</v>
      </c>
      <c r="D9" s="232" t="s">
        <v>97</v>
      </c>
      <c r="E9" s="233" t="s">
        <v>98</v>
      </c>
      <c r="F9" s="232" t="s">
        <v>99</v>
      </c>
      <c r="G9" s="234"/>
      <c r="H9" s="235" t="s">
        <v>100</v>
      </c>
      <c r="I9" s="236"/>
      <c r="J9" s="237">
        <v>1</v>
      </c>
      <c r="K9" s="225" t="str">
        <f t="shared" si="10"/>
        <v>МС</v>
      </c>
      <c r="L9" s="225" t="str">
        <f t="shared" si="11"/>
        <v xml:space="preserve"> Чувашская Республика - Чувашия Чебоксары</v>
      </c>
      <c r="M9" s="238" t="str">
        <f t="array" ref="M9">IFERROR(INDEX(субъект,MATCH(SUM(COUNTIF(M$6:M8,субъект)),COUNTIF(субъект,"&lt;"&amp;субъект),0)),"")</f>
        <v xml:space="preserve"> Краснодарский край Крымск</v>
      </c>
      <c r="N9" s="238" t="str">
        <f t="array" ref="N9">IFERROR(INDEX(разряд,MATCH(SUM(COUNTIF(N$6:N8,разряд)),COUNTIF(разряд,"&lt;"&amp;разряд),0)),"")</f>
        <v>МСМК</v>
      </c>
      <c r="O9" s="239">
        <v>3</v>
      </c>
      <c r="P9" s="184" t="str">
        <f t="shared" si="1"/>
        <v xml:space="preserve"> Краснодарский край Крымск</v>
      </c>
      <c r="Q9" s="187">
        <f t="shared" si="2"/>
        <v>0</v>
      </c>
      <c r="R9" s="187">
        <f t="shared" si="3"/>
        <v>0</v>
      </c>
      <c r="S9" s="240">
        <f t="shared" si="4"/>
        <v>1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 xml:space="preserve"> Краснодарский край Крымск</v>
      </c>
      <c r="Z9" s="186" t="str">
        <f>IF(OR($Y9=$Y7,$Y9=$Y8)," ",IF(Q9=0," ",Q9))</f>
        <v xml:space="preserve"> </v>
      </c>
      <c r="AA9" s="186" t="str">
        <f>IF(OR($Y9=$Y7,$Y9=$Y8)," ",IF(R9=0," ",R9))</f>
        <v xml:space="preserve"> </v>
      </c>
      <c r="AB9" s="186">
        <f>IF(OR($Y9=$Y7,$Y9=$Y8)," ",IF(S9=0," ",S9))</f>
        <v>1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2" customHeight="1">
      <c r="A10" s="229" t="s">
        <v>77</v>
      </c>
      <c r="B10" s="230">
        <v>4</v>
      </c>
      <c r="C10" s="231" t="s">
        <v>111</v>
      </c>
      <c r="D10" s="232" t="s">
        <v>112</v>
      </c>
      <c r="E10" s="233" t="s">
        <v>113</v>
      </c>
      <c r="F10" s="232" t="s">
        <v>114</v>
      </c>
      <c r="G10" s="234"/>
      <c r="H10" s="235" t="s">
        <v>115</v>
      </c>
      <c r="I10" s="236"/>
      <c r="J10" s="237">
        <v>1</v>
      </c>
      <c r="K10" s="225" t="str">
        <f t="shared" si="10"/>
        <v>МС</v>
      </c>
      <c r="L10" s="225" t="str">
        <f t="shared" si="11"/>
        <v xml:space="preserve"> Новосибирская обл. Новосибирск</v>
      </c>
      <c r="M10" s="238" t="str">
        <f t="array" ref="M10">IFERROR(INDEX(субъект,MATCH(SUM(COUNTIF(M$6:M9,субъект)),COUNTIF(субъект,"&lt;"&amp;субъект),0)),"")</f>
        <v xml:space="preserve"> Краснодарский край Сочи</v>
      </c>
      <c r="N10" s="238" t="str">
        <f t="array" ref="N10">IFERROR(INDEX(разряд,MATCH(SUM(COUNTIF(N$6:N9,разряд)),COUNTIF(разряд,"&lt;"&amp;разряд),0)),"")</f>
        <v/>
      </c>
      <c r="O10" s="239">
        <v>4</v>
      </c>
      <c r="P10" s="184" t="str">
        <f t="shared" si="1"/>
        <v xml:space="preserve"> Краснодарский край Сочи</v>
      </c>
      <c r="Q10" s="187">
        <f t="shared" si="2"/>
        <v>0</v>
      </c>
      <c r="R10" s="187">
        <f t="shared" si="3"/>
        <v>1</v>
      </c>
      <c r="S10" s="240">
        <f t="shared" si="4"/>
        <v>0</v>
      </c>
      <c r="T10" s="191">
        <f t="shared" si="5"/>
        <v>0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 xml:space="preserve"> Краснодарский край Сочи</v>
      </c>
      <c r="Z10" s="186" t="str">
        <f>IF(OR($Y10=$Y8,$Y10=$Y9,$Y10=$Y7)," ",IF(Q10=0," ",Q10))</f>
        <v xml:space="preserve"> </v>
      </c>
      <c r="AA10" s="186">
        <f>IF(OR($Y10=$Y8,$Y10=$Y9,$Y10=$Y7)," ",IF(R10=0," ",R10))</f>
        <v>1</v>
      </c>
      <c r="AB10" s="186" t="str">
        <f>IF(OR($Y10=$Y8,$Y10=$Y9,$Y10=$Y7)," ",IF(S10=0," ",S10))</f>
        <v xml:space="preserve"> </v>
      </c>
      <c r="AC10" s="186" t="str">
        <f>IF(OR($Y10=$Y8,$Y10=$Y9,$Y10=$Y7)," ",IF(T10=0," ",T10))</f>
        <v xml:space="preserve"> 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2" customHeight="1">
      <c r="A11" s="229" t="s">
        <v>78</v>
      </c>
      <c r="B11" s="230">
        <v>5</v>
      </c>
      <c r="C11" s="231" t="s">
        <v>106</v>
      </c>
      <c r="D11" s="232" t="s">
        <v>107</v>
      </c>
      <c r="E11" s="233" t="s">
        <v>108</v>
      </c>
      <c r="F11" s="232" t="s">
        <v>109</v>
      </c>
      <c r="G11" s="234"/>
      <c r="H11" s="235" t="s">
        <v>110</v>
      </c>
      <c r="I11" s="236"/>
      <c r="J11" s="237">
        <v>1</v>
      </c>
      <c r="K11" s="225" t="str">
        <f t="shared" si="10"/>
        <v>МС</v>
      </c>
      <c r="L11" s="225" t="str">
        <f t="shared" si="11"/>
        <v xml:space="preserve"> г. Санкт-Петербург Санкт-Петербург</v>
      </c>
      <c r="M11" s="238" t="str">
        <f t="array" ref="M11">IFERROR(INDEX(субъект,MATCH(SUM(COUNTIF(M$6:M10,субъект)),COUNTIF(субъект,"&lt;"&amp;субъект),0)),"")</f>
        <v xml:space="preserve"> Курганская обл. Куртамыш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 xml:space="preserve"> Курганская обл. Куртамыш</v>
      </c>
      <c r="Q11" s="187">
        <f t="shared" si="2"/>
        <v>0</v>
      </c>
      <c r="R11" s="187">
        <f t="shared" si="3"/>
        <v>1</v>
      </c>
      <c r="S11" s="240">
        <f t="shared" si="4"/>
        <v>0</v>
      </c>
      <c r="T11" s="191">
        <f t="shared" si="5"/>
        <v>0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 xml:space="preserve"> Курганская обл. Куртамыш</v>
      </c>
      <c r="Z11" s="186" t="str">
        <f>IF(OR($Y11=$Y9,$Y11=$Y10,$Y11=$Y8,$Y11=$Y7)," ",IF(Q11=0," ",Q11))</f>
        <v xml:space="preserve"> </v>
      </c>
      <c r="AA11" s="186">
        <f>IF(OR($Y11=$Y9,$Y11=$Y10,$Y11=$Y8,$Y11=$Y7)," ",IF(R11=0," ",R11))</f>
        <v>1</v>
      </c>
      <c r="AB11" s="186" t="str">
        <f>IF(OR($Y11=$Y9,$Y11=$Y10,$Y11=$Y8,$Y11=$Y7)," ",IF(S11=0," ",S11))</f>
        <v xml:space="preserve"> </v>
      </c>
      <c r="AC11" s="186" t="str">
        <f>IF(OR($Y11=$Y9,$Y11=$Y10,$Y11=$Y8,$Y11=$Y7)," ",IF(T11=0," ",T11))</f>
        <v xml:space="preserve"> 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2" customHeight="1">
      <c r="A12" s="229" t="s">
        <v>79</v>
      </c>
      <c r="B12" s="230">
        <v>6</v>
      </c>
      <c r="C12" s="231" t="s">
        <v>138</v>
      </c>
      <c r="D12" s="232" t="s">
        <v>139</v>
      </c>
      <c r="E12" s="233" t="s">
        <v>131</v>
      </c>
      <c r="F12" s="232" t="s">
        <v>140</v>
      </c>
      <c r="G12" s="234"/>
      <c r="H12" s="235" t="s">
        <v>141</v>
      </c>
      <c r="I12" s="236"/>
      <c r="J12" s="237">
        <v>1</v>
      </c>
      <c r="K12" s="225" t="str">
        <f t="shared" si="10"/>
        <v>МС</v>
      </c>
      <c r="L12" s="225" t="str">
        <f t="shared" si="11"/>
        <v xml:space="preserve"> Московская обл. Можайск</v>
      </c>
      <c r="M12" s="238" t="str">
        <f t="array" ref="M12">IFERROR(INDEX(субъект,MATCH(SUM(COUNTIF(M$6:M11,субъект)),COUNTIF(субъект,"&lt;"&amp;субъект),0)),"")</f>
        <v xml:space="preserve"> Московская обл. Воскресенск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 xml:space="preserve"> Московская обл. Воскресенск</v>
      </c>
      <c r="Q12" s="187">
        <f t="shared" si="2"/>
        <v>0</v>
      </c>
      <c r="R12" s="187">
        <f t="shared" si="3"/>
        <v>1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 xml:space="preserve"> Московская обл. Воскресенск</v>
      </c>
      <c r="Z12" s="186" t="str">
        <f>IF(OR($Y12=$Y10,$Y12=$Y11,$Y12=$Y9,$Y12=$Y8,$Y12=$Y7)," ",IF(Q12=0," ",Q12))</f>
        <v xml:space="preserve"> </v>
      </c>
      <c r="AA12" s="186">
        <f>IF(OR($Y12=$Y10,$Y12=$Y11,$Y12=$Y9,$Y12=$Y8,$Y12=$Y7)," ",IF(R12=0," ",R12))</f>
        <v>1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2" customHeight="1">
      <c r="A13" s="229" t="s">
        <v>80</v>
      </c>
      <c r="B13" s="230">
        <v>7</v>
      </c>
      <c r="C13" s="231" t="s">
        <v>134</v>
      </c>
      <c r="D13" s="232" t="s">
        <v>135</v>
      </c>
      <c r="E13" s="233" t="s">
        <v>131</v>
      </c>
      <c r="F13" s="232" t="s">
        <v>136</v>
      </c>
      <c r="G13" s="234"/>
      <c r="H13" s="235" t="s">
        <v>137</v>
      </c>
      <c r="I13" s="236"/>
      <c r="J13" s="237">
        <v>1</v>
      </c>
      <c r="K13" s="225" t="str">
        <f t="shared" si="10"/>
        <v>МС</v>
      </c>
      <c r="L13" s="225" t="str">
        <f t="shared" si="11"/>
        <v xml:space="preserve"> Московская обл. Королев</v>
      </c>
      <c r="M13" s="238" t="str">
        <f t="array" ref="M13">IFERROR(INDEX(субъект,MATCH(SUM(COUNTIF(M$6:M12,субъект)),COUNTIF(субъект,"&lt;"&amp;субъект),0)),"")</f>
        <v xml:space="preserve"> Московская обл. Королев</v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 xml:space="preserve"> Московская обл. Королев</v>
      </c>
      <c r="Q13" s="187">
        <f t="shared" si="2"/>
        <v>0</v>
      </c>
      <c r="R13" s="187">
        <f t="shared" si="3"/>
        <v>1</v>
      </c>
      <c r="S13" s="240">
        <f t="shared" si="4"/>
        <v>0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 xml:space="preserve"> Московская обл. Королев</v>
      </c>
      <c r="Z13" s="186" t="str">
        <f>IF(OR($Y13=$Y11,$Y13=$Y12,$Y13=$Y10,$Y13=$Y9,$Y13=$Y8,$Y13=$Y7)," ",IF(Q13=0," ",Q13))</f>
        <v xml:space="preserve"> </v>
      </c>
      <c r="AA13" s="186">
        <f>IF(OR($Y13=$Y11,$Y13=$Y12,$Y13=$Y10,$Y13=$Y9,$Y13=$Y8,$Y13=$Y7)," ",IF(R13=0," ",R13))</f>
        <v>1</v>
      </c>
      <c r="AB13" s="186" t="str">
        <f>IF(OR($Y13=$Y11,$Y13=$Y12,$Y13=$Y10,$Y13=$Y9,$Y13=$Y8,$Y13=$Y7)," ",IF(S13=0," ",S13))</f>
        <v xml:space="preserve"> 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2" customHeight="1">
      <c r="A14" s="229" t="s">
        <v>81</v>
      </c>
      <c r="B14" s="230">
        <v>8</v>
      </c>
      <c r="C14" s="231" t="s">
        <v>129</v>
      </c>
      <c r="D14" s="232" t="s">
        <v>130</v>
      </c>
      <c r="E14" s="233" t="s">
        <v>131</v>
      </c>
      <c r="F14" s="232" t="s">
        <v>132</v>
      </c>
      <c r="G14" s="234"/>
      <c r="H14" s="235" t="s">
        <v>133</v>
      </c>
      <c r="I14" s="236"/>
      <c r="J14" s="237">
        <v>1</v>
      </c>
      <c r="K14" s="225" t="str">
        <f t="shared" si="10"/>
        <v>МС</v>
      </c>
      <c r="L14" s="225" t="str">
        <f t="shared" si="11"/>
        <v xml:space="preserve"> Московская обл. Воскресенск</v>
      </c>
      <c r="M14" s="238" t="str">
        <f t="array" ref="M14">IFERROR(INDEX(субъект,MATCH(SUM(COUNTIF(M$6:M13,субъект)),COUNTIF(субъект,"&lt;"&amp;субъект),0)),"")</f>
        <v xml:space="preserve"> Московская обл. Можайск</v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 xml:space="preserve"> Московская обл. Можайск</v>
      </c>
      <c r="Q14" s="187">
        <f t="shared" si="2"/>
        <v>0</v>
      </c>
      <c r="R14" s="187">
        <f t="shared" si="3"/>
        <v>1</v>
      </c>
      <c r="S14" s="240">
        <f t="shared" si="4"/>
        <v>0</v>
      </c>
      <c r="T14" s="191">
        <f t="shared" si="5"/>
        <v>0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 xml:space="preserve"> Московская обл. Можайск</v>
      </c>
      <c r="Z14" s="186" t="str">
        <f>IF(OR($Y14=$Y12,$Y14=$Y13,$Y14=$Y11,$Y14=$Y10,$Y14=$Y9,$Y14=$Y7)," ",IF(Q14=0," ",Q14))</f>
        <v xml:space="preserve"> </v>
      </c>
      <c r="AA14" s="186">
        <f>IF(OR($Y14=$Y12,$Y14=$Y13,$Y14=$Y11,$Y14=$Y10,$Y14=$Y9,$Y14=$Y7)," ",IF(R14=0," ",R14))</f>
        <v>1</v>
      </c>
      <c r="AB14" s="186" t="str">
        <f>IF(OR($Y14=$Y12,$Y14=$Y13,$Y14=$Y11,$Y14=$Y10,$Y14=$Y9,$Y14=$Y7)," ",IF(S14=0," ",S14))</f>
        <v xml:space="preserve"> </v>
      </c>
      <c r="AC14" s="186" t="str">
        <f>IF(OR($Y14=$Y12,$Y14=$Y13,$Y14=$Y11,$Y14=$Y10,$Y14=$Y9,$Y14=$Y7)," ",IF(T14=0," ",T14))</f>
        <v xml:space="preserve"> 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2" customHeight="1">
      <c r="A15" s="229" t="s">
        <v>82</v>
      </c>
      <c r="B15" s="230">
        <v>9</v>
      </c>
      <c r="C15" s="231" t="s">
        <v>104</v>
      </c>
      <c r="D15" s="232" t="s">
        <v>105</v>
      </c>
      <c r="E15" s="233" t="s">
        <v>98</v>
      </c>
      <c r="F15" s="232" t="s">
        <v>99</v>
      </c>
      <c r="G15" s="234"/>
      <c r="H15" s="235" t="s">
        <v>103</v>
      </c>
      <c r="I15" s="236"/>
      <c r="J15" s="237">
        <v>1</v>
      </c>
      <c r="K15" s="225" t="str">
        <f t="shared" si="10"/>
        <v>МС</v>
      </c>
      <c r="L15" s="225" t="str">
        <f t="shared" si="11"/>
        <v xml:space="preserve"> Чувашская Республика - Чувашия Чебоксары</v>
      </c>
      <c r="M15" s="238" t="str">
        <f t="array" ref="M15">IFERROR(INDEX(субъект,MATCH(SUM(COUNTIF(M$6:M14,субъект)),COUNTIF(субъект,"&lt;"&amp;субъект),0)),"")</f>
        <v xml:space="preserve"> Новосибирская обл. Новосибирск</v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 xml:space="preserve"> Новосибирская обл. Новосибирск</v>
      </c>
      <c r="Q15" s="187">
        <f t="shared" si="2"/>
        <v>0</v>
      </c>
      <c r="R15" s="187">
        <f t="shared" si="3"/>
        <v>1</v>
      </c>
      <c r="S15" s="240">
        <f t="shared" si="4"/>
        <v>0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 xml:space="preserve"> Новосибирская обл. Новосибирск</v>
      </c>
      <c r="Z15" s="186" t="str">
        <f>IF(OR($Y15=$Y13,$Y15=$Y14,$Y15=$Y12,$Y15=$Y11,$Y15=$Y10,$Y15=$Y8,$Y15=$Y7)," ",IF(Q15=0," ",Q15))</f>
        <v xml:space="preserve"> </v>
      </c>
      <c r="AA15" s="186">
        <f>IF(OR($Y15=$Y13,$Y15=$Y14,$Y15=$Y12,$Y15=$Y11,$Y15=$Y10,$Y15=$Y8,$Y15=$Y7)," ",IF(R15=0," ",R15))</f>
        <v>1</v>
      </c>
      <c r="AB15" s="186" t="str">
        <f>IF(OR($Y15=$Y13,$Y15=$Y14,$Y15=$Y12,$Y15=$Y11,$Y15=$Y10,$Y15=$Y8,$Y15=$Y7)," ",IF(S15=0," ",S15))</f>
        <v xml:space="preserve"> 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2" customHeight="1">
      <c r="A16" s="229" t="s">
        <v>83</v>
      </c>
      <c r="B16" s="230">
        <v>10</v>
      </c>
      <c r="C16" s="231" t="s">
        <v>101</v>
      </c>
      <c r="D16" s="232" t="s">
        <v>102</v>
      </c>
      <c r="E16" s="233" t="s">
        <v>98</v>
      </c>
      <c r="F16" s="232" t="s">
        <v>99</v>
      </c>
      <c r="G16" s="234"/>
      <c r="H16" s="235" t="s">
        <v>103</v>
      </c>
      <c r="I16" s="236"/>
      <c r="J16" s="237">
        <v>1</v>
      </c>
      <c r="K16" s="225" t="str">
        <f t="shared" si="10"/>
        <v>МС</v>
      </c>
      <c r="L16" s="225" t="str">
        <f t="shared" si="11"/>
        <v xml:space="preserve"> Чувашская Республика - Чувашия Чебоксары</v>
      </c>
      <c r="M16" s="238" t="str">
        <f t="array" ref="M16">IFERROR(INDEX(субъект,MATCH(SUM(COUNTIF(M$6:M15,субъект)),COUNTIF(субъект,"&lt;"&amp;субъект),0)),"")</f>
        <v xml:space="preserve"> Свердловская обл. Ирбит</v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 xml:space="preserve"> Свердловская обл. Ирбит</v>
      </c>
      <c r="Q16" s="187">
        <f t="shared" si="2"/>
        <v>1</v>
      </c>
      <c r="R16" s="187">
        <f t="shared" si="3"/>
        <v>0</v>
      </c>
      <c r="S16" s="240">
        <f t="shared" si="4"/>
        <v>0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 xml:space="preserve"> Свердловская обл. Ирбит</v>
      </c>
      <c r="Z16" s="186">
        <f>IF(OR($Y16=$Y14,$Y16=$Y15,$Y16=$Y13,$Y16=$Y12,$Y16=$Y11,$Y16=$Y9,$Y16=$Y8,$Y16=$Y7)," ",IF(Q16=0," ",Q16))</f>
        <v>1</v>
      </c>
      <c r="AA16" s="186" t="str">
        <f>IF(OR($Y16=$Y14,$Y16=$Y15,$Y16=$Y13,$Y16=$Y12,$Y16=$Y11,$Y16=$Y9,$Y16=$Y8,$Y16=$Y7)," ",IF(R16=0," ",R16))</f>
        <v xml:space="preserve"> </v>
      </c>
      <c r="AB16" s="186" t="str">
        <f>IF(OR($Y16=$Y14,$Y16=$Y15,$Y16=$Y13,$Y16=$Y12,$Y16=$Y11,$Y16=$Y9,$Y16=$Y8,$Y16=$Y7)," ",IF(S16=0," ",S16))</f>
        <v xml:space="preserve"> 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2" customHeight="1">
      <c r="A17" s="229" t="s">
        <v>84</v>
      </c>
      <c r="B17" s="230">
        <v>11</v>
      </c>
      <c r="C17" s="231" t="s">
        <v>151</v>
      </c>
      <c r="D17" s="232" t="s">
        <v>152</v>
      </c>
      <c r="E17" s="233" t="s">
        <v>144</v>
      </c>
      <c r="F17" s="232" t="s">
        <v>153</v>
      </c>
      <c r="G17" s="234"/>
      <c r="H17" s="235" t="s">
        <v>154</v>
      </c>
      <c r="I17" s="236"/>
      <c r="J17" s="237">
        <v>1</v>
      </c>
      <c r="K17" s="225" t="str">
        <f t="shared" si="10"/>
        <v>МС</v>
      </c>
      <c r="L17" s="225" t="str">
        <f t="shared" si="11"/>
        <v xml:space="preserve"> Краснодарский край Сочи</v>
      </c>
      <c r="M17" s="238" t="str">
        <f t="array" ref="M17">IFERROR(INDEX(субъект,MATCH(SUM(COUNTIF(M$6:M16,субъект)),COUNTIF(субъект,"&lt;"&amp;субъект),0)),"")</f>
        <v xml:space="preserve"> Чувашская Республика - Чувашия Чебоксары</v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 xml:space="preserve"> Чувашская Республика - Чувашия Чебоксары</v>
      </c>
      <c r="Q17" s="187">
        <f t="shared" si="2"/>
        <v>0</v>
      </c>
      <c r="R17" s="187">
        <f t="shared" si="3"/>
        <v>3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 xml:space="preserve"> Чувашская Республика - Чувашия Чебоксары</v>
      </c>
      <c r="Z17" s="186" t="str">
        <f>IF(OR($Y17=$Y15,$Y17=$Y16,$Y17=$Y14,$Y17=$Y13,$Y17=$Y12,$Y17=$Y10,$Y17=$Y9,$Y17=$Y8,$Y17=$Y7)," ",IF(Q17=0," ",Q17))</f>
        <v xml:space="preserve"> </v>
      </c>
      <c r="AA17" s="186">
        <f>IF(OR($Y17=$Y15,$Y17=$Y16,$Y17=$Y14,$Y17=$Y13,$Y17=$Y12,$Y17=$Y10,$Y17=$Y9,$Y17=$Y8,$Y17=$Y7)," ",IF(R17=0," ",R17))</f>
        <v>3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2" customHeight="1">
      <c r="A18" s="229" t="s">
        <v>85</v>
      </c>
      <c r="B18" s="230">
        <v>12</v>
      </c>
      <c r="C18" s="231" t="s">
        <v>125</v>
      </c>
      <c r="D18" s="232" t="s">
        <v>126</v>
      </c>
      <c r="E18" s="233" t="s">
        <v>118</v>
      </c>
      <c r="F18" s="232" t="s">
        <v>127</v>
      </c>
      <c r="G18" s="234"/>
      <c r="H18" s="235" t="s">
        <v>128</v>
      </c>
      <c r="I18" s="236"/>
      <c r="J18" s="237">
        <v>1</v>
      </c>
      <c r="K18" s="225" t="str">
        <f t="shared" si="10"/>
        <v>КМС</v>
      </c>
      <c r="L18" s="225" t="str">
        <f t="shared" si="11"/>
        <v xml:space="preserve"> Свердловская обл. Ирбит</v>
      </c>
      <c r="M18" s="238" t="str">
        <f t="array" ref="M18">IFERROR(INDEX(субъект,MATCH(SUM(COUNTIF(M$6:M17,субъект)),COUNTIF(субъект,"&lt;"&amp;субъект),0)),"")</f>
        <v>Свердловская обл. Екатеринбург</v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>Свердловская обл. Екатеринбург</v>
      </c>
      <c r="Q18" s="187">
        <f t="shared" si="2"/>
        <v>0</v>
      </c>
      <c r="R18" s="187">
        <f t="shared" si="3"/>
        <v>1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>Свердловская обл. Екатеринбург</v>
      </c>
      <c r="Z18" s="186" t="str">
        <f>IF(OR($Y18=$Y16,$Y18=$Y17,$Y18=$Y15,$Y18=$Y14,$Y18=$Y13,$Y18=$Y11,$Y18=$Y10,$Y18=$Y9,$Y18=$Y8,$Y18=$Y7)," ",IF(Q18=0," ",Q18))</f>
        <v xml:space="preserve"> </v>
      </c>
      <c r="AA18" s="186">
        <f>IF(OR($Y18=$Y16,$Y18=$Y17,$Y18=$Y15,$Y18=$Y14,$Y18=$Y13,$Y18=$Y11,$Y18=$Y10,$Y18=$Y9,$Y18=$Y8,$Y18=$Y7)," ",IF(R18=0," ",R18))</f>
        <v>1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2" customHeight="1">
      <c r="A19" s="229" t="s">
        <v>86</v>
      </c>
      <c r="B19" s="230">
        <v>13</v>
      </c>
      <c r="C19" s="231" t="s">
        <v>116</v>
      </c>
      <c r="D19" s="232" t="s">
        <v>117</v>
      </c>
      <c r="E19" s="233" t="s">
        <v>118</v>
      </c>
      <c r="F19" s="232" t="s">
        <v>119</v>
      </c>
      <c r="G19" s="234"/>
      <c r="H19" s="235" t="s">
        <v>120</v>
      </c>
      <c r="I19" s="236"/>
      <c r="J19" s="237">
        <v>1</v>
      </c>
      <c r="K19" s="225" t="str">
        <f t="shared" si="10"/>
        <v>МС</v>
      </c>
      <c r="L19" s="225" t="str">
        <f t="shared" si="11"/>
        <v xml:space="preserve"> Курганская обл. Куртамыш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2" customHeight="1">
      <c r="A20" s="229" t="s">
        <v>87</v>
      </c>
      <c r="B20" s="230">
        <v>14</v>
      </c>
      <c r="C20" s="231" t="s">
        <v>147</v>
      </c>
      <c r="D20" s="232" t="s">
        <v>148</v>
      </c>
      <c r="E20" s="233" t="s">
        <v>144</v>
      </c>
      <c r="F20" s="232" t="s">
        <v>149</v>
      </c>
      <c r="G20" s="234"/>
      <c r="H20" s="235" t="s">
        <v>150</v>
      </c>
      <c r="I20" s="236"/>
      <c r="J20" s="237">
        <v>1</v>
      </c>
      <c r="K20" s="225" t="str">
        <f t="shared" si="10"/>
        <v>МСМК</v>
      </c>
      <c r="L20" s="225" t="str">
        <f t="shared" si="11"/>
        <v xml:space="preserve"> Краснодарский край Крымск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2" customHeight="1">
      <c r="A21" s="229" t="s">
        <v>88</v>
      </c>
      <c r="B21" s="230"/>
      <c r="C21" s="231"/>
      <c r="D21" s="232"/>
      <c r="E21" s="233"/>
      <c r="F21" s="232"/>
      <c r="G21" s="234"/>
      <c r="H21" s="235"/>
      <c r="I21" s="236"/>
      <c r="J21" s="237">
        <v>1</v>
      </c>
      <c r="K21" s="225">
        <f t="shared" si="10"/>
        <v>0</v>
      </c>
      <c r="L21" s="225">
        <f t="shared" si="11"/>
        <v>0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2" customHeight="1">
      <c r="A22" s="229" t="s">
        <v>89</v>
      </c>
      <c r="B22" s="230"/>
      <c r="C22" s="231"/>
      <c r="D22" s="232"/>
      <c r="E22" s="233"/>
      <c r="F22" s="232"/>
      <c r="G22" s="234"/>
      <c r="H22" s="235"/>
      <c r="I22" s="236"/>
      <c r="J22" s="237">
        <v>1</v>
      </c>
      <c r="K22" s="225">
        <f t="shared" si="10"/>
        <v>0</v>
      </c>
      <c r="L22" s="225">
        <f t="shared" si="11"/>
        <v>0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 ht="13">
      <c r="A23" s="86" t="s">
        <v>46</v>
      </c>
      <c r="D23" s="224"/>
      <c r="E23" s="224"/>
      <c r="F23" s="224"/>
      <c r="G23" s="224"/>
      <c r="H23" s="224"/>
      <c r="I23" s="4"/>
      <c r="J23" s="299"/>
      <c r="K23" s="300"/>
      <c r="L23" s="301"/>
      <c r="M23" s="221"/>
      <c r="N23" s="221"/>
      <c r="O23" s="4"/>
    </row>
    <row r="24" spans="1:32" ht="13">
      <c r="D24" s="224"/>
      <c r="E24" s="224"/>
      <c r="F24" s="224"/>
      <c r="G24" s="224"/>
      <c r="H24" s="224"/>
      <c r="J24" s="299"/>
      <c r="K24" s="300"/>
      <c r="L24" s="301"/>
      <c r="M24" s="221"/>
      <c r="N24" s="221"/>
      <c r="O24" s="4"/>
    </row>
    <row r="25" spans="1:32" ht="13">
      <c r="A25" s="86" t="s">
        <v>47</v>
      </c>
      <c r="D25" s="224"/>
      <c r="E25" s="224"/>
      <c r="F25" s="224"/>
      <c r="G25" s="224"/>
      <c r="H25" s="224"/>
      <c r="J25" s="299"/>
      <c r="K25" s="300"/>
      <c r="L25" s="301"/>
      <c r="M25" s="221"/>
      <c r="N25" s="221"/>
      <c r="O25" s="4"/>
    </row>
    <row r="26" spans="1:32" ht="13">
      <c r="D26" s="224"/>
      <c r="E26" s="224"/>
      <c r="F26" s="224"/>
      <c r="G26" s="224"/>
      <c r="H26" s="224"/>
      <c r="J26" s="299"/>
      <c r="K26" s="300"/>
      <c r="L26" s="301"/>
      <c r="M26" s="221"/>
      <c r="N26" s="221"/>
      <c r="O26" s="4"/>
    </row>
    <row r="27" spans="1:32" ht="13">
      <c r="A27" s="86" t="s">
        <v>48</v>
      </c>
      <c r="D27" s="224"/>
      <c r="E27" s="224"/>
      <c r="F27" s="224"/>
      <c r="G27" s="224"/>
      <c r="H27" s="224"/>
      <c r="J27" s="299"/>
      <c r="K27" s="300"/>
      <c r="L27" s="301"/>
      <c r="M27" s="221"/>
      <c r="N27" s="221"/>
      <c r="O27" s="4"/>
    </row>
    <row r="28" spans="1:32" ht="13">
      <c r="D28" s="224"/>
      <c r="E28" s="224"/>
      <c r="F28" s="224"/>
      <c r="G28" s="224"/>
      <c r="H28" s="224"/>
      <c r="J28" s="299"/>
      <c r="K28" s="300"/>
      <c r="L28" s="301"/>
      <c r="M28" s="221"/>
      <c r="N28" s="221"/>
      <c r="O28" s="4"/>
    </row>
    <row r="29" spans="1:32" ht="13">
      <c r="A29" s="86" t="s">
        <v>49</v>
      </c>
      <c r="D29" s="224"/>
      <c r="E29" s="224"/>
      <c r="F29" s="224"/>
      <c r="G29" s="224"/>
      <c r="H29" s="224"/>
      <c r="J29" s="299"/>
      <c r="K29" s="300"/>
      <c r="L29" s="301"/>
      <c r="M29" s="221"/>
      <c r="N29" s="221"/>
      <c r="O29" s="4"/>
    </row>
    <row r="30" spans="1:32" ht="13">
      <c r="A30" s="224"/>
      <c r="B30" s="224"/>
      <c r="C30" s="224"/>
      <c r="D30" s="224"/>
      <c r="E30" s="224"/>
      <c r="F30" s="224"/>
      <c r="G30" s="224"/>
      <c r="H30" s="224"/>
      <c r="J30" s="299"/>
      <c r="K30" s="300"/>
      <c r="L30" s="301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0">
    <sortCondition ref="B7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1193800</xdr:colOff>
                    <xdr:row>3</xdr:row>
                    <xdr:rowOff>25400</xdr:rowOff>
                  </from>
                  <to>
                    <xdr:col>5</xdr:col>
                    <xdr:colOff>1327150</xdr:colOff>
                    <xdr:row>4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171450</xdr:colOff>
                    <xdr:row>3</xdr:row>
                    <xdr:rowOff>25400</xdr:rowOff>
                  </from>
                  <to>
                    <xdr:col>1</xdr:col>
                    <xdr:colOff>317500</xdr:colOff>
                    <xdr:row>3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C57"/>
  <sheetViews>
    <sheetView tabSelected="1" workbookViewId="0">
      <selection sqref="A1:U40"/>
    </sheetView>
  </sheetViews>
  <sheetFormatPr defaultRowHeight="12.5"/>
  <cols>
    <col min="1" max="1" width="4.7265625" customWidth="1"/>
    <col min="2" max="2" width="14" customWidth="1"/>
    <col min="3" max="3" width="7.7265625" customWidth="1"/>
    <col min="4" max="4" width="11.26953125" customWidth="1"/>
    <col min="5" max="17" width="4.7265625" customWidth="1"/>
    <col min="18" max="18" width="14" customWidth="1"/>
    <col min="19" max="19" width="7.7265625" customWidth="1"/>
    <col min="20" max="20" width="11.26953125" customWidth="1"/>
    <col min="21" max="21" width="4.7265625" customWidth="1"/>
    <col min="25" max="26" width="3.1796875" customWidth="1"/>
    <col min="27" max="27" width="3.81640625" customWidth="1"/>
  </cols>
  <sheetData>
    <row r="1" spans="1:29" ht="24" customHeight="1">
      <c r="A1" s="306" t="s">
        <v>22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07" t="s">
        <v>23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32" t="str">
        <f>пр.взв!B2</f>
        <v>Кубок России по самбо среди женщин(ЕКП№1801).</v>
      </c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4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35" t="str">
        <f>пр.взв!A3</f>
        <v>21-25 ноября 2022 года                          г.Кстово, Нижегородская обл.</v>
      </c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17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36" t="str">
        <f>пр.взв!D4</f>
        <v>В.к. 50 кг.</v>
      </c>
      <c r="K5" s="337"/>
      <c r="L5" s="338"/>
      <c r="M5" s="339" t="str">
        <f>Y5&amp;" "&amp;Z5</f>
        <v>14 участников</v>
      </c>
      <c r="N5" s="340"/>
      <c r="O5" s="341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14</v>
      </c>
      <c r="Z5" s="266" t="s">
        <v>91</v>
      </c>
      <c r="AA5" s="112"/>
      <c r="AB5" s="112"/>
    </row>
    <row r="6" spans="1:29" ht="16.5" customHeight="1" thickBot="1">
      <c r="A6" s="324" t="s">
        <v>0</v>
      </c>
      <c r="B6" s="324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08">
        <v>1</v>
      </c>
      <c r="B7" s="310" t="str">
        <f>IFERROR(VLOOKUP(A7,пр.взв!$B$7:$H$22,2,0),"")</f>
        <v>САРГСЯН Анна Андраниковна</v>
      </c>
      <c r="C7" s="312" t="str">
        <f>IFERROR(VLOOKUP(A7,пр.взв!$B$7:$H$22,3,0),"")</f>
        <v>14.05.2002, КМС</v>
      </c>
      <c r="D7" s="312" t="str">
        <f>IFERROR(VLOOKUP(A7,пр.взв!$B$7:$H$22,5,0),"")</f>
        <v xml:space="preserve"> Краснодарский край Армавир</v>
      </c>
      <c r="E7" s="124"/>
      <c r="F7" s="243"/>
      <c r="G7" s="243"/>
      <c r="H7" s="243"/>
      <c r="I7" s="125" t="s">
        <v>25</v>
      </c>
      <c r="J7" s="243"/>
      <c r="K7" s="243"/>
      <c r="L7" s="243"/>
      <c r="M7" s="126"/>
      <c r="N7" s="126"/>
      <c r="O7" s="126"/>
      <c r="P7" s="126"/>
      <c r="Q7" s="127"/>
      <c r="R7" s="312" t="str">
        <f>IFERROR(VLOOKUP(U7,пр.взв!$B$7:$H$22,2,0),"")</f>
        <v>КОБЕЛЕВА Оксана Вячеславовна</v>
      </c>
      <c r="S7" s="323" t="str">
        <f>IFERROR(VLOOKUP(U7,пр.взв!$B$7:$H$22,3,0),"")</f>
        <v>20.09.2001, МС</v>
      </c>
      <c r="T7" s="323" t="str">
        <f>IFERROR(VLOOKUP(U7,пр.взв!$B$7:$H$22,5,0),"")</f>
        <v>Свердловская обл. Екатеринбург</v>
      </c>
      <c r="U7" s="303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09"/>
      <c r="B8" s="311"/>
      <c r="C8" s="313"/>
      <c r="D8" s="313"/>
      <c r="E8" s="128"/>
      <c r="F8" s="126"/>
      <c r="G8" s="126"/>
      <c r="H8" s="129"/>
      <c r="I8" s="325" t="str">
        <f>IFERROR(VLOOKUP(H8,пр.взв!$B$7:$I$22,2,0),"")</f>
        <v/>
      </c>
      <c r="J8" s="326"/>
      <c r="K8" s="326"/>
      <c r="L8" s="326"/>
      <c r="M8" s="327"/>
      <c r="N8" s="126"/>
      <c r="O8" s="126"/>
      <c r="P8" s="126"/>
      <c r="Q8" s="128"/>
      <c r="R8" s="313"/>
      <c r="S8" s="319"/>
      <c r="T8" s="319"/>
      <c r="U8" s="304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09">
        <v>9</v>
      </c>
      <c r="B9" s="317" t="str">
        <f>IFERROR(VLOOKUP(A9,пр.взв!$B$7:$H$22,2,0),"")</f>
        <v>ФЕДОРОВА Татьяна Владимировна</v>
      </c>
      <c r="C9" s="317" t="str">
        <f>IFERROR(VLOOKUP(A9,пр.взв!$B$7:$H$22,3,0),"")</f>
        <v>25.11.2001, МС</v>
      </c>
      <c r="D9" s="319" t="str">
        <f>IFERROR(VLOOKUP(A9,пр.взв!$B$7:$H$22,5,0),"")</f>
        <v xml:space="preserve"> Чувашская Республика - Чувашия Чебоксары</v>
      </c>
      <c r="E9" s="130"/>
      <c r="F9" s="246"/>
      <c r="G9" s="126"/>
      <c r="H9" s="243"/>
      <c r="I9" s="328"/>
      <c r="J9" s="329"/>
      <c r="K9" s="329"/>
      <c r="L9" s="329"/>
      <c r="M9" s="330"/>
      <c r="N9" s="126"/>
      <c r="O9" s="126"/>
      <c r="P9" s="131"/>
      <c r="Q9" s="130"/>
      <c r="R9" s="317" t="str">
        <f>IFERROR(VLOOKUP(U9,пр.взв!$B$7:$H$22,2,0),"")</f>
        <v>ЕМЕЛЮКОВА Софья Константиновна</v>
      </c>
      <c r="S9" s="317" t="str">
        <f>IFERROR(VLOOKUP(U9,пр.взв!$B$7:$H$22,3,0),"")</f>
        <v>09.03.2003, МС</v>
      </c>
      <c r="T9" s="317" t="str">
        <f>IFERROR(VLOOKUP(U9,пр.взв!$B$7:$H$22,5,0),"")</f>
        <v xml:space="preserve"> Чувашская Республика - Чувашия Чебоксары</v>
      </c>
      <c r="U9" s="304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16"/>
      <c r="B10" s="318"/>
      <c r="C10" s="318"/>
      <c r="D10" s="313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18"/>
      <c r="S10" s="318"/>
      <c r="T10" s="318"/>
      <c r="U10" s="305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08">
        <v>5</v>
      </c>
      <c r="B11" s="310" t="str">
        <f>IFERROR(VLOOKUP(A11,пр.взв!$B$7:$H$22,2,0),"")</f>
        <v>ДИКАЯ Валентина Александровна</v>
      </c>
      <c r="C11" s="312" t="str">
        <f>IFERROR(VLOOKUP(A11,пр.взв!$B$7:$H$22,3,0),"")</f>
        <v>22.08.1999, МС</v>
      </c>
      <c r="D11" s="312" t="str">
        <f>IFERROR(VLOOKUP(A11,пр.взв!$B$7:$H$22,5,0),"")</f>
        <v xml:space="preserve"> г. Санкт-Петербург Санкт-Петербург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23" t="str">
        <f>IFERROR(VLOOKUP(U11,пр.взв!$B$7:$H$22,2,0),"")</f>
        <v>КАШТАНОВА Галина Григорьевна</v>
      </c>
      <c r="S11" s="323" t="str">
        <f>IFERROR(VLOOKUP(U11,пр.взв!$B$7:$H$22,3,0),"")</f>
        <v>23.09.2002, МС</v>
      </c>
      <c r="T11" s="323" t="str">
        <f>IFERROR(VLOOKUP(U11,пр.взв!$B$7:$H$22,5,0),"")</f>
        <v xml:space="preserve"> Московская обл. Можайск</v>
      </c>
      <c r="U11" s="314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09"/>
      <c r="B12" s="311"/>
      <c r="C12" s="313"/>
      <c r="D12" s="313"/>
      <c r="E12" s="128"/>
      <c r="F12" s="249"/>
      <c r="G12" s="126"/>
      <c r="H12" s="135"/>
      <c r="I12" s="243"/>
      <c r="J12" s="369" t="s">
        <v>19</v>
      </c>
      <c r="K12" s="369"/>
      <c r="L12" s="369"/>
      <c r="M12" s="126"/>
      <c r="N12" s="133"/>
      <c r="O12" s="126"/>
      <c r="P12" s="241"/>
      <c r="Q12" s="128"/>
      <c r="R12" s="319"/>
      <c r="S12" s="319"/>
      <c r="T12" s="319"/>
      <c r="U12" s="304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09">
        <v>13</v>
      </c>
      <c r="B13" s="317" t="str">
        <f>IFERROR(VLOOKUP(A13,пр.взв!$B$7:$H$22,2,0),"")</f>
        <v>НЕФЁДОВА Екатерина Дмитриевна</v>
      </c>
      <c r="C13" s="317" t="str">
        <f>IFERROR(VLOOKUP(A13,пр.взв!$B$7:$H$22,3,0),"")</f>
        <v>06.01.1999, МС</v>
      </c>
      <c r="D13" s="319" t="str">
        <f>IFERROR(VLOOKUP(A13,пр.взв!$B$7:$H$22,5,0),"")</f>
        <v xml:space="preserve"> Курганская обл. Куртамыш</v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17" t="str">
        <f>IFERROR(VLOOKUP(U13,пр.взв!$B$7:$H$22,2,0),"")</f>
        <v>ГОРЕЛИКОВА Анна Вадимовна</v>
      </c>
      <c r="S13" s="317" t="str">
        <f>IFERROR(VLOOKUP(U13,пр.взв!$B$7:$H$22,3,0),"")</f>
        <v>03.06.1992, МСМК</v>
      </c>
      <c r="T13" s="317" t="str">
        <f>IFERROR(VLOOKUP(U13,пр.взв!$B$7:$H$22,5,0),"")</f>
        <v xml:space="preserve"> Краснодарский край Крымск</v>
      </c>
      <c r="U13" s="304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16"/>
      <c r="B14" s="318"/>
      <c r="C14" s="318"/>
      <c r="D14" s="313"/>
      <c r="E14" s="132"/>
      <c r="F14" s="331"/>
      <c r="G14" s="331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18"/>
      <c r="S14" s="318"/>
      <c r="T14" s="318"/>
      <c r="U14" s="315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08">
        <v>3</v>
      </c>
      <c r="B15" s="310" t="str">
        <f>IFERROR(VLOOKUP(A15,пр.взв!$B$7:$H$22,2,0),"")</f>
        <v>ЕГОРОВА Елизавета Евгеньевна</v>
      </c>
      <c r="C15" s="312" t="str">
        <f>IFERROR(VLOOKUP(A15,пр.взв!$B$7:$H$22,3,0),"")</f>
        <v>15.02.2002, МС</v>
      </c>
      <c r="D15" s="312" t="str">
        <f>IFERROR(VLOOKUP(A15,пр.взв!$B$7:$H$22,5,0),"")</f>
        <v xml:space="preserve"> Чувашская Республика - Чувашия Чебоксары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23" t="str">
        <f>IFERROR(VLOOKUP(U15,пр.взв!$B$7:$H$22,2,0),"")</f>
        <v>БЛИНОВА Ксения Сергеевна</v>
      </c>
      <c r="S15" s="323" t="str">
        <f>IFERROR(VLOOKUP(U15,пр.взв!$B$7:$H$22,3,0),"")</f>
        <v>08.09.1999, МС</v>
      </c>
      <c r="T15" s="323" t="str">
        <f>IFERROR(VLOOKUP(U15,пр.взв!$B$7:$H$22,5,0),"")</f>
        <v xml:space="preserve"> Новосибирская обл. Новосибирск, Новосибирская область</v>
      </c>
      <c r="U15" s="303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09"/>
      <c r="B16" s="311"/>
      <c r="C16" s="313"/>
      <c r="D16" s="313"/>
      <c r="E16" s="128"/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/>
      <c r="R16" s="319"/>
      <c r="S16" s="319"/>
      <c r="T16" s="319"/>
      <c r="U16" s="304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09">
        <v>11</v>
      </c>
      <c r="B17" s="317" t="str">
        <f>IFERROR(VLOOKUP(A17,пр.взв!$B$7:$H$22,2,0),"")</f>
        <v>КАРЕКЯН Кристина Хачиковна</v>
      </c>
      <c r="C17" s="317" t="str">
        <f>IFERROR(VLOOKUP(A17,пр.взв!$B$7:$H$22,3,0),"")</f>
        <v>23.01.1995, МС</v>
      </c>
      <c r="D17" s="319" t="str">
        <f>IFERROR(VLOOKUP(A17,пр.взв!$B$7:$H$22,5,0),"")</f>
        <v xml:space="preserve"> Краснодарский край Сочи</v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17" t="str">
        <f>IFERROR(VLOOKUP(U17,пр.взв!$B$7:$H$22,2,0),"")</f>
        <v>КАЙГОРОДОВА София Витальевна</v>
      </c>
      <c r="S17" s="317" t="str">
        <f>IFERROR(VLOOKUP(U17,пр.взв!$B$7:$H$22,3,0),"")</f>
        <v>21.03.2003, КМС</v>
      </c>
      <c r="T17" s="317" t="str">
        <f>IFERROR(VLOOKUP(U17,пр.взв!$B$7:$H$22,5,0),"")</f>
        <v xml:space="preserve"> Свердловская обл. Ирбит</v>
      </c>
      <c r="U17" s="304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16"/>
      <c r="B18" s="318"/>
      <c r="C18" s="318"/>
      <c r="D18" s="313"/>
      <c r="E18" s="132"/>
      <c r="F18" s="247"/>
      <c r="G18" s="128"/>
      <c r="H18" s="138"/>
      <c r="I18" s="125" t="s">
        <v>26</v>
      </c>
      <c r="J18" s="243"/>
      <c r="K18" s="243"/>
      <c r="L18" s="243"/>
      <c r="M18" s="126"/>
      <c r="N18" s="241"/>
      <c r="O18" s="128"/>
      <c r="P18" s="133"/>
      <c r="Q18" s="127"/>
      <c r="R18" s="318"/>
      <c r="S18" s="318"/>
      <c r="T18" s="318"/>
      <c r="U18" s="305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08">
        <v>7</v>
      </c>
      <c r="B19" s="310" t="str">
        <f>IFERROR(VLOOKUP(A19,пр.взв!$B$7:$H$22,2,0),"")</f>
        <v>БАРАНОВА Виктория Игоревна</v>
      </c>
      <c r="C19" s="312" t="str">
        <f>IFERROR(VLOOKUP(A19,пр.взв!$B$7:$H$22,3,0),"")</f>
        <v>01.05.2002, МС</v>
      </c>
      <c r="D19" s="312" t="str">
        <f>IFERROR(VLOOKUP(A19,пр.взв!$B$7:$H$22,5,0),"")</f>
        <v xml:space="preserve"> Московская обл. Королев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23" t="str">
        <f>IFERROR(VLOOKUP(U19,пр.взв!$B$7:$H$22,2,0),"")</f>
        <v>МИХАЛЕВА Елена Павловна</v>
      </c>
      <c r="S19" s="323" t="str">
        <f>IFERROR(VLOOKUP(U19,пр.взв!$B$7:$H$22,3,0),"")</f>
        <v>13.06.1995, МС</v>
      </c>
      <c r="T19" s="323" t="str">
        <f>IFERROR(VLOOKUP(U19,пр.взв!$B$7:$H$22,5,0),"")</f>
        <v xml:space="preserve"> Московская обл. Воскресенск</v>
      </c>
      <c r="U19" s="321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09"/>
      <c r="B20" s="311"/>
      <c r="C20" s="313"/>
      <c r="D20" s="313"/>
      <c r="E20" s="128">
        <v>7</v>
      </c>
      <c r="F20" s="140"/>
      <c r="G20" s="132"/>
      <c r="H20" s="129" t="str">
        <f>AA29</f>
        <v/>
      </c>
      <c r="I20" s="377" t="str">
        <f>IFERROR(VLOOKUP(H20,пр.взв!$B$7:$I$22,2,0),"")</f>
        <v/>
      </c>
      <c r="J20" s="378"/>
      <c r="K20" s="378"/>
      <c r="L20" s="378"/>
      <c r="M20" s="379"/>
      <c r="N20" s="126"/>
      <c r="O20" s="126"/>
      <c r="P20" s="141"/>
      <c r="Q20" s="128">
        <v>8</v>
      </c>
      <c r="R20" s="319"/>
      <c r="S20" s="319"/>
      <c r="T20" s="319"/>
      <c r="U20" s="314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09">
        <v>15</v>
      </c>
      <c r="B21" s="317" t="str">
        <f>IFERROR(VLOOKUP(A21,пр.взв!$B$7:$H$22,2,0),"")</f>
        <v/>
      </c>
      <c r="C21" s="317" t="str">
        <f>IFERROR(VLOOKUP(A21,пр.взв!$B$7:$H$22,3,0),"")</f>
        <v/>
      </c>
      <c r="D21" s="319" t="str">
        <f>IFERROR(VLOOKUP(A21,пр.взв!$B$7:$H$22,5,0),"")</f>
        <v/>
      </c>
      <c r="E21" s="130"/>
      <c r="F21" s="132"/>
      <c r="G21" s="132"/>
      <c r="H21" s="244"/>
      <c r="I21" s="380"/>
      <c r="J21" s="381"/>
      <c r="K21" s="381"/>
      <c r="L21" s="381"/>
      <c r="M21" s="382"/>
      <c r="N21" s="126"/>
      <c r="O21" s="126"/>
      <c r="P21" s="126"/>
      <c r="Q21" s="130"/>
      <c r="R21" s="317" t="str">
        <f>IFERROR(VLOOKUP(U21,пр.взв!$B$7:$H$22,2,0),"")</f>
        <v/>
      </c>
      <c r="S21" s="317" t="str">
        <f>IFERROR(VLOOKUP(U21,пр.взв!$B$7:$H$22,3,0),"")</f>
        <v/>
      </c>
      <c r="T21" s="317" t="str">
        <f>IFERROR(VLOOKUP(U21,пр.взв!$B$7:$H$22,5,0),"")</f>
        <v/>
      </c>
      <c r="U21" s="315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16"/>
      <c r="B22" s="318"/>
      <c r="C22" s="318"/>
      <c r="D22" s="320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18"/>
      <c r="S22" s="318"/>
      <c r="T22" s="318"/>
      <c r="U22" s="322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70" t="s">
        <v>24</v>
      </c>
      <c r="I23" s="370"/>
      <c r="J23" s="370"/>
      <c r="K23" s="370"/>
      <c r="L23" s="370"/>
      <c r="M23" s="370"/>
      <c r="N23" s="370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80" t="s">
        <v>67</v>
      </c>
      <c r="AB24" s="112"/>
    </row>
    <row r="25" spans="1:29" ht="12.75" customHeight="1">
      <c r="A25" s="148" t="str">
        <f>Y29</f>
        <v xml:space="preserve"> </v>
      </c>
      <c r="B25" s="349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43" t="str">
        <f>IFERROR(VLOOKUP(I25,пр.взв!$B$7:$H$22,2,0),"")</f>
        <v/>
      </c>
      <c r="K25" s="354"/>
      <c r="L25" s="355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51"/>
      <c r="C26" s="150"/>
      <c r="D26" s="151"/>
      <c r="E26" s="152"/>
      <c r="F26" s="152"/>
      <c r="G26" s="152"/>
      <c r="H26" s="152"/>
      <c r="I26" s="153"/>
      <c r="J26" s="356"/>
      <c r="K26" s="357"/>
      <c r="L26" s="358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52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71" t="str">
        <f>IFERROR(VLOOKUP(I27,пр.взв!$B$7:$H$22,2,0),"")</f>
        <v/>
      </c>
      <c r="K27" s="372"/>
      <c r="L27" s="373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53"/>
      <c r="C28" s="159"/>
      <c r="D28" s="151"/>
      <c r="E28" s="125"/>
      <c r="F28" s="125"/>
      <c r="G28" s="157"/>
      <c r="H28" s="157"/>
      <c r="I28" s="158"/>
      <c r="J28" s="374"/>
      <c r="K28" s="375"/>
      <c r="L28" s="376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65"/>
      <c r="O29" s="366"/>
      <c r="P29" s="366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42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42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2</v>
      </c>
      <c r="AA30" s="117"/>
      <c r="AB30" s="112"/>
    </row>
    <row r="31" spans="1:29" ht="13.5" thickBot="1">
      <c r="A31" s="166" t="str">
        <f>Y31</f>
        <v xml:space="preserve"> </v>
      </c>
      <c r="B31" s="349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43" t="str">
        <f>IFERROR(VLOOKUP(I31,пр.взв!$B$7:$H$22,2,0),"")</f>
        <v/>
      </c>
      <c r="K31" s="354"/>
      <c r="L31" s="355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3</v>
      </c>
      <c r="AA31" s="117"/>
      <c r="AB31" s="112"/>
    </row>
    <row r="32" spans="1:29" ht="13.5" customHeight="1">
      <c r="A32" s="166"/>
      <c r="B32" s="351"/>
      <c r="C32" s="171"/>
      <c r="D32" s="168"/>
      <c r="E32" s="242"/>
      <c r="F32" s="359" t="str">
        <f>IFERROR(VLOOKUP(E32,пр.взв!$B$7:$H$22,2,0),"")</f>
        <v/>
      </c>
      <c r="G32" s="360"/>
      <c r="H32" s="361"/>
      <c r="I32" s="172"/>
      <c r="J32" s="356"/>
      <c r="K32" s="357"/>
      <c r="L32" s="358"/>
      <c r="M32" s="171"/>
      <c r="N32" s="173"/>
      <c r="O32" s="173"/>
      <c r="P32" s="170"/>
      <c r="Q32" s="242"/>
      <c r="R32" s="367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4</v>
      </c>
      <c r="AA32" s="117"/>
      <c r="AB32" s="112"/>
    </row>
    <row r="33" spans="1:28" ht="13.5" customHeight="1" thickBot="1">
      <c r="A33" s="166" t="str">
        <f>Y27</f>
        <v xml:space="preserve"> </v>
      </c>
      <c r="B33" s="352" t="str">
        <f>IFERROR(VLOOKUP(A33,пр.взв!$B$7:$H$22,2,0),"")</f>
        <v/>
      </c>
      <c r="C33" s="164"/>
      <c r="D33" s="168"/>
      <c r="E33" s="174"/>
      <c r="F33" s="362"/>
      <c r="G33" s="363"/>
      <c r="H33" s="364"/>
      <c r="I33" s="175" t="str">
        <f>Y28</f>
        <v xml:space="preserve"> </v>
      </c>
      <c r="J33" s="371" t="str">
        <f>IFERROR(VLOOKUP(I33,пр.взв!$B$7:$H$22,2,0),"")</f>
        <v/>
      </c>
      <c r="K33" s="372"/>
      <c r="L33" s="373"/>
      <c r="M33" s="176"/>
      <c r="N33" s="173"/>
      <c r="O33" s="173"/>
      <c r="P33" s="170"/>
      <c r="Q33" s="164"/>
      <c r="R33" s="368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53"/>
      <c r="C34" s="151"/>
      <c r="D34" s="168"/>
      <c r="E34" s="125"/>
      <c r="F34" s="125"/>
      <c r="G34" s="125"/>
      <c r="H34" s="125"/>
      <c r="I34" s="175"/>
      <c r="J34" s="374"/>
      <c r="K34" s="375"/>
      <c r="L34" s="376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 ht="13">
      <c r="A35" s="121"/>
      <c r="B35" s="151"/>
      <c r="C35" s="169" t="str">
        <f>Y34</f>
        <v/>
      </c>
      <c r="D35" s="349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43" t="str">
        <f>IFERROR(VLOOKUP(M35,пр.взв!$B$7:$H$22,2,0),"")</f>
        <v/>
      </c>
      <c r="O35" s="344"/>
      <c r="P35" s="345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" thickBot="1">
      <c r="A36" s="110"/>
      <c r="B36" s="151"/>
      <c r="C36" s="181"/>
      <c r="D36" s="350"/>
      <c r="E36" s="125"/>
      <c r="F36" s="125"/>
      <c r="G36" s="125"/>
      <c r="H36" s="125"/>
      <c r="I36" s="125"/>
      <c r="J36" s="157"/>
      <c r="K36" s="125"/>
      <c r="L36" s="125"/>
      <c r="M36" s="125"/>
      <c r="N36" s="346"/>
      <c r="O36" s="347"/>
      <c r="P36" s="348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5.5">
      <c r="A38" s="342" t="str">
        <f>[1]реквизиты!$A$6</f>
        <v>Гл. судья, судья ВК</v>
      </c>
      <c r="B38" s="342"/>
      <c r="C38" s="342"/>
      <c r="D38" s="110"/>
      <c r="E38" s="257"/>
      <c r="F38" s="257"/>
      <c r="G38" s="258"/>
      <c r="H38" s="110"/>
      <c r="I38" s="110"/>
      <c r="J38" s="259" t="str">
        <f>[1]реквизиты!$G$6</f>
        <v>Болотский Р.М.</v>
      </c>
      <c r="K38" s="86"/>
      <c r="L38" s="4"/>
      <c r="M38" s="4"/>
      <c r="N38" s="260" t="str">
        <f>[1]реквизиты!$G$7</f>
        <v>/г.Москва/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 ht="13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5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Зарипов А.А.</v>
      </c>
      <c r="K40" s="86"/>
      <c r="L40" s="212"/>
      <c r="M40" s="212"/>
      <c r="N40" s="302" t="str">
        <f>[1]реквизиты!$G$9</f>
        <v>/г. Казань/</v>
      </c>
      <c r="O40" s="302"/>
      <c r="P40" s="302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.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.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.5">
      <c r="B44" s="50" t="s">
        <v>90</v>
      </c>
      <c r="C44" s="49"/>
      <c r="D44" s="63"/>
      <c r="E44" s="63"/>
      <c r="F44" s="63"/>
      <c r="G44" s="86"/>
      <c r="H44" s="86"/>
      <c r="M44" s="265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A3" sqref="A3:T3"/>
    </sheetView>
  </sheetViews>
  <sheetFormatPr defaultRowHeight="12.5"/>
  <cols>
    <col min="1" max="2" width="4.1796875" customWidth="1"/>
    <col min="3" max="3" width="22.7265625" customWidth="1"/>
    <col min="5" max="5" width="8.26953125" customWidth="1"/>
    <col min="6" max="6" width="10.1796875" customWidth="1"/>
    <col min="7" max="7" width="21.26953125" customWidth="1"/>
    <col min="8" max="8" width="5.54296875" customWidth="1"/>
    <col min="9" max="9" width="5.81640625" customWidth="1"/>
    <col min="10" max="10" width="7.81640625" customWidth="1"/>
    <col min="11" max="11" width="4.453125" customWidth="1"/>
    <col min="12" max="12" width="4.54296875" customWidth="1"/>
    <col min="13" max="13" width="22.7265625" customWidth="1"/>
    <col min="15" max="15" width="7.7265625" customWidth="1"/>
    <col min="16" max="16" width="11" customWidth="1"/>
    <col min="17" max="17" width="20" customWidth="1"/>
    <col min="18" max="18" width="5" customWidth="1"/>
    <col min="19" max="19" width="5.453125" customWidth="1"/>
  </cols>
  <sheetData>
    <row r="1" spans="1:20" ht="15.75" customHeight="1">
      <c r="B1" s="448" t="s">
        <v>37</v>
      </c>
      <c r="C1" s="448"/>
      <c r="D1" s="448"/>
      <c r="E1" s="448"/>
      <c r="F1" s="448"/>
      <c r="G1" s="448"/>
      <c r="H1" s="448"/>
      <c r="I1" s="448"/>
      <c r="J1" s="448"/>
      <c r="L1" s="448" t="s">
        <v>37</v>
      </c>
      <c r="M1" s="448"/>
      <c r="N1" s="448"/>
      <c r="O1" s="448"/>
      <c r="P1" s="448"/>
      <c r="Q1" s="448"/>
      <c r="R1" s="448"/>
      <c r="S1" s="448"/>
      <c r="T1" s="448"/>
    </row>
    <row r="2" spans="1:20" ht="15.75" customHeight="1">
      <c r="B2" s="449" t="str">
        <f>пр.взв!D4</f>
        <v>В.к. 50 кг.</v>
      </c>
      <c r="C2" s="450"/>
      <c r="D2" s="450"/>
      <c r="E2" s="450"/>
      <c r="F2" s="450"/>
      <c r="G2" s="450"/>
      <c r="H2" s="450"/>
      <c r="I2" s="450"/>
      <c r="J2" s="450"/>
      <c r="L2" s="449" t="str">
        <f>B2</f>
        <v>В.к. 50 кг.</v>
      </c>
      <c r="M2" s="450"/>
      <c r="N2" s="450"/>
      <c r="O2" s="450"/>
      <c r="P2" s="450"/>
      <c r="Q2" s="450"/>
      <c r="R2" s="450"/>
      <c r="S2" s="450"/>
      <c r="T2" s="450"/>
    </row>
    <row r="3" spans="1:20">
      <c r="B3">
        <v>0</v>
      </c>
      <c r="C3" s="5" t="s">
        <v>92</v>
      </c>
      <c r="L3">
        <f>B3</f>
        <v>0</v>
      </c>
      <c r="M3" s="5" t="s">
        <v>92</v>
      </c>
    </row>
    <row r="4" spans="1:20" ht="16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13" t="s">
        <v>39</v>
      </c>
      <c r="B5" s="451" t="s">
        <v>4</v>
      </c>
      <c r="C5" s="417" t="s">
        <v>5</v>
      </c>
      <c r="D5" s="421" t="s">
        <v>12</v>
      </c>
      <c r="E5" s="389" t="s">
        <v>13</v>
      </c>
      <c r="F5" s="390"/>
      <c r="G5" s="417" t="s">
        <v>14</v>
      </c>
      <c r="H5" s="436" t="s">
        <v>40</v>
      </c>
      <c r="I5" s="408" t="s">
        <v>15</v>
      </c>
      <c r="J5" s="410" t="s">
        <v>16</v>
      </c>
      <c r="K5" s="413" t="s">
        <v>39</v>
      </c>
      <c r="L5" s="451" t="s">
        <v>4</v>
      </c>
      <c r="M5" s="417" t="s">
        <v>5</v>
      </c>
      <c r="N5" s="421" t="s">
        <v>12</v>
      </c>
      <c r="O5" s="389" t="s">
        <v>13</v>
      </c>
      <c r="P5" s="390"/>
      <c r="Q5" s="417" t="s">
        <v>14</v>
      </c>
      <c r="R5" s="436" t="s">
        <v>40</v>
      </c>
      <c r="S5" s="408" t="s">
        <v>15</v>
      </c>
      <c r="T5" s="410" t="s">
        <v>16</v>
      </c>
    </row>
    <row r="6" spans="1:20" ht="13.5" customHeight="1" thickBot="1">
      <c r="A6" s="414"/>
      <c r="B6" s="452" t="s">
        <v>33</v>
      </c>
      <c r="C6" s="418"/>
      <c r="D6" s="422"/>
      <c r="E6" s="391"/>
      <c r="F6" s="392"/>
      <c r="G6" s="418"/>
      <c r="H6" s="437"/>
      <c r="I6" s="409"/>
      <c r="J6" s="411" t="s">
        <v>34</v>
      </c>
      <c r="K6" s="414"/>
      <c r="L6" s="452" t="s">
        <v>33</v>
      </c>
      <c r="M6" s="418"/>
      <c r="N6" s="422"/>
      <c r="O6" s="391"/>
      <c r="P6" s="392"/>
      <c r="Q6" s="418"/>
      <c r="R6" s="437"/>
      <c r="S6" s="409"/>
      <c r="T6" s="411" t="s">
        <v>34</v>
      </c>
    </row>
    <row r="7" spans="1:20" ht="12.75" customHeight="1">
      <c r="A7" s="423">
        <v>1</v>
      </c>
      <c r="B7" s="453">
        <v>1</v>
      </c>
      <c r="C7" s="398" t="str">
        <f>VLOOKUP(B7,пр.взв!B$7:E$22,2,FALSE)</f>
        <v>САРГСЯН Анна Андраниковна</v>
      </c>
      <c r="D7" s="383" t="str">
        <f>VLOOKUP(B7,пр.взв!B$7:E$22,3,FALSE)</f>
        <v>14.05.2002, КМС</v>
      </c>
      <c r="E7" s="384" t="str">
        <f>VLOOKUP(B7,пр.взв!B$7:E$22,4,FALSE)</f>
        <v>ЮФО</v>
      </c>
      <c r="F7" s="384" t="str">
        <f>VLOOKUP(B7,пр.взв!B$7:F$22,5,FALSE)</f>
        <v xml:space="preserve"> Краснодарский край Армавир</v>
      </c>
      <c r="G7" s="443"/>
      <c r="H7" s="444"/>
      <c r="I7" s="440"/>
      <c r="J7" s="441"/>
      <c r="K7" s="423">
        <v>5</v>
      </c>
      <c r="L7" s="453">
        <v>2</v>
      </c>
      <c r="M7" s="455" t="str">
        <f>VLOOKUP(L7,пр.взв!B$7:F$22,2,FALSE)</f>
        <v>КОБЕЛЕВА Оксана Вячеславовна</v>
      </c>
      <c r="N7" s="384" t="str">
        <f>VLOOKUP(L7,пр.взв!B$7:F$22,3,FALSE)</f>
        <v>20.09.2001, МС</v>
      </c>
      <c r="O7" s="384" t="str">
        <f>VLOOKUP(L7,пр.взв!B$7:F$22,4,FALSE)</f>
        <v>УФО</v>
      </c>
      <c r="P7" s="384" t="str">
        <f>VLOOKUP(L7,пр.взв!B$7:F$22,5,FALSE)</f>
        <v>Свердловская обл. Екатеринбург</v>
      </c>
      <c r="Q7" s="443"/>
      <c r="R7" s="444"/>
      <c r="S7" s="440"/>
      <c r="T7" s="441"/>
    </row>
    <row r="8" spans="1:20" ht="12.75" customHeight="1">
      <c r="A8" s="424"/>
      <c r="B8" s="427"/>
      <c r="C8" s="454"/>
      <c r="D8" s="384"/>
      <c r="E8" s="429"/>
      <c r="F8" s="429"/>
      <c r="G8" s="429"/>
      <c r="H8" s="429"/>
      <c r="I8" s="431"/>
      <c r="J8" s="283"/>
      <c r="K8" s="424"/>
      <c r="L8" s="427"/>
      <c r="M8" s="456"/>
      <c r="N8" s="429"/>
      <c r="O8" s="429"/>
      <c r="P8" s="429"/>
      <c r="Q8" s="429"/>
      <c r="R8" s="429"/>
      <c r="S8" s="431"/>
      <c r="T8" s="283"/>
    </row>
    <row r="9" spans="1:20" ht="12.75" customHeight="1">
      <c r="A9" s="424"/>
      <c r="B9" s="427">
        <v>9</v>
      </c>
      <c r="C9" s="405" t="str">
        <f>VLOOKUP(B9,пр.взв!B$7:E$22,2,FALSE)</f>
        <v>ФЕДОРОВА Татьяна Владимировна</v>
      </c>
      <c r="D9" s="393" t="str">
        <f>VLOOKUP(B9,пр.взв!B$7:E$22,3,FALSE)</f>
        <v>25.11.2001, МС</v>
      </c>
      <c r="E9" s="393" t="str">
        <f>VLOOKUP(B9,пр.взв!B$7:E$22,4,FALSE)</f>
        <v>ПФО</v>
      </c>
      <c r="F9" s="393" t="str">
        <f>VLOOKUP(B9,пр.взв!B$7:F$22,5,FALSE)</f>
        <v xml:space="preserve"> Чувашская Республика - Чувашия Чебоксары</v>
      </c>
      <c r="G9" s="438"/>
      <c r="H9" s="438"/>
      <c r="I9" s="284"/>
      <c r="J9" s="284"/>
      <c r="K9" s="424"/>
      <c r="L9" s="427">
        <v>10</v>
      </c>
      <c r="M9" s="405" t="str">
        <f>VLOOKUP(L9,пр.взв!B$7:F$22,2,FALSE)</f>
        <v>ЕМЕЛЮКОВА Софья Константиновна</v>
      </c>
      <c r="N9" s="393" t="str">
        <f>VLOOKUP(L9,пр.взв!B$7:F$22,3,FALSE)</f>
        <v>09.03.2003, МС</v>
      </c>
      <c r="O9" s="393" t="str">
        <f>VLOOKUP(L9,пр.взв!B$7:F$22,4,FALSE)</f>
        <v>ПФО</v>
      </c>
      <c r="P9" s="393" t="str">
        <f>VLOOKUP(L9,пр.взв!B$7:F$22,5,FALSE)</f>
        <v xml:space="preserve"> Чувашская Республика - Чувашия Чебоксары</v>
      </c>
      <c r="Q9" s="438"/>
      <c r="R9" s="438"/>
      <c r="S9" s="284"/>
      <c r="T9" s="284"/>
    </row>
    <row r="10" spans="1:20" ht="13.5" customHeight="1" thickBot="1">
      <c r="A10" s="425"/>
      <c r="B10" s="433"/>
      <c r="C10" s="406"/>
      <c r="D10" s="394"/>
      <c r="E10" s="394"/>
      <c r="F10" s="394"/>
      <c r="G10" s="439"/>
      <c r="H10" s="439"/>
      <c r="I10" s="442"/>
      <c r="J10" s="442"/>
      <c r="K10" s="425"/>
      <c r="L10" s="433"/>
      <c r="M10" s="406"/>
      <c r="N10" s="394"/>
      <c r="O10" s="394"/>
      <c r="P10" s="394"/>
      <c r="Q10" s="439"/>
      <c r="R10" s="439"/>
      <c r="S10" s="442"/>
      <c r="T10" s="442"/>
    </row>
    <row r="11" spans="1:20" ht="12.75" customHeight="1">
      <c r="A11" s="423">
        <v>2</v>
      </c>
      <c r="B11" s="457">
        <v>5</v>
      </c>
      <c r="C11" s="397" t="str">
        <f>VLOOKUP(B11,пр.взв!B$7:E$22,2,FALSE)</f>
        <v>ДИКАЯ Валентина Александровна</v>
      </c>
      <c r="D11" s="383" t="str">
        <f>VLOOKUP(B11,пр.взв!B$7:E$22,3,FALSE)</f>
        <v>22.08.1999, МС</v>
      </c>
      <c r="E11" s="383" t="str">
        <f>VLOOKUP(B11,пр.взв!B$7:E$22,4,FALSE)</f>
        <v>СЗФО</v>
      </c>
      <c r="F11" s="383" t="str">
        <f>VLOOKUP(B11,пр.взв!B$7:F$22,5,FALSE)</f>
        <v xml:space="preserve"> г. Санкт-Петербург Санкт-Петербург</v>
      </c>
      <c r="G11" s="434"/>
      <c r="H11" s="428"/>
      <c r="I11" s="430"/>
      <c r="J11" s="435"/>
      <c r="K11" s="423">
        <v>6</v>
      </c>
      <c r="L11" s="453">
        <v>6</v>
      </c>
      <c r="M11" s="397" t="str">
        <f>VLOOKUP(L11,пр.взв!B$7:F$22,2,FALSE)</f>
        <v>КАШТАНОВА Галина Григорьевна</v>
      </c>
      <c r="N11" s="383" t="str">
        <f>VLOOKUP(L11,пр.взв!B$7:F$22,3,FALSE)</f>
        <v>23.09.2002, МС</v>
      </c>
      <c r="O11" s="383" t="str">
        <f>VLOOKUP(L11,пр.взв!B$7:F$22,4,FALSE)</f>
        <v>ЦФО</v>
      </c>
      <c r="P11" s="383" t="str">
        <f>VLOOKUP(L11,пр.взв!B$7:F$22,5,FALSE)</f>
        <v xml:space="preserve"> Московская обл. Можайск</v>
      </c>
      <c r="Q11" s="434"/>
      <c r="R11" s="428"/>
      <c r="S11" s="430"/>
      <c r="T11" s="435"/>
    </row>
    <row r="12" spans="1:20" ht="12.75" customHeight="1">
      <c r="A12" s="424"/>
      <c r="B12" s="427"/>
      <c r="C12" s="398"/>
      <c r="D12" s="384"/>
      <c r="E12" s="384"/>
      <c r="F12" s="384"/>
      <c r="G12" s="429"/>
      <c r="H12" s="429"/>
      <c r="I12" s="431"/>
      <c r="J12" s="283"/>
      <c r="K12" s="424"/>
      <c r="L12" s="427"/>
      <c r="M12" s="398"/>
      <c r="N12" s="384"/>
      <c r="O12" s="384"/>
      <c r="P12" s="384"/>
      <c r="Q12" s="429"/>
      <c r="R12" s="429"/>
      <c r="S12" s="431"/>
      <c r="T12" s="283"/>
    </row>
    <row r="13" spans="1:20" ht="12.75" customHeight="1">
      <c r="A13" s="424"/>
      <c r="B13" s="427">
        <v>13</v>
      </c>
      <c r="C13" s="405" t="str">
        <f>VLOOKUP(B13,пр.взв!B$7:E$22,2,FALSE)</f>
        <v>НЕФЁДОВА Екатерина Дмитриевна</v>
      </c>
      <c r="D13" s="393" t="str">
        <f>VLOOKUP(B13,пр.взв!B$7:E$22,3,FALSE)</f>
        <v>06.01.1999, МС</v>
      </c>
      <c r="E13" s="393" t="str">
        <f>VLOOKUP(B13,пр.взв!B$7:E$22,4,FALSE)</f>
        <v>УФО</v>
      </c>
      <c r="F13" s="393" t="str">
        <f>VLOOKUP(B13,пр.взв!B$7:F$22,5,FALSE)</f>
        <v xml:space="preserve"> Курганская обл. Куртамыш</v>
      </c>
      <c r="G13" s="438"/>
      <c r="H13" s="438"/>
      <c r="I13" s="284"/>
      <c r="J13" s="284"/>
      <c r="K13" s="424"/>
      <c r="L13" s="427">
        <v>14</v>
      </c>
      <c r="M13" s="405" t="str">
        <f>VLOOKUP(L13,пр.взв!B$7:F$22,2,FALSE)</f>
        <v>ГОРЕЛИКОВА Анна Вадимовна</v>
      </c>
      <c r="N13" s="393" t="str">
        <f>VLOOKUP(L13,пр.взв!B$7:F$22,3,FALSE)</f>
        <v>03.06.1992, МСМК</v>
      </c>
      <c r="O13" s="393" t="str">
        <f>VLOOKUP(L13,пр.взв!B$7:F$22,4,FALSE)</f>
        <v>ЮФО</v>
      </c>
      <c r="P13" s="393" t="str">
        <f>VLOOKUP(L13,пр.взв!B$7:F$22,5,FALSE)</f>
        <v xml:space="preserve"> Краснодарский край Крымск</v>
      </c>
      <c r="Q13" s="438"/>
      <c r="R13" s="438"/>
      <c r="S13" s="284"/>
      <c r="T13" s="284"/>
    </row>
    <row r="14" spans="1:20" ht="13.5" customHeight="1" thickBot="1">
      <c r="A14" s="425"/>
      <c r="B14" s="433"/>
      <c r="C14" s="406"/>
      <c r="D14" s="394"/>
      <c r="E14" s="394"/>
      <c r="F14" s="394"/>
      <c r="G14" s="439"/>
      <c r="H14" s="439"/>
      <c r="I14" s="442"/>
      <c r="J14" s="442"/>
      <c r="K14" s="425"/>
      <c r="L14" s="458"/>
      <c r="M14" s="406"/>
      <c r="N14" s="394"/>
      <c r="O14" s="394"/>
      <c r="P14" s="394"/>
      <c r="Q14" s="439"/>
      <c r="R14" s="439"/>
      <c r="S14" s="442"/>
      <c r="T14" s="442"/>
    </row>
    <row r="15" spans="1:20" ht="12.75" customHeight="1">
      <c r="A15" s="423">
        <v>3</v>
      </c>
      <c r="B15" s="457">
        <v>3</v>
      </c>
      <c r="C15" s="397" t="str">
        <f>VLOOKUP(B15,пр.взв!B$7:E$22,2,FALSE)</f>
        <v>ЕГОРОВА Елизавета Евгеньевна</v>
      </c>
      <c r="D15" s="383" t="str">
        <f>VLOOKUP(B15,пр.взв!B$7:E$22,3,FALSE)</f>
        <v>15.02.2002, МС</v>
      </c>
      <c r="E15" s="383" t="str">
        <f>VLOOKUP(B15,пр.взв!B$7:E$22,4,FALSE)</f>
        <v>ПФО</v>
      </c>
      <c r="F15" s="383" t="str">
        <f>VLOOKUP(B15,пр.взв!B$7:F$22,5,FALSE)</f>
        <v xml:space="preserve"> Чувашская Республика - Чувашия Чебоксары</v>
      </c>
      <c r="G15" s="443"/>
      <c r="H15" s="444"/>
      <c r="I15" s="440"/>
      <c r="J15" s="441"/>
      <c r="K15" s="423">
        <v>7</v>
      </c>
      <c r="L15" s="457">
        <v>4</v>
      </c>
      <c r="M15" s="397" t="str">
        <f>VLOOKUP(L15,пр.взв!B$7:F$22,2,FALSE)</f>
        <v>БЛИНОВА Ксения Сергеевна</v>
      </c>
      <c r="N15" s="383" t="str">
        <f>VLOOKUP(L15,пр.взв!B$7:F$22,3,FALSE)</f>
        <v>08.09.1999, МС</v>
      </c>
      <c r="O15" s="383" t="str">
        <f>VLOOKUP(L15,пр.взв!B$7:F$22,4,FALSE)</f>
        <v>СФО</v>
      </c>
      <c r="P15" s="383" t="str">
        <f>VLOOKUP(L15,пр.взв!B$7:F$22,5,FALSE)</f>
        <v xml:space="preserve"> Новосибирская обл. Новосибирск, Новосибирская область</v>
      </c>
      <c r="Q15" s="443"/>
      <c r="R15" s="444"/>
      <c r="S15" s="440"/>
      <c r="T15" s="441"/>
    </row>
    <row r="16" spans="1:20" ht="12.75" customHeight="1">
      <c r="A16" s="424"/>
      <c r="B16" s="427"/>
      <c r="C16" s="398"/>
      <c r="D16" s="384"/>
      <c r="E16" s="384"/>
      <c r="F16" s="384"/>
      <c r="G16" s="429"/>
      <c r="H16" s="429"/>
      <c r="I16" s="431"/>
      <c r="J16" s="283"/>
      <c r="K16" s="424"/>
      <c r="L16" s="427"/>
      <c r="M16" s="398"/>
      <c r="N16" s="384"/>
      <c r="O16" s="384"/>
      <c r="P16" s="384"/>
      <c r="Q16" s="429"/>
      <c r="R16" s="429"/>
      <c r="S16" s="431"/>
      <c r="T16" s="283"/>
    </row>
    <row r="17" spans="1:20" ht="12.75" customHeight="1">
      <c r="A17" s="424"/>
      <c r="B17" s="427">
        <v>11</v>
      </c>
      <c r="C17" s="405" t="str">
        <f>VLOOKUP(B17,пр.взв!B$7:E$22,2,FALSE)</f>
        <v>КАРЕКЯН Кристина Хачиковна</v>
      </c>
      <c r="D17" s="393" t="str">
        <f>VLOOKUP(B17,пр.взв!B$7:E$22,3,FALSE)</f>
        <v>23.01.1995, МС</v>
      </c>
      <c r="E17" s="393" t="str">
        <f>VLOOKUP(B17,пр.взв!B$7:E$22,4,FALSE)</f>
        <v>ЮФО</v>
      </c>
      <c r="F17" s="393" t="str">
        <f>VLOOKUP(B17,пр.взв!B$7:F$22,5,FALSE)</f>
        <v xml:space="preserve"> Краснодарский край Сочи</v>
      </c>
      <c r="G17" s="438"/>
      <c r="H17" s="438"/>
      <c r="I17" s="284"/>
      <c r="J17" s="284"/>
      <c r="K17" s="424"/>
      <c r="L17" s="427">
        <v>12</v>
      </c>
      <c r="M17" s="405" t="str">
        <f>VLOOKUP(L17,пр.взв!B$7:F$22,2,FALSE)</f>
        <v>КАЙГОРОДОВА София Витальевна</v>
      </c>
      <c r="N17" s="393" t="str">
        <f>VLOOKUP(L17,пр.взв!B$7:F$22,3,FALSE)</f>
        <v>21.03.2003, КМС</v>
      </c>
      <c r="O17" s="393" t="str">
        <f>VLOOKUP(L17,пр.взв!B$7:F$22,4,FALSE)</f>
        <v>УФО</v>
      </c>
      <c r="P17" s="393" t="str">
        <f>VLOOKUP(L17,пр.взв!B$7:F$22,5,FALSE)</f>
        <v xml:space="preserve"> Свердловская обл. Ирбит</v>
      </c>
      <c r="Q17" s="438"/>
      <c r="R17" s="438"/>
      <c r="S17" s="284"/>
      <c r="T17" s="284"/>
    </row>
    <row r="18" spans="1:20" ht="13.5" customHeight="1" thickBot="1">
      <c r="A18" s="425"/>
      <c r="B18" s="433"/>
      <c r="C18" s="406"/>
      <c r="D18" s="394"/>
      <c r="E18" s="394"/>
      <c r="F18" s="394"/>
      <c r="G18" s="439"/>
      <c r="H18" s="439"/>
      <c r="I18" s="442"/>
      <c r="J18" s="442"/>
      <c r="K18" s="425"/>
      <c r="L18" s="433"/>
      <c r="M18" s="406"/>
      <c r="N18" s="394"/>
      <c r="O18" s="394"/>
      <c r="P18" s="394"/>
      <c r="Q18" s="439"/>
      <c r="R18" s="439"/>
      <c r="S18" s="442"/>
      <c r="T18" s="442"/>
    </row>
    <row r="19" spans="1:20" ht="12.75" customHeight="1">
      <c r="A19" s="423">
        <v>4</v>
      </c>
      <c r="B19" s="457">
        <v>7</v>
      </c>
      <c r="C19" s="397" t="str">
        <f>VLOOKUP(B19,пр.взв!B$7:E$22,2,FALSE)</f>
        <v>БАРАНОВА Виктория Игоревна</v>
      </c>
      <c r="D19" s="383" t="str">
        <f>VLOOKUP(B19,пр.взв!B$7:E$22,3,FALSE)</f>
        <v>01.05.2002, МС</v>
      </c>
      <c r="E19" s="383" t="str">
        <f>VLOOKUP(B19,пр.взв!B$7:E$22,4,FALSE)</f>
        <v>ЦФО</v>
      </c>
      <c r="F19" s="383" t="str">
        <f>VLOOKUP(B19,пр.взв!B$7:F$22,5,FALSE)</f>
        <v xml:space="preserve"> Московская обл. Королев</v>
      </c>
      <c r="G19" s="429"/>
      <c r="H19" s="459"/>
      <c r="I19" s="431"/>
      <c r="J19" s="460"/>
      <c r="K19" s="423">
        <v>8</v>
      </c>
      <c r="L19" s="453">
        <v>8</v>
      </c>
      <c r="M19" s="397" t="str">
        <f>VLOOKUP(L19,пр.взв!B$7:F$22,2,FALSE)</f>
        <v>МИХАЛЕВА Елена Павловна</v>
      </c>
      <c r="N19" s="383" t="str">
        <f>VLOOKUP(L19,пр.взв!B$7:F$22,3,FALSE)</f>
        <v>13.06.1995, МС</v>
      </c>
      <c r="O19" s="383" t="str">
        <f>VLOOKUP(L19,пр.взв!B$7:F$22,4,FALSE)</f>
        <v>ЦФО</v>
      </c>
      <c r="P19" s="383" t="str">
        <f>VLOOKUP(L19,пр.взв!B$7:F$22,5,FALSE)</f>
        <v xml:space="preserve"> Московская обл. Воскресенск</v>
      </c>
      <c r="Q19" s="429"/>
      <c r="R19" s="459"/>
      <c r="S19" s="431"/>
      <c r="T19" s="460"/>
    </row>
    <row r="20" spans="1:20" ht="12.75" customHeight="1">
      <c r="A20" s="424"/>
      <c r="B20" s="427"/>
      <c r="C20" s="398"/>
      <c r="D20" s="384"/>
      <c r="E20" s="384"/>
      <c r="F20" s="384"/>
      <c r="G20" s="429"/>
      <c r="H20" s="429"/>
      <c r="I20" s="431"/>
      <c r="J20" s="283"/>
      <c r="K20" s="424"/>
      <c r="L20" s="427"/>
      <c r="M20" s="398"/>
      <c r="N20" s="384"/>
      <c r="O20" s="384"/>
      <c r="P20" s="384"/>
      <c r="Q20" s="429"/>
      <c r="R20" s="429"/>
      <c r="S20" s="431"/>
      <c r="T20" s="283"/>
    </row>
    <row r="21" spans="1:20" ht="12.75" customHeight="1">
      <c r="A21" s="424"/>
      <c r="B21" s="427">
        <v>15</v>
      </c>
      <c r="C21" s="405" t="e">
        <f>VLOOKUP(B21,пр.взв!B$7:E$22,2,FALSE)</f>
        <v>#N/A</v>
      </c>
      <c r="D21" s="393" t="e">
        <f>VLOOKUP(B21,пр.взв!B$7:E$22,3,FALSE)</f>
        <v>#N/A</v>
      </c>
      <c r="E21" s="393" t="e">
        <f>VLOOKUP(B21,пр.взв!B$7:E$22,4,FALSE)</f>
        <v>#N/A</v>
      </c>
      <c r="F21" s="393" t="e">
        <f>VLOOKUP(B21,пр.взв!B$7:F$22,5,FALSE)</f>
        <v>#N/A</v>
      </c>
      <c r="G21" s="438"/>
      <c r="H21" s="438"/>
      <c r="I21" s="284"/>
      <c r="J21" s="284"/>
      <c r="K21" s="424"/>
      <c r="L21" s="427">
        <v>16</v>
      </c>
      <c r="M21" s="405" t="e">
        <f>VLOOKUP(L21,пр.взв!B$7:F$22,2,FALSE)</f>
        <v>#N/A</v>
      </c>
      <c r="N21" s="393" t="e">
        <f>VLOOKUP(L21,пр.взв!B$7:F$22,3,FALSE)</f>
        <v>#N/A</v>
      </c>
      <c r="O21" s="393" t="e">
        <f>VLOOKUP(L21,пр.взв!B$7:F$22,4,FALSE)</f>
        <v>#N/A</v>
      </c>
      <c r="P21" s="393" t="e">
        <f>VLOOKUP(L21,пр.взв!B$7:F$22,5,FALSE)</f>
        <v>#N/A</v>
      </c>
      <c r="Q21" s="438"/>
      <c r="R21" s="438"/>
      <c r="S21" s="284"/>
      <c r="T21" s="284"/>
    </row>
    <row r="22" spans="1:20" ht="12.75" customHeight="1" thickBot="1">
      <c r="A22" s="425"/>
      <c r="B22" s="433"/>
      <c r="C22" s="406"/>
      <c r="D22" s="394"/>
      <c r="E22" s="394"/>
      <c r="F22" s="394"/>
      <c r="G22" s="439"/>
      <c r="H22" s="439"/>
      <c r="I22" s="442"/>
      <c r="J22" s="442"/>
      <c r="K22" s="425"/>
      <c r="L22" s="433"/>
      <c r="M22" s="406"/>
      <c r="N22" s="394"/>
      <c r="O22" s="394"/>
      <c r="P22" s="394"/>
      <c r="Q22" s="439"/>
      <c r="R22" s="439"/>
      <c r="S22" s="442"/>
      <c r="T22" s="442"/>
    </row>
    <row r="23" spans="1:20">
      <c r="B23">
        <f>B3</f>
        <v>0</v>
      </c>
      <c r="C23" s="5" t="s">
        <v>92</v>
      </c>
      <c r="L23">
        <f>L3</f>
        <v>0</v>
      </c>
      <c r="M23" s="5" t="s">
        <v>92</v>
      </c>
    </row>
    <row r="24" spans="1:20" ht="16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50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50 кг.</v>
      </c>
      <c r="R24" s="77"/>
      <c r="S24" s="77"/>
      <c r="T24" s="77"/>
    </row>
    <row r="25" spans="1:20" ht="12.75" customHeight="1">
      <c r="A25" s="413" t="s">
        <v>39</v>
      </c>
      <c r="B25" s="415" t="s">
        <v>4</v>
      </c>
      <c r="C25" s="417" t="s">
        <v>5</v>
      </c>
      <c r="D25" s="421" t="s">
        <v>12</v>
      </c>
      <c r="E25" s="389" t="s">
        <v>13</v>
      </c>
      <c r="F25" s="390"/>
      <c r="G25" s="417" t="s">
        <v>14</v>
      </c>
      <c r="H25" s="436" t="s">
        <v>40</v>
      </c>
      <c r="I25" s="408" t="s">
        <v>15</v>
      </c>
      <c r="J25" s="410" t="s">
        <v>16</v>
      </c>
      <c r="K25" s="413" t="s">
        <v>39</v>
      </c>
      <c r="L25" s="415" t="s">
        <v>4</v>
      </c>
      <c r="M25" s="417" t="s">
        <v>5</v>
      </c>
      <c r="N25" s="421" t="s">
        <v>12</v>
      </c>
      <c r="O25" s="385" t="s">
        <v>13</v>
      </c>
      <c r="P25" s="386"/>
      <c r="Q25" s="417" t="s">
        <v>14</v>
      </c>
      <c r="R25" s="436" t="s">
        <v>40</v>
      </c>
      <c r="S25" s="408" t="s">
        <v>15</v>
      </c>
      <c r="T25" s="410" t="s">
        <v>16</v>
      </c>
    </row>
    <row r="26" spans="1:20" ht="13.5" customHeight="1" thickBot="1">
      <c r="A26" s="414"/>
      <c r="B26" s="416" t="s">
        <v>33</v>
      </c>
      <c r="C26" s="418"/>
      <c r="D26" s="422"/>
      <c r="E26" s="391"/>
      <c r="F26" s="392"/>
      <c r="G26" s="418"/>
      <c r="H26" s="437"/>
      <c r="I26" s="409"/>
      <c r="J26" s="411" t="s">
        <v>34</v>
      </c>
      <c r="K26" s="414"/>
      <c r="L26" s="416" t="s">
        <v>33</v>
      </c>
      <c r="M26" s="418"/>
      <c r="N26" s="422"/>
      <c r="O26" s="387"/>
      <c r="P26" s="388"/>
      <c r="Q26" s="418"/>
      <c r="R26" s="437"/>
      <c r="S26" s="409"/>
      <c r="T26" s="411" t="s">
        <v>34</v>
      </c>
    </row>
    <row r="27" spans="1:20" ht="12.75" customHeight="1">
      <c r="A27" s="423">
        <v>1</v>
      </c>
      <c r="B27" s="426">
        <f>пр.хода!E8</f>
        <v>0</v>
      </c>
      <c r="C27" s="397" t="e">
        <f>VLOOKUP(B27,пр.взв!B$7:E$22,2,FALSE)</f>
        <v>#N/A</v>
      </c>
      <c r="D27" s="383" t="e">
        <f>VLOOKUP(B27,пр.взв!B$7:E$22,3,FALSE)</f>
        <v>#N/A</v>
      </c>
      <c r="E27" s="383" t="e">
        <f>VLOOKUP(B27,пр.взв!B$7:E$22,4,FALSE)</f>
        <v>#N/A</v>
      </c>
      <c r="F27" s="383" t="e">
        <f>VLOOKUP(B27,пр.взв!B$7:F$22,5,FALSE)</f>
        <v>#N/A</v>
      </c>
      <c r="G27" s="434"/>
      <c r="H27" s="428"/>
      <c r="I27" s="430"/>
      <c r="J27" s="421"/>
      <c r="K27" s="412">
        <v>3</v>
      </c>
      <c r="L27" s="426">
        <f>пр.хода!Q8</f>
        <v>0</v>
      </c>
      <c r="M27" s="397" t="e">
        <f>VLOOKUP(L27,пр.взв!B$7:F$22,2,FALSE)</f>
        <v>#N/A</v>
      </c>
      <c r="N27" s="383" t="e">
        <f>VLOOKUP(L27,пр.взв!B$7:F$22,3,FALSE)</f>
        <v>#N/A</v>
      </c>
      <c r="O27" s="383" t="e">
        <f>VLOOKUP(L27,пр.взв!B$7:F$22,4,FALSE)</f>
        <v>#N/A</v>
      </c>
      <c r="P27" s="383" t="e">
        <f>VLOOKUP(L27,пр.взв!B$7:F$22,5,FALSE)</f>
        <v>#N/A</v>
      </c>
      <c r="Q27" s="434"/>
      <c r="R27" s="428"/>
      <c r="S27" s="430"/>
      <c r="T27" s="421"/>
    </row>
    <row r="28" spans="1:20">
      <c r="A28" s="424"/>
      <c r="B28" s="427"/>
      <c r="C28" s="398"/>
      <c r="D28" s="384"/>
      <c r="E28" s="384"/>
      <c r="F28" s="384"/>
      <c r="G28" s="429"/>
      <c r="H28" s="429"/>
      <c r="I28" s="431"/>
      <c r="J28" s="283"/>
      <c r="K28" s="399"/>
      <c r="L28" s="427"/>
      <c r="M28" s="398"/>
      <c r="N28" s="384"/>
      <c r="O28" s="384"/>
      <c r="P28" s="384"/>
      <c r="Q28" s="429"/>
      <c r="R28" s="429"/>
      <c r="S28" s="431"/>
      <c r="T28" s="283"/>
    </row>
    <row r="29" spans="1:20" ht="12.75" customHeight="1">
      <c r="A29" s="424"/>
      <c r="B29" s="432">
        <f>пр.хода!E12</f>
        <v>0</v>
      </c>
      <c r="C29" s="405" t="e">
        <f>VLOOKUP(B29,пр.взв!B$7:E$22,2,FALSE)</f>
        <v>#N/A</v>
      </c>
      <c r="D29" s="393" t="e">
        <f>VLOOKUP(B29,пр.взв!B$7:E$22,3,FALSE)</f>
        <v>#N/A</v>
      </c>
      <c r="E29" s="393" t="e">
        <f>VLOOKUP(B29,пр.взв!B$7:E$22,4,FALSE)</f>
        <v>#N/A</v>
      </c>
      <c r="F29" s="393" t="e">
        <f>VLOOKUP(B29,пр.взв!B$7:F$22,5,FALSE)</f>
        <v>#N/A</v>
      </c>
      <c r="G29" s="438"/>
      <c r="H29" s="438"/>
      <c r="I29" s="284"/>
      <c r="J29" s="284"/>
      <c r="K29" s="399"/>
      <c r="L29" s="432">
        <f>пр.хода!Q12</f>
        <v>0</v>
      </c>
      <c r="M29" s="405" t="e">
        <f>VLOOKUP(L29,пр.взв!B$7:F$22,2,FALSE)</f>
        <v>#N/A</v>
      </c>
      <c r="N29" s="393" t="e">
        <f>VLOOKUP(L29,пр.взв!B$7:F$22,3,FALSE)</f>
        <v>#N/A</v>
      </c>
      <c r="O29" s="393" t="e">
        <f>VLOOKUP(L29,пр.взв!B$7:F$22,4,FALSE)</f>
        <v>#N/A</v>
      </c>
      <c r="P29" s="393" t="e">
        <f>VLOOKUP(L29,пр.взв!B$7:F$22,5,FALSE)</f>
        <v>#N/A</v>
      </c>
      <c r="Q29" s="438"/>
      <c r="R29" s="438"/>
      <c r="S29" s="284"/>
      <c r="T29" s="284"/>
    </row>
    <row r="30" spans="1:20" ht="13" thickBot="1">
      <c r="A30" s="425"/>
      <c r="B30" s="433"/>
      <c r="C30" s="406"/>
      <c r="D30" s="394"/>
      <c r="E30" s="394"/>
      <c r="F30" s="394"/>
      <c r="G30" s="439"/>
      <c r="H30" s="439"/>
      <c r="I30" s="442"/>
      <c r="J30" s="442"/>
      <c r="K30" s="400"/>
      <c r="L30" s="433"/>
      <c r="M30" s="406"/>
      <c r="N30" s="394"/>
      <c r="O30" s="394"/>
      <c r="P30" s="394"/>
      <c r="Q30" s="439"/>
      <c r="R30" s="439"/>
      <c r="S30" s="442"/>
      <c r="T30" s="442"/>
    </row>
    <row r="31" spans="1:20" ht="12.75" customHeight="1">
      <c r="A31" s="423">
        <v>2</v>
      </c>
      <c r="B31" s="426">
        <f>пр.хода!E16</f>
        <v>0</v>
      </c>
      <c r="C31" s="397" t="e">
        <f>VLOOKUP(B31,пр.взв!B$7:E$22,2,FALSE)</f>
        <v>#N/A</v>
      </c>
      <c r="D31" s="383" t="e">
        <f>VLOOKUP(B31,пр.взв!B$7:E$22,3,FALSE)</f>
        <v>#N/A</v>
      </c>
      <c r="E31" s="383" t="e">
        <f>VLOOKUP(B31,пр.взв!B$7:E$22,4,FALSE)</f>
        <v>#N/A</v>
      </c>
      <c r="F31" s="383" t="e">
        <f>VLOOKUP(B31,пр.взв!B$7:F$22,5,FALSE)</f>
        <v>#N/A</v>
      </c>
      <c r="G31" s="434"/>
      <c r="H31" s="428"/>
      <c r="I31" s="430"/>
      <c r="J31" s="435"/>
      <c r="K31" s="412">
        <v>4</v>
      </c>
      <c r="L31" s="426">
        <f>пр.хода!Q16</f>
        <v>0</v>
      </c>
      <c r="M31" s="397" t="e">
        <f>VLOOKUP(L31,пр.взв!B$7:F$22,2,FALSE)</f>
        <v>#N/A</v>
      </c>
      <c r="N31" s="383" t="e">
        <f>VLOOKUP(L31,пр.взв!B$7:F$22,3,FALSE)</f>
        <v>#N/A</v>
      </c>
      <c r="O31" s="383" t="e">
        <f>VLOOKUP(L31,пр.взв!B$7:F$22,4,FALSE)</f>
        <v>#N/A</v>
      </c>
      <c r="P31" s="383" t="e">
        <f>VLOOKUP(L31,пр.взв!B$7:F$22,5,FALSE)</f>
        <v>#N/A</v>
      </c>
      <c r="Q31" s="434"/>
      <c r="R31" s="428"/>
      <c r="S31" s="430"/>
      <c r="T31" s="435"/>
    </row>
    <row r="32" spans="1:20">
      <c r="A32" s="424"/>
      <c r="B32" s="427"/>
      <c r="C32" s="398"/>
      <c r="D32" s="384"/>
      <c r="E32" s="384"/>
      <c r="F32" s="384"/>
      <c r="G32" s="429"/>
      <c r="H32" s="429"/>
      <c r="I32" s="431"/>
      <c r="J32" s="283"/>
      <c r="K32" s="399"/>
      <c r="L32" s="427"/>
      <c r="M32" s="398"/>
      <c r="N32" s="384"/>
      <c r="O32" s="384"/>
      <c r="P32" s="384"/>
      <c r="Q32" s="429"/>
      <c r="R32" s="429"/>
      <c r="S32" s="431"/>
      <c r="T32" s="283"/>
    </row>
    <row r="33" spans="1:20" ht="12.75" customHeight="1">
      <c r="A33" s="424"/>
      <c r="B33" s="432">
        <f>пр.хода!E20</f>
        <v>7</v>
      </c>
      <c r="C33" s="405" t="str">
        <f>VLOOKUP(B33,пр.взв!B$7:E$22,2,FALSE)</f>
        <v>БАРАНОВА Виктория Игоревна</v>
      </c>
      <c r="D33" s="393" t="str">
        <f>VLOOKUP(B33,пр.взв!B$7:E$22,3,FALSE)</f>
        <v>01.05.2002, МС</v>
      </c>
      <c r="E33" s="393" t="str">
        <f>VLOOKUP(B33,пр.взв!B$7:E$22,4,FALSE)</f>
        <v>ЦФО</v>
      </c>
      <c r="F33" s="393" t="str">
        <f>VLOOKUP(B33,пр.взв!B$7:F$22,5,FALSE)</f>
        <v xml:space="preserve"> Московская обл. Королев</v>
      </c>
      <c r="G33" s="438"/>
      <c r="H33" s="438"/>
      <c r="I33" s="284"/>
      <c r="J33" s="284"/>
      <c r="K33" s="399"/>
      <c r="L33" s="432">
        <f>пр.хода!Q20</f>
        <v>8</v>
      </c>
      <c r="M33" s="405" t="str">
        <f>VLOOKUP(L33,пр.взв!B$7:F$22,2,FALSE)</f>
        <v>МИХАЛЕВА Елена Павловна</v>
      </c>
      <c r="N33" s="393" t="str">
        <f>VLOOKUP(L33,пр.взв!B$7:F$22,3,FALSE)</f>
        <v>13.06.1995, МС</v>
      </c>
      <c r="O33" s="393" t="str">
        <f>VLOOKUP(L33,пр.взв!B$7:F$22,4,FALSE)</f>
        <v>ЦФО</v>
      </c>
      <c r="P33" s="393" t="str">
        <f>VLOOKUP(L33,пр.взв!B$7:F$22,5,FALSE)</f>
        <v xml:space="preserve"> Московская обл. Воскресенск</v>
      </c>
      <c r="Q33" s="438"/>
      <c r="R33" s="438"/>
      <c r="S33" s="284"/>
      <c r="T33" s="284"/>
    </row>
    <row r="34" spans="1:20" ht="13" thickBot="1">
      <c r="A34" s="425"/>
      <c r="B34" s="433"/>
      <c r="C34" s="406"/>
      <c r="D34" s="394"/>
      <c r="E34" s="394"/>
      <c r="F34" s="394"/>
      <c r="G34" s="439"/>
      <c r="H34" s="439"/>
      <c r="I34" s="442"/>
      <c r="J34" s="442"/>
      <c r="K34" s="400"/>
      <c r="L34" s="433"/>
      <c r="M34" s="406"/>
      <c r="N34" s="394"/>
      <c r="O34" s="394"/>
      <c r="P34" s="394"/>
      <c r="Q34" s="439"/>
      <c r="R34" s="439"/>
      <c r="S34" s="442"/>
      <c r="T34" s="442"/>
    </row>
    <row r="35" spans="1:20">
      <c r="B35">
        <f>B23</f>
        <v>0</v>
      </c>
      <c r="C35" s="5" t="s">
        <v>92</v>
      </c>
      <c r="L35">
        <f>L23</f>
        <v>0</v>
      </c>
      <c r="M35" s="5" t="s">
        <v>92</v>
      </c>
    </row>
    <row r="36" spans="1:20" ht="16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50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50 кг.</v>
      </c>
      <c r="R36" s="79"/>
      <c r="S36" s="79"/>
      <c r="T36" s="79"/>
    </row>
    <row r="37" spans="1:20" ht="12.75" customHeight="1">
      <c r="A37" s="413" t="s">
        <v>39</v>
      </c>
      <c r="B37" s="415" t="s">
        <v>4</v>
      </c>
      <c r="C37" s="417" t="s">
        <v>5</v>
      </c>
      <c r="D37" s="421" t="s">
        <v>12</v>
      </c>
      <c r="E37" s="389" t="s">
        <v>13</v>
      </c>
      <c r="F37" s="390"/>
      <c r="G37" s="417" t="s">
        <v>14</v>
      </c>
      <c r="H37" s="436" t="s">
        <v>40</v>
      </c>
      <c r="I37" s="408" t="s">
        <v>15</v>
      </c>
      <c r="J37" s="410" t="s">
        <v>16</v>
      </c>
      <c r="K37" s="413" t="s">
        <v>39</v>
      </c>
      <c r="L37" s="415" t="s">
        <v>4</v>
      </c>
      <c r="M37" s="417" t="s">
        <v>5</v>
      </c>
      <c r="N37" s="421" t="s">
        <v>12</v>
      </c>
      <c r="O37" s="385" t="s">
        <v>13</v>
      </c>
      <c r="P37" s="386"/>
      <c r="Q37" s="417" t="s">
        <v>14</v>
      </c>
      <c r="R37" s="436" t="s">
        <v>40</v>
      </c>
      <c r="S37" s="408" t="s">
        <v>15</v>
      </c>
      <c r="T37" s="410" t="s">
        <v>16</v>
      </c>
    </row>
    <row r="38" spans="1:20" ht="13.5" customHeight="1" thickBot="1">
      <c r="A38" s="414"/>
      <c r="B38" s="416" t="s">
        <v>33</v>
      </c>
      <c r="C38" s="418"/>
      <c r="D38" s="422"/>
      <c r="E38" s="391"/>
      <c r="F38" s="392"/>
      <c r="G38" s="418"/>
      <c r="H38" s="437"/>
      <c r="I38" s="409"/>
      <c r="J38" s="411" t="s">
        <v>34</v>
      </c>
      <c r="K38" s="414"/>
      <c r="L38" s="416" t="s">
        <v>33</v>
      </c>
      <c r="M38" s="418"/>
      <c r="N38" s="422"/>
      <c r="O38" s="387"/>
      <c r="P38" s="388"/>
      <c r="Q38" s="418"/>
      <c r="R38" s="437"/>
      <c r="S38" s="409"/>
      <c r="T38" s="411" t="s">
        <v>34</v>
      </c>
    </row>
    <row r="39" spans="1:20" ht="12.75" customHeight="1">
      <c r="A39" s="461">
        <v>1</v>
      </c>
      <c r="B39" s="395">
        <f>пр.хода!G10</f>
        <v>0</v>
      </c>
      <c r="C39" s="397" t="e">
        <f>VLOOKUP(B39,пр.взв!B$7:E$22,2,FALSE)</f>
        <v>#N/A</v>
      </c>
      <c r="D39" s="383" t="e">
        <f>VLOOKUP(B39,пр.взв!B$7:E$22,3,FALSE)</f>
        <v>#N/A</v>
      </c>
      <c r="E39" s="383" t="e">
        <f>VLOOKUP(B39,пр.взв!B$7:E$22,4,FALSE)</f>
        <v>#N/A</v>
      </c>
      <c r="F39" s="383" t="e">
        <f>VLOOKUP(B39,пр.взв!B$7:F$22,5,FALSE)</f>
        <v>#N/A</v>
      </c>
      <c r="G39" s="434"/>
      <c r="H39" s="428"/>
      <c r="I39" s="430"/>
      <c r="J39" s="421"/>
      <c r="K39" s="461">
        <v>2</v>
      </c>
      <c r="L39" s="395">
        <f>пр.хода!O10</f>
        <v>0</v>
      </c>
      <c r="M39" s="397" t="e">
        <f>VLOOKUP(L39,пр.взв!B$7:F$22,2,FALSE)</f>
        <v>#N/A</v>
      </c>
      <c r="N39" s="383" t="e">
        <f>VLOOKUP(L39,пр.взв!B$7:F$22,3,FALSE)</f>
        <v>#N/A</v>
      </c>
      <c r="O39" s="383" t="e">
        <f>VLOOKUP(L39,пр.взв!B$7:F$22,4,FALSE)</f>
        <v>#N/A</v>
      </c>
      <c r="P39" s="383" t="e">
        <f>VLOOKUP(L39,пр.взв!B$7:F$22,5,FALSE)</f>
        <v>#N/A</v>
      </c>
      <c r="Q39" s="434"/>
      <c r="R39" s="428"/>
      <c r="S39" s="430"/>
      <c r="T39" s="421"/>
    </row>
    <row r="40" spans="1:20">
      <c r="A40" s="462"/>
      <c r="B40" s="402"/>
      <c r="C40" s="398"/>
      <c r="D40" s="384"/>
      <c r="E40" s="384"/>
      <c r="F40" s="384"/>
      <c r="G40" s="429"/>
      <c r="H40" s="429"/>
      <c r="I40" s="431"/>
      <c r="J40" s="283"/>
      <c r="K40" s="462"/>
      <c r="L40" s="402"/>
      <c r="M40" s="398"/>
      <c r="N40" s="384"/>
      <c r="O40" s="384"/>
      <c r="P40" s="384"/>
      <c r="Q40" s="429"/>
      <c r="R40" s="429"/>
      <c r="S40" s="431"/>
      <c r="T40" s="283"/>
    </row>
    <row r="41" spans="1:20" ht="12.75" customHeight="1">
      <c r="A41" s="462"/>
      <c r="B41" s="419">
        <f>пр.хода!G18</f>
        <v>0</v>
      </c>
      <c r="C41" s="405" t="e">
        <f>VLOOKUP(B41,пр.взв!B$7:E$22,2,FALSE)</f>
        <v>#N/A</v>
      </c>
      <c r="D41" s="393" t="e">
        <f>VLOOKUP(B41,пр.взв!B$7:E$22,3,FALSE)</f>
        <v>#N/A</v>
      </c>
      <c r="E41" s="393" t="e">
        <f>VLOOKUP(B41,пр.взв!B$7:E$22,4,FALSE)</f>
        <v>#N/A</v>
      </c>
      <c r="F41" s="393" t="e">
        <f>VLOOKUP(B41,пр.взв!B$7:F$22,5,FALSE)</f>
        <v>#N/A</v>
      </c>
      <c r="G41" s="438"/>
      <c r="H41" s="438"/>
      <c r="I41" s="284"/>
      <c r="J41" s="284"/>
      <c r="K41" s="462"/>
      <c r="L41" s="419">
        <f>пр.хода!O18</f>
        <v>0</v>
      </c>
      <c r="M41" s="405" t="e">
        <f>VLOOKUP(L41,пр.взв!B$7:F$22,2,FALSE)</f>
        <v>#N/A</v>
      </c>
      <c r="N41" s="393" t="e">
        <f>VLOOKUP(L41,пр.взв!B$7:F$22,3,FALSE)</f>
        <v>#N/A</v>
      </c>
      <c r="O41" s="393" t="e">
        <f>VLOOKUP(L41,пр.взв!B$7:F$22,4,FALSE)</f>
        <v>#N/A</v>
      </c>
      <c r="P41" s="393" t="e">
        <f>VLOOKUP(L41,пр.взв!B$7:F$22,5,FALSE)</f>
        <v>#N/A</v>
      </c>
      <c r="Q41" s="438"/>
      <c r="R41" s="438"/>
      <c r="S41" s="284"/>
      <c r="T41" s="284"/>
    </row>
    <row r="42" spans="1:20" ht="13" thickBot="1">
      <c r="A42" s="463"/>
      <c r="B42" s="404"/>
      <c r="C42" s="406"/>
      <c r="D42" s="394"/>
      <c r="E42" s="394"/>
      <c r="F42" s="394"/>
      <c r="G42" s="439"/>
      <c r="H42" s="439"/>
      <c r="I42" s="442"/>
      <c r="J42" s="442"/>
      <c r="K42" s="463"/>
      <c r="L42" s="404"/>
      <c r="M42" s="406"/>
      <c r="N42" s="394"/>
      <c r="O42" s="394"/>
      <c r="P42" s="394"/>
      <c r="Q42" s="439"/>
      <c r="R42" s="439"/>
      <c r="S42" s="442"/>
      <c r="T42" s="442"/>
    </row>
    <row r="43" spans="1:20">
      <c r="B43">
        <f>B35</f>
        <v>0</v>
      </c>
      <c r="C43" s="5" t="s">
        <v>92</v>
      </c>
      <c r="L43">
        <f>L35</f>
        <v>0</v>
      </c>
      <c r="M43" s="5" t="s">
        <v>92</v>
      </c>
    </row>
    <row r="44" spans="1:20" ht="15.5">
      <c r="A44" s="407" t="s">
        <v>93</v>
      </c>
      <c r="B44" s="407"/>
      <c r="C44" s="407"/>
      <c r="D44" s="407"/>
      <c r="E44" s="407"/>
      <c r="F44" s="407"/>
      <c r="G44" s="407"/>
      <c r="H44" s="407"/>
      <c r="I44" s="407"/>
      <c r="J44" s="407"/>
      <c r="K44" s="407" t="s">
        <v>93</v>
      </c>
      <c r="L44" s="407"/>
      <c r="M44" s="407"/>
      <c r="N44" s="407"/>
      <c r="O44" s="407"/>
      <c r="P44" s="407"/>
      <c r="Q44" s="407"/>
      <c r="R44" s="407"/>
      <c r="S44" s="407"/>
      <c r="T44" s="407"/>
    </row>
    <row r="45" spans="1:20" ht="16" thickBot="1">
      <c r="B45" s="75" t="s">
        <v>32</v>
      </c>
      <c r="C45" s="80"/>
      <c r="D45" s="80"/>
      <c r="E45" s="80"/>
      <c r="F45" s="80"/>
      <c r="G45" s="83" t="str">
        <f>G36</f>
        <v>В.к. 50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50 кг.</v>
      </c>
      <c r="R45" s="78"/>
      <c r="S45" s="78"/>
      <c r="T45" s="78"/>
    </row>
    <row r="46" spans="1:20" ht="12.75" customHeight="1">
      <c r="A46" s="413" t="s">
        <v>39</v>
      </c>
      <c r="B46" s="415" t="s">
        <v>4</v>
      </c>
      <c r="C46" s="417" t="s">
        <v>5</v>
      </c>
      <c r="D46" s="421" t="s">
        <v>12</v>
      </c>
      <c r="E46" s="389" t="s">
        <v>13</v>
      </c>
      <c r="F46" s="390"/>
      <c r="G46" s="417" t="s">
        <v>14</v>
      </c>
      <c r="H46" s="436" t="s">
        <v>40</v>
      </c>
      <c r="I46" s="408" t="s">
        <v>15</v>
      </c>
      <c r="J46" s="410" t="s">
        <v>16</v>
      </c>
      <c r="K46" s="413" t="s">
        <v>39</v>
      </c>
      <c r="L46" s="415" t="s">
        <v>4</v>
      </c>
      <c r="M46" s="417" t="s">
        <v>5</v>
      </c>
      <c r="N46" s="421" t="s">
        <v>12</v>
      </c>
      <c r="O46" s="385" t="s">
        <v>13</v>
      </c>
      <c r="P46" s="386"/>
      <c r="Q46" s="417" t="s">
        <v>14</v>
      </c>
      <c r="R46" s="436" t="s">
        <v>40</v>
      </c>
      <c r="S46" s="408" t="s">
        <v>15</v>
      </c>
      <c r="T46" s="410" t="s">
        <v>16</v>
      </c>
    </row>
    <row r="47" spans="1:20" ht="13.5" customHeight="1" thickBot="1">
      <c r="A47" s="414"/>
      <c r="B47" s="416" t="s">
        <v>33</v>
      </c>
      <c r="C47" s="418"/>
      <c r="D47" s="422"/>
      <c r="E47" s="391"/>
      <c r="F47" s="392"/>
      <c r="G47" s="418"/>
      <c r="H47" s="437"/>
      <c r="I47" s="409"/>
      <c r="J47" s="411" t="s">
        <v>34</v>
      </c>
      <c r="K47" s="414"/>
      <c r="L47" s="416" t="s">
        <v>33</v>
      </c>
      <c r="M47" s="418"/>
      <c r="N47" s="422"/>
      <c r="O47" s="387"/>
      <c r="P47" s="388"/>
      <c r="Q47" s="418"/>
      <c r="R47" s="437"/>
      <c r="S47" s="409"/>
      <c r="T47" s="411" t="s">
        <v>34</v>
      </c>
    </row>
    <row r="48" spans="1:20" ht="12.75" customHeight="1">
      <c r="A48" s="412">
        <v>1</v>
      </c>
      <c r="B48" s="401" t="str">
        <f>пр.хода!A25</f>
        <v xml:space="preserve"> </v>
      </c>
      <c r="C48" s="397" t="e">
        <f>VLOOKUP(B48,пр.взв!B$7:E$22,2,FALSE)</f>
        <v>#N/A</v>
      </c>
      <c r="D48" s="383" t="e">
        <f>VLOOKUP(B48,пр.взв!B$7:E$22,3,FALSE)</f>
        <v>#N/A</v>
      </c>
      <c r="E48" s="383" t="e">
        <f>VLOOKUP(B48,пр.взв!B$7:E$22,4,FALSE)</f>
        <v>#N/A</v>
      </c>
      <c r="F48" s="383" t="e">
        <f>VLOOKUP(B48,пр.взв!B$7:F$22,5,FALSE)</f>
        <v>#N/A</v>
      </c>
      <c r="G48" s="434"/>
      <c r="H48" s="428"/>
      <c r="I48" s="430"/>
      <c r="J48" s="421"/>
      <c r="K48" s="412">
        <v>3</v>
      </c>
      <c r="L48" s="465" t="str">
        <f>пр.хода!I25</f>
        <v xml:space="preserve"> </v>
      </c>
      <c r="M48" s="397" t="e">
        <f>VLOOKUP(L48,пр.взв!B$7:F$22,2,FALSE)</f>
        <v>#N/A</v>
      </c>
      <c r="N48" s="383" t="e">
        <f>VLOOKUP(L48,пр.взв!B$7:F$22,3,FALSE)</f>
        <v>#N/A</v>
      </c>
      <c r="O48" s="383" t="e">
        <f>VLOOKUP(L48,пр.взв!B$7:F$22,4,FALSE)</f>
        <v>#N/A</v>
      </c>
      <c r="P48" s="383" t="e">
        <f>VLOOKUP(L48,пр.взв!B$7:F$22,5,FALSE)</f>
        <v>#N/A</v>
      </c>
      <c r="Q48" s="443"/>
      <c r="R48" s="444"/>
      <c r="S48" s="440"/>
      <c r="T48" s="441"/>
    </row>
    <row r="49" spans="1:20">
      <c r="A49" s="399"/>
      <c r="B49" s="402"/>
      <c r="C49" s="398"/>
      <c r="D49" s="384"/>
      <c r="E49" s="384"/>
      <c r="F49" s="384"/>
      <c r="G49" s="429"/>
      <c r="H49" s="429"/>
      <c r="I49" s="431"/>
      <c r="J49" s="283"/>
      <c r="K49" s="399"/>
      <c r="L49" s="402"/>
      <c r="M49" s="398"/>
      <c r="N49" s="384"/>
      <c r="O49" s="384"/>
      <c r="P49" s="384"/>
      <c r="Q49" s="429"/>
      <c r="R49" s="429"/>
      <c r="S49" s="431"/>
      <c r="T49" s="283"/>
    </row>
    <row r="50" spans="1:20" ht="12.75" customHeight="1">
      <c r="A50" s="399"/>
      <c r="B50" s="403" t="str">
        <f>пр.хода!A27</f>
        <v xml:space="preserve"> </v>
      </c>
      <c r="C50" s="405" t="e">
        <f>VLOOKUP(B50,пр.взв!B$7:E$22,2,FALSE)</f>
        <v>#N/A</v>
      </c>
      <c r="D50" s="393" t="e">
        <f>VLOOKUP(B50,пр.взв!B$7:E$22,3,FALSE)</f>
        <v>#N/A</v>
      </c>
      <c r="E50" s="393" t="e">
        <f>VLOOKUP(B50,пр.взв!B$7:E$22,4,FALSE)</f>
        <v>#N/A</v>
      </c>
      <c r="F50" s="393" t="e">
        <f>VLOOKUP(B50,пр.взв!B$7:F$22,5,FALSE)</f>
        <v>#N/A</v>
      </c>
      <c r="G50" s="438"/>
      <c r="H50" s="438"/>
      <c r="I50" s="284"/>
      <c r="J50" s="284"/>
      <c r="K50" s="399"/>
      <c r="L50" s="403" t="str">
        <f>пр.хода!I27</f>
        <v xml:space="preserve"> </v>
      </c>
      <c r="M50" s="405" t="e">
        <f>VLOOKUP(L50,пр.взв!B$7:F$22,2,FALSE)</f>
        <v>#N/A</v>
      </c>
      <c r="N50" s="393" t="e">
        <f>VLOOKUP(L50,пр.взв!B$7:F$22,3,FALSE)</f>
        <v>#N/A</v>
      </c>
      <c r="O50" s="393" t="e">
        <f>VLOOKUP(L50,пр.взв!B$7:F$22,4,FALSE)</f>
        <v>#N/A</v>
      </c>
      <c r="P50" s="393" t="e">
        <f>VLOOKUP(L50,пр.взв!B$7:F$22,5,FALSE)</f>
        <v>#N/A</v>
      </c>
      <c r="Q50" s="438"/>
      <c r="R50" s="438"/>
      <c r="S50" s="284"/>
      <c r="T50" s="284"/>
    </row>
    <row r="51" spans="1:20" ht="13" thickBot="1">
      <c r="A51" s="464"/>
      <c r="B51" s="404"/>
      <c r="C51" s="406"/>
      <c r="D51" s="394"/>
      <c r="E51" s="394"/>
      <c r="F51" s="394"/>
      <c r="G51" s="439"/>
      <c r="H51" s="439"/>
      <c r="I51" s="442"/>
      <c r="J51" s="442"/>
      <c r="K51" s="400"/>
      <c r="L51" s="404"/>
      <c r="M51" s="406"/>
      <c r="N51" s="394"/>
      <c r="O51" s="394"/>
      <c r="P51" s="394"/>
      <c r="Q51" s="439"/>
      <c r="R51" s="439"/>
      <c r="S51" s="442"/>
      <c r="T51" s="442"/>
    </row>
    <row r="52" spans="1:20" ht="12.75" customHeight="1">
      <c r="A52" s="412">
        <v>2</v>
      </c>
      <c r="B52" s="401" t="str">
        <f>пр.хода!A31</f>
        <v xml:space="preserve"> </v>
      </c>
      <c r="C52" s="397" t="e">
        <f>VLOOKUP(B52,пр.взв!B$7:E$22,2,FALSE)</f>
        <v>#N/A</v>
      </c>
      <c r="D52" s="383" t="e">
        <f>VLOOKUP(B52,пр.взв!B$7:E$22,3,FALSE)</f>
        <v>#N/A</v>
      </c>
      <c r="E52" s="383" t="e">
        <f>VLOOKUP(B52,пр.взв!B$7:E$22,4,FALSE)</f>
        <v>#N/A</v>
      </c>
      <c r="F52" s="383" t="e">
        <f>VLOOKUP(B52,пр.взв!B$7:F$22,5,FALSE)</f>
        <v>#N/A</v>
      </c>
      <c r="G52" s="443"/>
      <c r="H52" s="444"/>
      <c r="I52" s="440"/>
      <c r="J52" s="441"/>
      <c r="K52" s="399">
        <v>4</v>
      </c>
      <c r="L52" s="401" t="str">
        <f>пр.хода!I31</f>
        <v xml:space="preserve"> </v>
      </c>
      <c r="M52" s="397" t="e">
        <f>VLOOKUP(L52,пр.взв!B$7:F$22,2,FALSE)</f>
        <v>#N/A</v>
      </c>
      <c r="N52" s="383" t="e">
        <f>VLOOKUP(L52,пр.взв!B$7:F$22,3,FALSE)</f>
        <v>#N/A</v>
      </c>
      <c r="O52" s="383" t="e">
        <f>VLOOKUP(L52,пр.взв!B$7:F$22,4,FALSE)</f>
        <v>#N/A</v>
      </c>
      <c r="P52" s="383" t="e">
        <f>VLOOKUP(L52,пр.взв!B$7:F$22,5,FALSE)</f>
        <v>#N/A</v>
      </c>
      <c r="Q52" s="443"/>
      <c r="R52" s="444"/>
      <c r="S52" s="440"/>
      <c r="T52" s="441"/>
    </row>
    <row r="53" spans="1:20">
      <c r="A53" s="399"/>
      <c r="B53" s="402"/>
      <c r="C53" s="398"/>
      <c r="D53" s="384"/>
      <c r="E53" s="384"/>
      <c r="F53" s="384"/>
      <c r="G53" s="429"/>
      <c r="H53" s="429"/>
      <c r="I53" s="431"/>
      <c r="J53" s="283"/>
      <c r="K53" s="399"/>
      <c r="L53" s="402"/>
      <c r="M53" s="398"/>
      <c r="N53" s="384"/>
      <c r="O53" s="384"/>
      <c r="P53" s="384"/>
      <c r="Q53" s="429"/>
      <c r="R53" s="429"/>
      <c r="S53" s="431"/>
      <c r="T53" s="283"/>
    </row>
    <row r="54" spans="1:20" ht="12.75" customHeight="1">
      <c r="A54" s="399"/>
      <c r="B54" s="403" t="str">
        <f>пр.хода!A33</f>
        <v xml:space="preserve"> </v>
      </c>
      <c r="C54" s="405" t="e">
        <f>VLOOKUP(B54,пр.взв!B$7:E$22,2,FALSE)</f>
        <v>#N/A</v>
      </c>
      <c r="D54" s="393" t="e">
        <f>VLOOKUP(B54,пр.взв!B$7:E$22,3,FALSE)</f>
        <v>#N/A</v>
      </c>
      <c r="E54" s="393" t="e">
        <f>VLOOKUP(B54,пр.взв!B$7:E$22,4,FALSE)</f>
        <v>#N/A</v>
      </c>
      <c r="F54" s="393" t="e">
        <f>VLOOKUP(B54,пр.взв!B$7:F$22,5,FALSE)</f>
        <v>#N/A</v>
      </c>
      <c r="G54" s="438"/>
      <c r="H54" s="438"/>
      <c r="I54" s="284"/>
      <c r="J54" s="284"/>
      <c r="K54" s="399"/>
      <c r="L54" s="403" t="str">
        <f>пр.хода!I33</f>
        <v xml:space="preserve"> </v>
      </c>
      <c r="M54" s="405" t="e">
        <f>VLOOKUP(L54,пр.взв!B$7:F$22,2,FALSE)</f>
        <v>#N/A</v>
      </c>
      <c r="N54" s="393" t="e">
        <f>VLOOKUP(L54,пр.взв!B$7:F$22,3,FALSE)</f>
        <v>#N/A</v>
      </c>
      <c r="O54" s="393" t="e">
        <f>VLOOKUP(L54,пр.взв!B$7:F$22,4,FALSE)</f>
        <v>#N/A</v>
      </c>
      <c r="P54" s="393" t="e">
        <f>VLOOKUP(L54,пр.взв!B$7:F$22,5,FALSE)</f>
        <v>#N/A</v>
      </c>
      <c r="Q54" s="438"/>
      <c r="R54" s="438"/>
      <c r="S54" s="284"/>
      <c r="T54" s="284"/>
    </row>
    <row r="55" spans="1:20" ht="13" thickBot="1">
      <c r="A55" s="400"/>
      <c r="B55" s="404"/>
      <c r="C55" s="406"/>
      <c r="D55" s="394"/>
      <c r="E55" s="394"/>
      <c r="F55" s="394"/>
      <c r="G55" s="439"/>
      <c r="H55" s="439"/>
      <c r="I55" s="442"/>
      <c r="J55" s="442"/>
      <c r="K55" s="400"/>
      <c r="L55" s="404"/>
      <c r="M55" s="406"/>
      <c r="N55" s="394"/>
      <c r="O55" s="394"/>
      <c r="P55" s="394"/>
      <c r="Q55" s="439"/>
      <c r="R55" s="439"/>
      <c r="S55" s="442"/>
      <c r="T55" s="442"/>
    </row>
    <row r="56" spans="1:20">
      <c r="B56">
        <f>B43</f>
        <v>0</v>
      </c>
      <c r="C56" s="5" t="s">
        <v>92</v>
      </c>
      <c r="L56">
        <f>L43</f>
        <v>0</v>
      </c>
      <c r="M56" s="5" t="s">
        <v>92</v>
      </c>
    </row>
    <row r="57" spans="1:20" ht="15.5">
      <c r="A57" s="407" t="s">
        <v>94</v>
      </c>
      <c r="B57" s="407"/>
      <c r="C57" s="407"/>
      <c r="D57" s="407"/>
      <c r="E57" s="407"/>
      <c r="F57" s="407"/>
      <c r="G57" s="407"/>
      <c r="H57" s="407"/>
      <c r="I57" s="407"/>
      <c r="J57" s="407"/>
      <c r="K57" s="407" t="s">
        <v>94</v>
      </c>
      <c r="L57" s="407"/>
      <c r="M57" s="407"/>
      <c r="N57" s="407"/>
      <c r="O57" s="407"/>
      <c r="P57" s="407"/>
      <c r="Q57" s="407"/>
      <c r="R57" s="407"/>
      <c r="S57" s="407"/>
      <c r="T57" s="407"/>
    </row>
    <row r="58" spans="1:20" ht="16" thickBot="1">
      <c r="B58" s="75" t="s">
        <v>32</v>
      </c>
      <c r="C58" s="80"/>
      <c r="D58" s="80"/>
      <c r="E58" s="80"/>
      <c r="F58" s="80"/>
      <c r="G58" s="83" t="str">
        <f>G45</f>
        <v>В.к. 50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50 кг.</v>
      </c>
      <c r="R58" s="78"/>
      <c r="S58" s="78"/>
      <c r="T58" s="78"/>
    </row>
    <row r="59" spans="1:20" ht="12.75" customHeight="1">
      <c r="A59" s="413" t="s">
        <v>39</v>
      </c>
      <c r="B59" s="415" t="s">
        <v>4</v>
      </c>
      <c r="C59" s="417" t="s">
        <v>5</v>
      </c>
      <c r="D59" s="421" t="s">
        <v>12</v>
      </c>
      <c r="E59" s="389" t="s">
        <v>13</v>
      </c>
      <c r="F59" s="390"/>
      <c r="G59" s="417" t="s">
        <v>14</v>
      </c>
      <c r="H59" s="436" t="s">
        <v>40</v>
      </c>
      <c r="I59" s="408" t="s">
        <v>15</v>
      </c>
      <c r="J59" s="410" t="s">
        <v>16</v>
      </c>
      <c r="K59" s="413" t="s">
        <v>39</v>
      </c>
      <c r="L59" s="446" t="s">
        <v>4</v>
      </c>
      <c r="M59" s="417" t="s">
        <v>5</v>
      </c>
      <c r="N59" s="421" t="s">
        <v>12</v>
      </c>
      <c r="O59" s="385" t="s">
        <v>13</v>
      </c>
      <c r="P59" s="386"/>
      <c r="Q59" s="417" t="s">
        <v>14</v>
      </c>
      <c r="R59" s="436" t="s">
        <v>40</v>
      </c>
      <c r="S59" s="408" t="s">
        <v>15</v>
      </c>
      <c r="T59" s="410" t="s">
        <v>16</v>
      </c>
    </row>
    <row r="60" spans="1:20" ht="13.5" customHeight="1" thickBot="1">
      <c r="A60" s="414"/>
      <c r="B60" s="416" t="s">
        <v>33</v>
      </c>
      <c r="C60" s="418"/>
      <c r="D60" s="422"/>
      <c r="E60" s="391"/>
      <c r="F60" s="392"/>
      <c r="G60" s="418"/>
      <c r="H60" s="437"/>
      <c r="I60" s="409"/>
      <c r="J60" s="411" t="s">
        <v>34</v>
      </c>
      <c r="K60" s="414"/>
      <c r="L60" s="447" t="s">
        <v>33</v>
      </c>
      <c r="M60" s="418"/>
      <c r="N60" s="422"/>
      <c r="O60" s="387"/>
      <c r="P60" s="388"/>
      <c r="Q60" s="418"/>
      <c r="R60" s="437"/>
      <c r="S60" s="409"/>
      <c r="T60" s="411" t="s">
        <v>34</v>
      </c>
    </row>
    <row r="61" spans="1:20" ht="12.75" customHeight="1">
      <c r="A61" s="412">
        <v>1</v>
      </c>
      <c r="B61" s="445">
        <f>пр.хода!C26</f>
        <v>0</v>
      </c>
      <c r="C61" s="397" t="e">
        <f>VLOOKUP(B61,пр.взв!B$7:E$22,2,FALSE)</f>
        <v>#N/A</v>
      </c>
      <c r="D61" s="383" t="e">
        <f>VLOOKUP(B61,пр.взв!B$7:E$22,3,FALSE)</f>
        <v>#N/A</v>
      </c>
      <c r="E61" s="383" t="e">
        <f>VLOOKUP(B61,пр.взв!B$7:E$22,4,FALSE)</f>
        <v>#N/A</v>
      </c>
      <c r="F61" s="383" t="e">
        <f>VLOOKUP(B61,пр.взв!B$7:F$22,5,FALSE)</f>
        <v>#N/A</v>
      </c>
      <c r="G61" s="434"/>
      <c r="H61" s="428"/>
      <c r="I61" s="430"/>
      <c r="J61" s="421"/>
      <c r="K61" s="412">
        <v>2</v>
      </c>
      <c r="L61" s="395">
        <f>пр.хода!M26</f>
        <v>0</v>
      </c>
      <c r="M61" s="397" t="e">
        <f>VLOOKUP(L61,пр.взв!B$7:F$22,2,FALSE)</f>
        <v>#N/A</v>
      </c>
      <c r="N61" s="383" t="e">
        <f>VLOOKUP(L61,пр.взв!B$7:F$22,3,FALSE)</f>
        <v>#N/A</v>
      </c>
      <c r="O61" s="383" t="e">
        <f>VLOOKUP(L61,пр.взв!B$7:F$22,4,FALSE)</f>
        <v>#N/A</v>
      </c>
      <c r="P61" s="383" t="e">
        <f>VLOOKUP(L61,пр.взв!B$7:F$22,5,FALSE)</f>
        <v>#N/A</v>
      </c>
      <c r="Q61" s="443"/>
      <c r="R61" s="444"/>
      <c r="S61" s="440"/>
      <c r="T61" s="441"/>
    </row>
    <row r="62" spans="1:20">
      <c r="A62" s="399"/>
      <c r="B62" s="396"/>
      <c r="C62" s="398"/>
      <c r="D62" s="384"/>
      <c r="E62" s="384"/>
      <c r="F62" s="384"/>
      <c r="G62" s="429"/>
      <c r="H62" s="429"/>
      <c r="I62" s="431"/>
      <c r="J62" s="283"/>
      <c r="K62" s="399"/>
      <c r="L62" s="396"/>
      <c r="M62" s="398"/>
      <c r="N62" s="384"/>
      <c r="O62" s="384"/>
      <c r="P62" s="384"/>
      <c r="Q62" s="429"/>
      <c r="R62" s="429"/>
      <c r="S62" s="431"/>
      <c r="T62" s="283"/>
    </row>
    <row r="63" spans="1:20" ht="12.75" customHeight="1">
      <c r="A63" s="399"/>
      <c r="B63" s="419">
        <f>пр.хода!C32</f>
        <v>0</v>
      </c>
      <c r="C63" s="405" t="e">
        <f>VLOOKUP(B63,пр.взв!B$7:E$22,2,FALSE)</f>
        <v>#N/A</v>
      </c>
      <c r="D63" s="393" t="e">
        <f>VLOOKUP(B63,пр.взв!B$7:E$22,3,FALSE)</f>
        <v>#N/A</v>
      </c>
      <c r="E63" s="393" t="e">
        <f>VLOOKUP(B63,пр.взв!B$7:E$22,4,FALSE)</f>
        <v>#N/A</v>
      </c>
      <c r="F63" s="393" t="e">
        <f>VLOOKUP(B63,пр.взв!B$7:F$22,5,FALSE)</f>
        <v>#N/A</v>
      </c>
      <c r="G63" s="438"/>
      <c r="H63" s="438"/>
      <c r="I63" s="284"/>
      <c r="J63" s="284"/>
      <c r="K63" s="399"/>
      <c r="L63" s="419">
        <f>пр.хода!M32</f>
        <v>0</v>
      </c>
      <c r="M63" s="405" t="e">
        <f>VLOOKUP(L63,пр.взв!B$7:F$22,2,FALSE)</f>
        <v>#N/A</v>
      </c>
      <c r="N63" s="393" t="e">
        <f>VLOOKUP(L63,пр.взв!B$7:F$22,3,FALSE)</f>
        <v>#N/A</v>
      </c>
      <c r="O63" s="393" t="e">
        <f>VLOOKUP(L63,пр.взв!B$7:F$22,4,FALSE)</f>
        <v>#N/A</v>
      </c>
      <c r="P63" s="393" t="e">
        <f>VLOOKUP(L63,пр.взв!B$7:F$22,5,FALSE)</f>
        <v>#N/A</v>
      </c>
      <c r="Q63" s="438"/>
      <c r="R63" s="438"/>
      <c r="S63" s="284"/>
      <c r="T63" s="284"/>
    </row>
    <row r="64" spans="1:20" ht="13" thickBot="1">
      <c r="A64" s="400"/>
      <c r="B64" s="420"/>
      <c r="C64" s="406"/>
      <c r="D64" s="394"/>
      <c r="E64" s="394"/>
      <c r="F64" s="394"/>
      <c r="G64" s="439"/>
      <c r="H64" s="439"/>
      <c r="I64" s="442"/>
      <c r="J64" s="442"/>
      <c r="K64" s="400"/>
      <c r="L64" s="420"/>
      <c r="M64" s="406"/>
      <c r="N64" s="394"/>
      <c r="O64" s="394"/>
      <c r="P64" s="394"/>
      <c r="Q64" s="439"/>
      <c r="R64" s="439"/>
      <c r="S64" s="442"/>
      <c r="T64" s="442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5"/>
  <cols>
    <col min="1" max="1" width="4.7265625" customWidth="1"/>
    <col min="2" max="2" width="5.1796875" customWidth="1"/>
    <col min="3" max="3" width="21.54296875" customWidth="1"/>
    <col min="4" max="4" width="8.453125" customWidth="1"/>
    <col min="5" max="5" width="6.1796875" customWidth="1"/>
    <col min="6" max="6" width="17.81640625" customWidth="1"/>
    <col min="7" max="7" width="22.54296875" customWidth="1"/>
    <col min="8" max="9" width="7.1796875" customWidth="1"/>
  </cols>
  <sheetData>
    <row r="1" spans="1:9" ht="32.5" customHeight="1">
      <c r="A1" s="475" t="str">
        <f>пр.взв!B2</f>
        <v>Кубок России по самбо среди женщин(ЕКП№1801).</v>
      </c>
      <c r="B1" s="476"/>
      <c r="C1" s="476"/>
      <c r="D1" s="476"/>
      <c r="E1" s="476"/>
      <c r="F1" s="476"/>
      <c r="G1" s="476"/>
      <c r="H1" s="476"/>
      <c r="I1" s="476"/>
    </row>
    <row r="2" spans="1:9" ht="27" customHeight="1">
      <c r="D2" s="53"/>
      <c r="E2" s="68" t="str">
        <f>HYPERLINK(пр.взв!D4)</f>
        <v>В.к. 50 кг.</v>
      </c>
    </row>
    <row r="3" spans="1:9" ht="21.65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3" t="s">
        <v>11</v>
      </c>
      <c r="B5" s="283" t="s">
        <v>4</v>
      </c>
      <c r="C5" s="441" t="s">
        <v>5</v>
      </c>
      <c r="D5" s="283" t="s">
        <v>12</v>
      </c>
      <c r="E5" s="466" t="s">
        <v>13</v>
      </c>
      <c r="F5" s="467"/>
      <c r="G5" s="283" t="s">
        <v>14</v>
      </c>
      <c r="H5" s="283" t="s">
        <v>15</v>
      </c>
      <c r="I5" s="283" t="s">
        <v>16</v>
      </c>
    </row>
    <row r="6" spans="1:9">
      <c r="A6" s="284"/>
      <c r="B6" s="284"/>
      <c r="C6" s="284"/>
      <c r="D6" s="284"/>
      <c r="E6" s="468"/>
      <c r="F6" s="469"/>
      <c r="G6" s="284"/>
      <c r="H6" s="284"/>
      <c r="I6" s="284"/>
    </row>
    <row r="7" spans="1:9">
      <c r="A7" s="479"/>
      <c r="B7" s="460">
        <f>пр.хода!D29</f>
        <v>0</v>
      </c>
      <c r="C7" s="470" t="e">
        <f>VLOOKUP(B7,пр.взв!B7:D22,2,FALSE)</f>
        <v>#N/A</v>
      </c>
      <c r="D7" s="470" t="e">
        <f>VLOOKUP(B7,пр.взв!B7:F38,3,FALSE)</f>
        <v>#N/A</v>
      </c>
      <c r="E7" s="477" t="e">
        <f>VLOOKUP(B7,пр.взв!B7:F38,4,FALSE)</f>
        <v>#N/A</v>
      </c>
      <c r="F7" s="470" t="e">
        <f>VLOOKUP(B7,пр.взв!B7:G28,5,FALSE)</f>
        <v>#N/A</v>
      </c>
      <c r="G7" s="429"/>
      <c r="H7" s="431"/>
      <c r="I7" s="283"/>
    </row>
    <row r="8" spans="1:9">
      <c r="A8" s="479"/>
      <c r="B8" s="283"/>
      <c r="C8" s="470"/>
      <c r="D8" s="470"/>
      <c r="E8" s="477"/>
      <c r="F8" s="470"/>
      <c r="G8" s="429"/>
      <c r="H8" s="431"/>
      <c r="I8" s="283"/>
    </row>
    <row r="9" spans="1:9">
      <c r="A9" s="478"/>
      <c r="B9" s="460" t="str">
        <f>пр.хода!C35</f>
        <v/>
      </c>
      <c r="C9" s="470" t="e">
        <f>VLOOKUP(B9,пр.взв!B7:D22,2,FALSE)</f>
        <v>#N/A</v>
      </c>
      <c r="D9" s="470" t="e">
        <f>VLOOKUP(B9,пр.взв!B7:F40,3,FALSE)</f>
        <v>#N/A</v>
      </c>
      <c r="E9" s="477" t="e">
        <f>VLOOKUP(B9,пр.взв!B7:F40,4,FALSE)</f>
        <v>#N/A</v>
      </c>
      <c r="F9" s="470" t="e">
        <f>VLOOKUP(B9,пр.взв!B7:G30,5,FALSE)</f>
        <v>#N/A</v>
      </c>
      <c r="G9" s="429"/>
      <c r="H9" s="283"/>
      <c r="I9" s="283"/>
    </row>
    <row r="10" spans="1:9">
      <c r="A10" s="478"/>
      <c r="B10" s="283"/>
      <c r="C10" s="470"/>
      <c r="D10" s="470"/>
      <c r="E10" s="477"/>
      <c r="F10" s="470"/>
      <c r="G10" s="429"/>
      <c r="H10" s="283"/>
      <c r="I10" s="283"/>
    </row>
    <row r="11" spans="1:9" ht="29.25" customHeight="1">
      <c r="A11" s="2" t="s">
        <v>17</v>
      </c>
      <c r="B11" s="2"/>
    </row>
    <row r="12" spans="1:9" ht="20.149999999999999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49999999999999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49999999999999" customHeight="1"/>
    <row r="15" spans="1:9" ht="20.149999999999999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50 кг.</v>
      </c>
    </row>
    <row r="17" spans="1:9" ht="12.75" customHeight="1">
      <c r="A17" s="283" t="s">
        <v>11</v>
      </c>
      <c r="B17" s="283" t="s">
        <v>4</v>
      </c>
      <c r="C17" s="441" t="s">
        <v>5</v>
      </c>
      <c r="D17" s="283" t="s">
        <v>12</v>
      </c>
      <c r="E17" s="466" t="s">
        <v>13</v>
      </c>
      <c r="F17" s="467"/>
      <c r="G17" s="283" t="s">
        <v>14</v>
      </c>
      <c r="H17" s="283" t="s">
        <v>15</v>
      </c>
      <c r="I17" s="283" t="s">
        <v>16</v>
      </c>
    </row>
    <row r="18" spans="1:9">
      <c r="A18" s="284"/>
      <c r="B18" s="284"/>
      <c r="C18" s="284"/>
      <c r="D18" s="284"/>
      <c r="E18" s="468"/>
      <c r="F18" s="469"/>
      <c r="G18" s="284"/>
      <c r="H18" s="284"/>
      <c r="I18" s="284"/>
    </row>
    <row r="19" spans="1:9">
      <c r="A19" s="479"/>
      <c r="B19" s="460">
        <f>пр.хода!N29</f>
        <v>0</v>
      </c>
      <c r="C19" s="480" t="e">
        <f>VLOOKUP(B19,пр.взв!B1:D22,2,FALSE)</f>
        <v>#N/A</v>
      </c>
      <c r="D19" s="480" t="e">
        <f>VLOOKUP(B19,пр.взв!B1:F22,3,FALSE)</f>
        <v>#N/A</v>
      </c>
      <c r="E19" s="471" t="e">
        <f>VLOOKUP(B19,пр.взв!B1:F22,4,FALSE)</f>
        <v>#N/A</v>
      </c>
      <c r="F19" s="470" t="e">
        <f>VLOOKUP(B19,пр.взв!B1:G22,5,FALSE)</f>
        <v>#N/A</v>
      </c>
      <c r="G19" s="474"/>
      <c r="H19" s="431"/>
      <c r="I19" s="283"/>
    </row>
    <row r="20" spans="1:9">
      <c r="A20" s="479"/>
      <c r="B20" s="283"/>
      <c r="C20" s="481"/>
      <c r="D20" s="481"/>
      <c r="E20" s="473"/>
      <c r="F20" s="470"/>
      <c r="G20" s="474"/>
      <c r="H20" s="431"/>
      <c r="I20" s="283"/>
    </row>
    <row r="21" spans="1:9">
      <c r="A21" s="478"/>
      <c r="B21" s="460" t="str">
        <f>пр.хода!M35</f>
        <v/>
      </c>
      <c r="C21" s="480" t="e">
        <f>VLOOKUP(B21,пр.взв!B1:D22,2,FALSE)</f>
        <v>#N/A</v>
      </c>
      <c r="D21" s="480" t="e">
        <f>VLOOKUP(B21,пр.взв!B1:F22,3,FALSE)</f>
        <v>#N/A</v>
      </c>
      <c r="E21" s="471" t="e">
        <f>VLOOKUP(B21,пр.взв!B2:F22,4,FALSE)</f>
        <v>#N/A</v>
      </c>
      <c r="F21" s="470" t="e">
        <f>VLOOKUP(B21,пр.взв!B1:G22,5,FALSE)</f>
        <v>#N/A</v>
      </c>
      <c r="G21" s="474"/>
      <c r="H21" s="283"/>
      <c r="I21" s="283"/>
    </row>
    <row r="22" spans="1:9">
      <c r="A22" s="478"/>
      <c r="B22" s="283"/>
      <c r="C22" s="481"/>
      <c r="D22" s="481"/>
      <c r="E22" s="472"/>
      <c r="F22" s="470"/>
      <c r="G22" s="474"/>
      <c r="H22" s="283"/>
      <c r="I22" s="283"/>
    </row>
    <row r="23" spans="1:9" ht="29.25" customHeight="1">
      <c r="A23" s="2" t="s">
        <v>17</v>
      </c>
      <c r="B23" s="2"/>
    </row>
    <row r="24" spans="1:9" ht="20.149999999999999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49999999999999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49999999999999" customHeight="1"/>
    <row r="27" spans="1:9" ht="20.149999999999999" customHeight="1"/>
    <row r="28" spans="1:9" ht="20.149999999999999" customHeight="1"/>
    <row r="29" spans="1:9" ht="15.5">
      <c r="C29" s="47" t="s">
        <v>19</v>
      </c>
      <c r="E29" s="68" t="str">
        <f>HYPERLINK(пр.взв!D4)</f>
        <v>В.к. 50 кг.</v>
      </c>
    </row>
    <row r="30" spans="1:9" ht="12.75" customHeight="1">
      <c r="A30" s="283" t="s">
        <v>11</v>
      </c>
      <c r="B30" s="283" t="s">
        <v>4</v>
      </c>
      <c r="C30" s="441" t="s">
        <v>5</v>
      </c>
      <c r="D30" s="283" t="s">
        <v>12</v>
      </c>
      <c r="E30" s="466" t="s">
        <v>13</v>
      </c>
      <c r="F30" s="467"/>
      <c r="G30" s="283" t="s">
        <v>14</v>
      </c>
      <c r="H30" s="283" t="s">
        <v>15</v>
      </c>
      <c r="I30" s="283" t="s">
        <v>16</v>
      </c>
    </row>
    <row r="31" spans="1:9">
      <c r="A31" s="284"/>
      <c r="B31" s="284"/>
      <c r="C31" s="284"/>
      <c r="D31" s="284"/>
      <c r="E31" s="468"/>
      <c r="F31" s="469"/>
      <c r="G31" s="284"/>
      <c r="H31" s="284"/>
      <c r="I31" s="284"/>
    </row>
    <row r="32" spans="1:9">
      <c r="A32" s="479"/>
      <c r="B32" s="460">
        <f>пр.хода!I14</f>
        <v>0</v>
      </c>
      <c r="C32" s="470" t="e">
        <f>VLOOKUP(B32,пр.взв!B3:D22,2,FALSE)</f>
        <v>#N/A</v>
      </c>
      <c r="D32" s="470" t="e">
        <f>VLOOKUP(B32,пр.взв!B3:F22,3,FALSE)</f>
        <v>#N/A</v>
      </c>
      <c r="E32" s="477" t="e">
        <f>VLOOKUP(B32,пр.взв!B3:F22,4,FALSE)</f>
        <v>#N/A</v>
      </c>
      <c r="F32" s="470" t="e">
        <f>VLOOKUP(B32,пр.взв!B3:G22,5,FALSE)</f>
        <v>#N/A</v>
      </c>
      <c r="G32" s="429"/>
      <c r="H32" s="431"/>
      <c r="I32" s="283"/>
    </row>
    <row r="33" spans="1:9">
      <c r="A33" s="479"/>
      <c r="B33" s="283"/>
      <c r="C33" s="470"/>
      <c r="D33" s="470"/>
      <c r="E33" s="477"/>
      <c r="F33" s="470"/>
      <c r="G33" s="429"/>
      <c r="H33" s="431"/>
      <c r="I33" s="283"/>
    </row>
    <row r="34" spans="1:9">
      <c r="A34" s="478"/>
      <c r="B34" s="460">
        <f>пр.хода!M14</f>
        <v>0</v>
      </c>
      <c r="C34" s="470" t="e">
        <f>VLOOKUP(B34,пр.взв!B3:D22,2,FALSE)</f>
        <v>#N/A</v>
      </c>
      <c r="D34" s="470" t="e">
        <f>VLOOKUP(B34,пр.взв!B3:F22,3,FALSE)</f>
        <v>#N/A</v>
      </c>
      <c r="E34" s="477" t="e">
        <f>VLOOKUP(B34,пр.взв!B3:F22,4,FALSE)</f>
        <v>#N/A</v>
      </c>
      <c r="F34" s="470" t="e">
        <f>VLOOKUP(B34,пр.взв!B3:G22,5,FALSE)</f>
        <v>#N/A</v>
      </c>
      <c r="G34" s="429"/>
      <c r="H34" s="283"/>
      <c r="I34" s="283"/>
    </row>
    <row r="35" spans="1:9">
      <c r="A35" s="478"/>
      <c r="B35" s="283"/>
      <c r="C35" s="470"/>
      <c r="D35" s="470"/>
      <c r="E35" s="477"/>
      <c r="F35" s="470"/>
      <c r="G35" s="429"/>
      <c r="H35" s="283"/>
      <c r="I35" s="283"/>
    </row>
    <row r="36" spans="1:9" ht="36" customHeight="1">
      <c r="A36" s="2" t="s">
        <v>17</v>
      </c>
      <c r="B36" s="2"/>
    </row>
    <row r="37" spans="1:9" ht="20.149999999999999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49999999999999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49999999999999" customHeight="1"/>
    <row r="42" spans="1:9" ht="13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 ht="13">
      <c r="A43" s="49"/>
      <c r="B43" s="49"/>
      <c r="C43" s="49"/>
      <c r="D43" s="49"/>
      <c r="E43" s="4"/>
      <c r="F43" s="8"/>
      <c r="G43" s="4"/>
    </row>
    <row r="44" spans="1:9" ht="13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workbookViewId="0">
      <selection activeCell="F11" sqref="F11"/>
    </sheetView>
  </sheetViews>
  <sheetFormatPr defaultRowHeight="12.5"/>
  <cols>
    <col min="1" max="1" width="8" customWidth="1"/>
    <col min="2" max="2" width="7.54296875" customWidth="1"/>
    <col min="3" max="3" width="21.26953125" customWidth="1"/>
    <col min="4" max="4" width="12.26953125" customWidth="1"/>
    <col min="5" max="5" width="7.7265625" customWidth="1"/>
    <col min="6" max="6" width="14.54296875" customWidth="1"/>
    <col min="7" max="7" width="8.81640625" customWidth="1"/>
    <col min="8" max="8" width="18.81640625" customWidth="1"/>
    <col min="10" max="10" width="15.7265625" customWidth="1"/>
    <col min="11" max="11" width="3.1796875" customWidth="1"/>
    <col min="12" max="18" width="9.1796875" hidden="1" customWidth="1"/>
    <col min="19" max="19" width="5.7265625" hidden="1" customWidth="1"/>
    <col min="20" max="20" width="16.1796875" hidden="1" customWidth="1"/>
    <col min="21" max="35" width="0" hidden="1" customWidth="1"/>
  </cols>
  <sheetData>
    <row r="1" spans="1:41" ht="23.25" customHeight="1" thickBot="1">
      <c r="A1" s="306" t="s">
        <v>22</v>
      </c>
      <c r="B1" s="306"/>
      <c r="C1" s="306"/>
      <c r="D1" s="306"/>
      <c r="E1" s="306"/>
      <c r="F1" s="306"/>
      <c r="G1" s="306"/>
      <c r="H1" s="306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94" t="s">
        <v>71</v>
      </c>
      <c r="C2" s="494"/>
      <c r="D2" s="495" t="str">
        <f>пр.взв!B2</f>
        <v>Кубок России по самбо среди женщин(ЕКП№1801).</v>
      </c>
      <c r="E2" s="496"/>
      <c r="F2" s="496"/>
      <c r="G2" s="496"/>
      <c r="H2" s="497"/>
      <c r="T2" s="294">
        <f>SUMIF(J14:J16,V1,$K$14:$K$17)</f>
        <v>2</v>
      </c>
      <c r="U2" s="294"/>
      <c r="V2" s="294"/>
      <c r="W2" s="294"/>
      <c r="X2" s="294"/>
    </row>
    <row r="3" spans="1:41" ht="24.75" customHeight="1" thickBot="1">
      <c r="A3" s="110"/>
      <c r="B3" s="502" t="str">
        <f>пр.взв!A3</f>
        <v>21-25 ноября 2022 года                          г.Кстово, Нижегородская обл.</v>
      </c>
      <c r="C3" s="502"/>
      <c r="D3" s="502"/>
      <c r="E3" s="502"/>
      <c r="F3" s="502"/>
      <c r="G3" s="494" t="str">
        <f>пр.взв!D4</f>
        <v>В.к. 50 кг.</v>
      </c>
      <c r="H3" s="503"/>
    </row>
    <row r="4" spans="1:41" ht="12.75" customHeight="1" thickBot="1">
      <c r="A4" s="504" t="s">
        <v>44</v>
      </c>
      <c r="B4" s="506" t="s">
        <v>4</v>
      </c>
      <c r="C4" s="508" t="s">
        <v>5</v>
      </c>
      <c r="D4" s="390" t="s">
        <v>6</v>
      </c>
      <c r="E4" s="389" t="s">
        <v>7</v>
      </c>
      <c r="F4" s="390"/>
      <c r="G4" s="500" t="s">
        <v>9</v>
      </c>
      <c r="H4" s="498" t="s">
        <v>8</v>
      </c>
      <c r="J4" s="490" t="e">
        <f>IFERROR(LEFT(F6,FIND(",",F6)-1),F6)</f>
        <v>#N/A</v>
      </c>
      <c r="K4" s="491">
        <v>1</v>
      </c>
      <c r="L4" s="492" t="s">
        <v>52</v>
      </c>
      <c r="M4" s="487" t="s">
        <v>53</v>
      </c>
      <c r="N4" s="482"/>
      <c r="O4" s="483"/>
      <c r="P4" s="483"/>
      <c r="Q4" s="484"/>
      <c r="S4" s="485" t="s">
        <v>52</v>
      </c>
      <c r="T4" s="487" t="s">
        <v>53</v>
      </c>
      <c r="U4" s="482"/>
      <c r="V4" s="483"/>
      <c r="W4" s="483"/>
      <c r="X4" s="484"/>
      <c r="AC4" s="485" t="s">
        <v>52</v>
      </c>
      <c r="AD4" s="487" t="s">
        <v>53</v>
      </c>
      <c r="AE4" s="482"/>
      <c r="AF4" s="483"/>
      <c r="AG4" s="483"/>
      <c r="AH4" s="484"/>
      <c r="AJ4" s="485" t="s">
        <v>52</v>
      </c>
      <c r="AK4" s="487" t="s">
        <v>53</v>
      </c>
      <c r="AL4" s="482"/>
      <c r="AM4" s="483"/>
      <c r="AN4" s="483"/>
      <c r="AO4" s="484"/>
    </row>
    <row r="5" spans="1:41" ht="16" thickBot="1">
      <c r="A5" s="505"/>
      <c r="B5" s="507"/>
      <c r="C5" s="509"/>
      <c r="D5" s="469"/>
      <c r="E5" s="468"/>
      <c r="F5" s="469"/>
      <c r="G5" s="501"/>
      <c r="H5" s="499"/>
      <c r="J5" s="490"/>
      <c r="K5" s="491"/>
      <c r="L5" s="493"/>
      <c r="M5" s="489"/>
      <c r="N5" s="91">
        <v>1</v>
      </c>
      <c r="O5" s="92">
        <v>2</v>
      </c>
      <c r="P5" s="92">
        <v>3</v>
      </c>
      <c r="Q5" s="93">
        <v>5</v>
      </c>
      <c r="S5" s="486"/>
      <c r="T5" s="489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486"/>
      <c r="AD5" s="488"/>
      <c r="AE5" s="194">
        <v>1</v>
      </c>
      <c r="AF5" s="195">
        <v>2</v>
      </c>
      <c r="AG5" s="195">
        <v>3</v>
      </c>
      <c r="AH5" s="196">
        <v>5</v>
      </c>
      <c r="AJ5" s="486"/>
      <c r="AK5" s="488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90" t="s">
        <v>54</v>
      </c>
      <c r="K6" s="491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90"/>
      <c r="K7" s="491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1" t="e">
        <f>IFERROR(LEFT(F7,FIND(",",F7)-1),F7)</f>
        <v>#N/A</v>
      </c>
      <c r="K8" s="491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1"/>
      <c r="K9" s="491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1" t="e">
        <f>IFERROR(LEFT(F8,FIND(",",F8)-1),F8)</f>
        <v>#N/A</v>
      </c>
      <c r="K10" s="491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1"/>
      <c r="K11" s="491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43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1" t="e">
        <f>IFERROR(LEFT(F9,FIND(",",F9)-1),F9)</f>
        <v>#N/A</v>
      </c>
      <c r="K12" s="491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43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1"/>
      <c r="K13" s="491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50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1" t="e">
        <f>IFERROR(LEFT(F10,FIND(",",F10)-1),F10)</f>
        <v>#N/A</v>
      </c>
      <c r="K14" s="491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50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1"/>
      <c r="K15" s="491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50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1" t="e">
        <f>IFERROR(LEFT(F11,FIND(",",F11)-1),F11)</f>
        <v>#N/A</v>
      </c>
      <c r="K16" s="491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50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1"/>
      <c r="K17" s="491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51</v>
      </c>
      <c r="B18" s="269">
        <f>пр.хода!Z29</f>
        <v>1</v>
      </c>
      <c r="C18" s="270" t="str">
        <f>VLOOKUP(B18,пр.взв!B3:H22,2,FALSE)</f>
        <v>САРГСЯН Анна Андраниковна</v>
      </c>
      <c r="D18" s="270" t="str">
        <f>VLOOKUP(B18,пр.взв!B3:H101,3,FALSE)</f>
        <v>14.05.2002, КМС</v>
      </c>
      <c r="E18" s="271" t="str">
        <f>VLOOKUP(B18,пр.взв!B3:H22,4,FALSE)</f>
        <v>ЮФО</v>
      </c>
      <c r="F18" s="270" t="str">
        <f>VLOOKUP(B18,пр.взв!B3:H22,5,FALSE)</f>
        <v xml:space="preserve"> Краснодарский край Армавир</v>
      </c>
      <c r="G18" s="270">
        <f>VLOOKUP(B18,пр.взв!B3:H22,6,FALSE)</f>
        <v>0</v>
      </c>
      <c r="H18" s="276" t="str">
        <f>VLOOKUP(B18,пр.взв!B3:H103,7,FALSE)</f>
        <v>Бородин Владимир Георгиевич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51</v>
      </c>
      <c r="B19" s="269">
        <f>пр.хода!Z30</f>
        <v>2</v>
      </c>
      <c r="C19" s="270" t="str">
        <f>VLOOKUP(B19,пр.взв!B3:H22,2,FALSE)</f>
        <v>КОБЕЛЕВА Оксана Вячеславовна</v>
      </c>
      <c r="D19" s="270" t="str">
        <f>VLOOKUP(B19,пр.взв!B3:H103,3,FALSE)</f>
        <v>20.09.2001, МС</v>
      </c>
      <c r="E19" s="271" t="str">
        <f>VLOOKUP(B19,пр.взв!B3:H22,4,FALSE)</f>
        <v>УФО</v>
      </c>
      <c r="F19" s="270" t="str">
        <f>VLOOKUP(B19,пр.взв!B3:H22,5,FALSE)</f>
        <v>Свердловская обл. Екатеринбург</v>
      </c>
      <c r="G19" s="270">
        <f>VLOOKUP(B19,пр.взв!B3:H22,6,FALSE)</f>
        <v>0</v>
      </c>
      <c r="H19" s="276" t="str">
        <f>VLOOKUP(B19,пр.взв!B3:H105,7,FALSE)</f>
        <v>Воронов В.В.</v>
      </c>
    </row>
    <row r="20" spans="1:24" ht="24" customHeight="1">
      <c r="A20" s="281" t="s">
        <v>51</v>
      </c>
      <c r="B20" s="269">
        <f>пр.хода!Z31</f>
        <v>3</v>
      </c>
      <c r="C20" s="270" t="str">
        <f>VLOOKUP(B20,пр.взв!B3:H22,2,FALSE)</f>
        <v>ЕГОРОВА Елизавета Евгеньевна</v>
      </c>
      <c r="D20" s="270" t="str">
        <f>VLOOKUP(B20,пр.взв!B3:H105,3,FALSE)</f>
        <v>15.02.2002, МС</v>
      </c>
      <c r="E20" s="271" t="str">
        <f>VLOOKUP(B20,пр.взв!B3:H22,4,FALSE)</f>
        <v>ПФО</v>
      </c>
      <c r="F20" s="270" t="str">
        <f>VLOOKUP(B20,пр.взв!B3:H22,5,FALSE)</f>
        <v xml:space="preserve"> Чувашская Республика - Чувашия Чебоксары</v>
      </c>
      <c r="G20" s="270">
        <f>VLOOKUP(B20,пр.взв!B3:H22,6,FALSE)</f>
        <v>0</v>
      </c>
      <c r="H20" s="276" t="str">
        <f>VLOOKUP(B20,пр.взв!B3:H107,7,FALSE)</f>
        <v>Пегасов С.В.</v>
      </c>
    </row>
    <row r="21" spans="1:24" ht="24" customHeight="1" thickBot="1">
      <c r="A21" s="282" t="s">
        <v>51</v>
      </c>
      <c r="B21" s="277">
        <f>пр.хода!Z32</f>
        <v>4</v>
      </c>
      <c r="C21" s="267" t="str">
        <f>VLOOKUP(B21,пр.взв!B3:H22,2,FALSE)</f>
        <v>БЛИНОВА Ксения Сергеевна</v>
      </c>
      <c r="D21" s="267" t="str">
        <f>VLOOKUP(B21,пр.взв!B3:H107,3,FALSE)</f>
        <v>08.09.1999, МС</v>
      </c>
      <c r="E21" s="278" t="str">
        <f>VLOOKUP(B21,пр.взв!B3:H22,4,FALSE)</f>
        <v>СФО</v>
      </c>
      <c r="F21" s="267" t="str">
        <f>VLOOKUP(B21,пр.взв!B3:H22,5,FALSE)</f>
        <v xml:space="preserve"> Новосибирская обл. Новосибирск, Новосибирская область</v>
      </c>
      <c r="G21" s="267">
        <f>VLOOKUP(B21,пр.взв!B3:H22,6,FALSE)</f>
        <v>0</v>
      </c>
      <c r="H21" s="268" t="str">
        <f>VLOOKUP(B21,пр.взв!B3:H109,7,FALSE)</f>
        <v>Орлов А.А., Лепяхов С.В.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Болотский Р.М.</v>
      </c>
    </row>
    <row r="25" spans="1:24" ht="15.5">
      <c r="A25" s="63"/>
      <c r="B25" s="63"/>
      <c r="C25" s="64"/>
      <c r="D25" s="66"/>
      <c r="E25" s="66"/>
      <c r="F25" s="66"/>
      <c r="G25" s="84" t="str">
        <f>пр.хода!N38</f>
        <v>/г.Москва/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.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Зарипов А.А.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/г. 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J8:J9"/>
    <mergeCell ref="K8:K9"/>
    <mergeCell ref="J10:J11"/>
    <mergeCell ref="K10:K11"/>
    <mergeCell ref="J6:J7"/>
    <mergeCell ref="K6:K7"/>
    <mergeCell ref="J12:J13"/>
    <mergeCell ref="K12:K13"/>
    <mergeCell ref="J14:J15"/>
    <mergeCell ref="K14:K15"/>
    <mergeCell ref="J16:J17"/>
    <mergeCell ref="K16:K17"/>
    <mergeCell ref="N4:Q4"/>
    <mergeCell ref="S4:S5"/>
    <mergeCell ref="T4:T5"/>
    <mergeCell ref="U4:X4"/>
    <mergeCell ref="J4:J5"/>
    <mergeCell ref="K4:K5"/>
    <mergeCell ref="L4:L5"/>
    <mergeCell ref="M4:M5"/>
    <mergeCell ref="AL4:AO4"/>
    <mergeCell ref="T2:X2"/>
    <mergeCell ref="AC4:AC5"/>
    <mergeCell ref="AD4:AD5"/>
    <mergeCell ref="AE4:AH4"/>
    <mergeCell ref="AJ4:AJ5"/>
    <mergeCell ref="AK4:AK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5"/>
  <cols>
    <col min="1" max="1" width="4.7265625" customWidth="1"/>
    <col min="2" max="2" width="15.54296875" customWidth="1"/>
    <col min="3" max="3" width="8.26953125" customWidth="1"/>
    <col min="5" max="5" width="4.7265625" customWidth="1"/>
    <col min="6" max="6" width="16.1796875" customWidth="1"/>
    <col min="7" max="7" width="4.7265625" customWidth="1"/>
    <col min="8" max="8" width="14.54296875" customWidth="1"/>
    <col min="9" max="9" width="4.7265625" customWidth="1"/>
    <col min="11" max="11" width="7.7265625" customWidth="1"/>
    <col min="12" max="12" width="7.26953125" customWidth="1"/>
    <col min="13" max="13" width="4.7265625" customWidth="1"/>
    <col min="15" max="15" width="4.7265625" customWidth="1"/>
    <col min="17" max="17" width="4.7265625" customWidth="1"/>
    <col min="19" max="19" width="7.26953125" customWidth="1"/>
    <col min="20" max="20" width="12.81640625" customWidth="1"/>
    <col min="21" max="21" width="4.7265625" customWidth="1"/>
  </cols>
  <sheetData>
    <row r="1" spans="1:19" ht="33" customHeight="1">
      <c r="A1" s="526" t="str">
        <f>пр.взв!B2</f>
        <v>Кубок России по самбо среди женщин(ЕКП№1801).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44"/>
      <c r="M1" s="44"/>
      <c r="N1" s="44"/>
      <c r="O1" s="44"/>
      <c r="P1" s="44"/>
    </row>
    <row r="2" spans="1:19" ht="12.75" customHeight="1">
      <c r="A2" s="527" t="str">
        <f>пр.взв!A3</f>
        <v>21-25 ноября 2022 года                          г.Кстово, Нижегородская обл.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45"/>
      <c r="M2" s="45"/>
      <c r="N2" s="45"/>
      <c r="O2" s="45"/>
      <c r="P2" s="45"/>
      <c r="S2" s="9"/>
    </row>
    <row r="3" spans="1:19" ht="15.5">
      <c r="A3" s="46"/>
      <c r="B3" s="46"/>
      <c r="C3" s="46"/>
      <c r="D3" s="46"/>
      <c r="E3" s="46"/>
      <c r="F3" s="67" t="str">
        <f>HYPERLINK(пр.взв!D4)</f>
        <v>В.к. 50 кг.</v>
      </c>
      <c r="G3" s="46"/>
      <c r="H3" s="46"/>
      <c r="I3" s="46"/>
      <c r="J3" s="46"/>
      <c r="K3" s="46"/>
      <c r="L3" s="46"/>
    </row>
    <row r="4" spans="1:19" ht="16" thickBot="1">
      <c r="A4" s="528" t="s">
        <v>0</v>
      </c>
      <c r="B4" s="528"/>
      <c r="C4" s="5"/>
    </row>
    <row r="5" spans="1:19" ht="12.75" customHeight="1" thickBot="1">
      <c r="A5" s="525">
        <v>1</v>
      </c>
      <c r="B5" s="510" t="str">
        <f>VLOOKUP(A5,пр.взв!B5:C22,2,FALSE)</f>
        <v>САРГСЯН Анна Андраниковна</v>
      </c>
      <c r="C5" s="523" t="str">
        <f>VLOOKUP(A5,пр.взв!B5:F22,3,FALSE)</f>
        <v>14.05.2002, КМС</v>
      </c>
      <c r="D5" s="510" t="str">
        <f>VLOOKUP(A5,пр.взв!B5:F22,4,FALSE)</f>
        <v>ЮФО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2"/>
      <c r="B6" s="522"/>
      <c r="C6" s="524"/>
      <c r="D6" s="522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2">
        <v>9</v>
      </c>
      <c r="B7" s="516" t="str">
        <f>VLOOKUP(A7,пр.взв!B7:C22,2,FALSE)</f>
        <v>ФЕДОРОВА Татьяна Владимировна</v>
      </c>
      <c r="C7" s="518" t="str">
        <f>VLOOKUP(A7,пр.взв!B5:F22,3,FALSE)</f>
        <v>25.11.2001, МС</v>
      </c>
      <c r="D7" s="511" t="str">
        <f>VLOOKUP(A7,пр.взв!B1:G22,5,FALSE)</f>
        <v xml:space="preserve"> Чувашская Республика - Чувашия Чебоксары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3"/>
      <c r="B8" s="517"/>
      <c r="C8" s="519"/>
      <c r="D8" s="517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5">
        <v>5</v>
      </c>
      <c r="B9" s="510" t="str">
        <f>VLOOKUP(A9,пр.взв!B9:C22,2,FALSE)</f>
        <v>ДИКАЯ Валентина Александровна</v>
      </c>
      <c r="C9" s="523" t="str">
        <f>VLOOKUP(A9,пр.взв!B5:E22,3,FALSE)</f>
        <v>22.08.1999, МС</v>
      </c>
      <c r="D9" s="510" t="str">
        <f>VLOOKUP(A9,пр.взв!B3:G22,5,FALSE)</f>
        <v xml:space="preserve"> г. Санкт-Петербург Санкт-Петербург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2"/>
      <c r="B10" s="522"/>
      <c r="C10" s="524"/>
      <c r="D10" s="522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2">
        <v>13</v>
      </c>
      <c r="B11" s="516" t="str">
        <f>VLOOKUP(A11,пр.взв!B5:C22,2,FALSE)</f>
        <v>НЕФЁДОВА Екатерина Дмитриевна</v>
      </c>
      <c r="C11" s="518" t="str">
        <f>VLOOKUP(A11,пр.взв!B5:E22,3,FALSE)</f>
        <v>06.01.1999, МС</v>
      </c>
      <c r="D11" s="511" t="str">
        <f>VLOOKUP(A11,пр.взв!B5:G22,5,FALSE)</f>
        <v xml:space="preserve"> Курганская обл. Куртамыш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3"/>
      <c r="B12" s="517"/>
      <c r="C12" s="519"/>
      <c r="D12" s="517"/>
      <c r="E12" s="17"/>
      <c r="F12" s="521"/>
      <c r="G12" s="521"/>
      <c r="H12" s="25"/>
      <c r="I12" s="19"/>
      <c r="J12" s="13"/>
      <c r="K12" s="13"/>
      <c r="L12" s="13"/>
    </row>
    <row r="13" spans="1:19" ht="12.75" customHeight="1" thickBot="1">
      <c r="A13" s="525">
        <v>3</v>
      </c>
      <c r="B13" s="510" t="str">
        <f>VLOOKUP(A13,пр.взв!B5:C22,2,FALSE)</f>
        <v>ЕГОРОВА Елизавета Евгеньевна</v>
      </c>
      <c r="C13" s="523" t="str">
        <f>VLOOKUP(A13,пр.взв!B5:E22,3,FALSE)</f>
        <v>15.02.2002, МС</v>
      </c>
      <c r="D13" s="510" t="str">
        <f>VLOOKUP(A13,пр.взв!B7:G22,5,FALSE)</f>
        <v xml:space="preserve"> Чувашская Республика - Чувашия Чебоксары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2"/>
      <c r="B14" s="522"/>
      <c r="C14" s="524"/>
      <c r="D14" s="522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2">
        <v>11</v>
      </c>
      <c r="B15" s="516" t="str">
        <f>VLOOKUP(A15,пр.взв!B15:C22,2,FALSE)</f>
        <v>КАРЕКЯН Кристина Хачиковна</v>
      </c>
      <c r="C15" s="518" t="str">
        <f>VLOOKUP(A15,пр.взв!B5:E22,3,FALSE)</f>
        <v>23.01.1995, МС</v>
      </c>
      <c r="D15" s="511" t="str">
        <f>VLOOKUP(A15,пр.взв!B9:G22,5,FALSE)</f>
        <v xml:space="preserve"> Краснодарский край Сочи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3"/>
      <c r="B16" s="517"/>
      <c r="C16" s="519"/>
      <c r="D16" s="517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5">
        <v>7</v>
      </c>
      <c r="B17" s="510" t="str">
        <f>VLOOKUP(A17,пр.взв!B9:C22,2,FALSE)</f>
        <v>БАРАНОВА Виктория Игоревна</v>
      </c>
      <c r="C17" s="523" t="str">
        <f>VLOOKUP(A17,пр.взв!B5:E22,3,FALSE)</f>
        <v>01.05.2002, МС</v>
      </c>
      <c r="D17" s="510" t="str">
        <f>VLOOKUP(A17,пр.взв!B11:G22,5,FALSE)</f>
        <v xml:space="preserve"> Московская обл. Королев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2"/>
      <c r="B18" s="522"/>
      <c r="C18" s="524"/>
      <c r="D18" s="522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2">
        <v>15</v>
      </c>
      <c r="B19" s="516" t="e">
        <f>VLOOKUP(A19,пр.взв!B19:C22,2,FALSE)</f>
        <v>#N/A</v>
      </c>
      <c r="C19" s="518" t="e">
        <f>VLOOKUP(A19,пр.взв!B5:E22,3,FALSE)</f>
        <v>#N/A</v>
      </c>
      <c r="D19" s="511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3"/>
      <c r="B20" s="517"/>
      <c r="C20" s="519"/>
      <c r="D20" s="517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" thickBot="1">
      <c r="A22" s="525">
        <v>2</v>
      </c>
      <c r="B22" s="510" t="str">
        <f>VLOOKUP(A22,пр.взв!B7:E22,2,FALSE)</f>
        <v>КОБЕЛЕВА Оксана Вячеславовна</v>
      </c>
      <c r="C22" s="523" t="str">
        <f>VLOOKUP(A22,пр.взв!B7:E22,3,FALSE)</f>
        <v>20.09.2001, МС</v>
      </c>
      <c r="D22" s="510" t="str">
        <f>пр.взв!F9</f>
        <v xml:space="preserve"> Чувашская Республика - Чувашия Чебоксары</v>
      </c>
      <c r="E22" s="12"/>
      <c r="F22" s="13"/>
      <c r="G22" s="13"/>
      <c r="H22" s="13"/>
      <c r="I22" s="13"/>
      <c r="J22" s="4"/>
      <c r="K22" s="16"/>
    </row>
    <row r="23" spans="1:13" ht="15.5">
      <c r="A23" s="512"/>
      <c r="B23" s="522"/>
      <c r="C23" s="524"/>
      <c r="D23" s="511"/>
      <c r="E23" s="88"/>
      <c r="F23" s="15"/>
      <c r="G23" s="15"/>
      <c r="H23" s="13"/>
      <c r="I23" s="13"/>
      <c r="J23" s="4"/>
      <c r="K23" s="31"/>
    </row>
    <row r="24" spans="1:13" ht="16" thickBot="1">
      <c r="A24" s="512">
        <v>10</v>
      </c>
      <c r="B24" s="516" t="str">
        <f>VLOOKUP(A24,пр.взв!B7:E22,2,FALSE)</f>
        <v>ЕМЕЛЮКОВА Софья Константиновна</v>
      </c>
      <c r="C24" s="518" t="str">
        <f>VLOOKUP(A24,пр.взв!B7:E22,3,FALSE)</f>
        <v>09.03.2003, МС</v>
      </c>
      <c r="D24" s="511" t="str">
        <f>VLOOKUP(A24,пр.взв!B8:G22,5,FALSE)</f>
        <v xml:space="preserve"> Чувашская Республика - Чувашия Чебоксары</v>
      </c>
      <c r="E24" s="89"/>
      <c r="F24" s="20"/>
      <c r="G24" s="15"/>
      <c r="H24" s="13"/>
      <c r="I24" s="13"/>
      <c r="J24" s="4"/>
      <c r="K24" s="31"/>
    </row>
    <row r="25" spans="1:13" ht="16" thickBot="1">
      <c r="A25" s="513"/>
      <c r="B25" s="517"/>
      <c r="C25" s="519"/>
      <c r="D25" s="520"/>
      <c r="E25" s="17"/>
      <c r="F25" s="21"/>
      <c r="G25" s="19"/>
      <c r="H25" s="13"/>
      <c r="I25" s="13"/>
      <c r="J25" s="4"/>
      <c r="K25" s="31"/>
    </row>
    <row r="26" spans="1:13" ht="16" thickBot="1">
      <c r="A26" s="525">
        <v>6</v>
      </c>
      <c r="B26" s="510" t="str">
        <f>VLOOKUP(A26,пр.взв!B7:E22,2,FALSE)</f>
        <v>КАШТАНОВА Галина Григорьевна</v>
      </c>
      <c r="C26" s="523" t="str">
        <f>VLOOKUP(A26,пр.взв!B7:E22,3,FALSE)</f>
        <v>23.09.2002, МС</v>
      </c>
      <c r="D26" s="510" t="str">
        <f>VLOOKUP(A26,пр.взв!B2:G22,5,FALSE)</f>
        <v xml:space="preserve"> Московская обл. Можайск</v>
      </c>
      <c r="E26" s="12"/>
      <c r="F26" s="21"/>
      <c r="G26" s="16"/>
      <c r="H26" s="26"/>
      <c r="I26" s="13"/>
      <c r="J26" s="4"/>
      <c r="K26" s="31"/>
    </row>
    <row r="27" spans="1:13" ht="15.5">
      <c r="A27" s="512"/>
      <c r="B27" s="522"/>
      <c r="C27" s="524"/>
      <c r="D27" s="511"/>
      <c r="E27" s="88"/>
      <c r="F27" s="24"/>
      <c r="G27" s="15"/>
      <c r="H27" s="25"/>
      <c r="I27" s="13"/>
      <c r="J27" s="4"/>
      <c r="K27" s="31"/>
    </row>
    <row r="28" spans="1:13" ht="16" thickBot="1">
      <c r="A28" s="512">
        <v>14</v>
      </c>
      <c r="B28" s="516" t="str">
        <f>VLOOKUP(A28,пр.взв!B7:E22,2,FALSE)</f>
        <v>ГОРЕЛИКОВА Анна Вадимовна</v>
      </c>
      <c r="C28" s="518" t="str">
        <f>VLOOKUP(A28,пр.взв!B7:E22,3,FALSE)</f>
        <v>03.06.1992, МСМК</v>
      </c>
      <c r="D28" s="511" t="str">
        <f>VLOOKUP(A28,пр.взв!B4:G22,5,FALSE)</f>
        <v xml:space="preserve"> Краснодарский край Крымск</v>
      </c>
      <c r="E28" s="89"/>
      <c r="F28" s="15"/>
      <c r="G28" s="15"/>
      <c r="H28" s="25"/>
      <c r="I28" s="28"/>
      <c r="J28" s="4"/>
      <c r="K28" s="31"/>
    </row>
    <row r="29" spans="1:13" ht="16" thickBot="1">
      <c r="A29" s="513"/>
      <c r="B29" s="517"/>
      <c r="C29" s="519"/>
      <c r="D29" s="520"/>
      <c r="E29" s="17"/>
      <c r="F29" s="521"/>
      <c r="G29" s="521"/>
      <c r="H29" s="25"/>
      <c r="I29" s="19"/>
      <c r="J29" s="3"/>
      <c r="K29" s="30"/>
    </row>
    <row r="30" spans="1:13" ht="16" thickBot="1">
      <c r="A30" s="525">
        <v>4</v>
      </c>
      <c r="B30" s="510" t="str">
        <f>VLOOKUP(A30,пр.взв!B7:E22,2,FALSE)</f>
        <v>БЛИНОВА Ксения Сергеевна</v>
      </c>
      <c r="C30" s="523" t="str">
        <f>VLOOKUP(A30,пр.взв!B7:E22,3,FALSE)</f>
        <v>08.09.1999, МС</v>
      </c>
      <c r="D30" s="510" t="str">
        <f>VLOOKUP(A30,пр.взв!B6:G22,5,FALSE)</f>
        <v xml:space="preserve"> Новосибирская обл. Новосибирск, Новосибирская область</v>
      </c>
      <c r="E30" s="12"/>
      <c r="F30" s="15"/>
      <c r="G30" s="15"/>
      <c r="H30" s="25"/>
      <c r="I30" s="16"/>
    </row>
    <row r="31" spans="1:13" ht="15.5">
      <c r="A31" s="512"/>
      <c r="B31" s="522"/>
      <c r="C31" s="524"/>
      <c r="D31" s="511"/>
      <c r="E31" s="88"/>
      <c r="F31" s="15"/>
      <c r="G31" s="15"/>
      <c r="H31" s="25"/>
      <c r="I31" s="13"/>
    </row>
    <row r="32" spans="1:13" ht="16" thickBot="1">
      <c r="A32" s="512">
        <v>12</v>
      </c>
      <c r="B32" s="516" t="str">
        <f>VLOOKUP(A32,пр.взв!B7:E22,2,FALSE)</f>
        <v>КАЙГОРОДОВА София Витальевна</v>
      </c>
      <c r="C32" s="518" t="str">
        <f>VLOOKUP(A32,пр.взв!B7:E22,3,FALSE)</f>
        <v>21.03.2003, КМС</v>
      </c>
      <c r="D32" s="511" t="str">
        <f>VLOOKUP(A32,пр.взв!B8:G22,5,FALSE)</f>
        <v xml:space="preserve"> Свердловская обл. Ирбит</v>
      </c>
      <c r="E32" s="89"/>
      <c r="F32" s="20"/>
      <c r="G32" s="15"/>
      <c r="H32" s="25"/>
      <c r="I32" s="13"/>
    </row>
    <row r="33" spans="1:13" ht="16" thickBot="1">
      <c r="A33" s="513"/>
      <c r="B33" s="517"/>
      <c r="C33" s="519"/>
      <c r="D33" s="520"/>
      <c r="E33" s="17"/>
      <c r="F33" s="21"/>
      <c r="G33" s="19"/>
      <c r="H33" s="27"/>
      <c r="I33" s="13"/>
    </row>
    <row r="34" spans="1:13" ht="16" thickBot="1">
      <c r="A34" s="525">
        <v>8</v>
      </c>
      <c r="B34" s="510" t="str">
        <f>VLOOKUP(A34,пр.взв!B7:E22,2,FALSE)</f>
        <v>МИХАЛЕВА Елена Павловна</v>
      </c>
      <c r="C34" s="523" t="str">
        <f>VLOOKUP(A34,пр.взв!B7:E22,3,FALSE)</f>
        <v>13.06.1995, МС</v>
      </c>
      <c r="D34" s="510" t="str">
        <f>VLOOKUP(A34,пр.взв!B10:G22,5,FALSE)</f>
        <v xml:space="preserve"> Московская обл. Воскресенск</v>
      </c>
      <c r="E34" s="12"/>
      <c r="F34" s="22"/>
      <c r="G34" s="16"/>
      <c r="H34" s="10"/>
      <c r="I34" s="10"/>
    </row>
    <row r="35" spans="1:13" ht="15.5">
      <c r="A35" s="512"/>
      <c r="B35" s="522"/>
      <c r="C35" s="524"/>
      <c r="D35" s="511"/>
      <c r="E35" s="88"/>
      <c r="F35" s="23"/>
      <c r="G35" s="17"/>
      <c r="H35" s="18"/>
      <c r="I35" s="18"/>
    </row>
    <row r="36" spans="1:13" ht="16" thickBot="1">
      <c r="A36" s="512">
        <v>16</v>
      </c>
      <c r="B36" s="516" t="e">
        <f>VLOOKUP(A36,пр.взв!B7:E22,2,FALSE)</f>
        <v>#N/A</v>
      </c>
      <c r="C36" s="518" t="e">
        <f>VLOOKUP(A36,пр.взв!B7:E22,3,FALSE)</f>
        <v>#N/A</v>
      </c>
      <c r="D36" s="511" t="e">
        <f>VLOOKUP(A36,пр.взв!B12:G22,5,FALSE)</f>
        <v>#N/A</v>
      </c>
      <c r="E36" s="89"/>
      <c r="F36" s="17"/>
      <c r="G36" s="17"/>
      <c r="H36" s="18"/>
      <c r="I36" s="18"/>
    </row>
    <row r="37" spans="1:13" ht="16" thickBot="1">
      <c r="A37" s="513"/>
      <c r="B37" s="517"/>
      <c r="C37" s="519"/>
      <c r="D37" s="520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14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14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15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15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workbookViewId="0">
      <selection activeCell="L10" sqref="L10"/>
    </sheetView>
  </sheetViews>
  <sheetFormatPr defaultRowHeight="12.5"/>
  <cols>
    <col min="2" max="2" width="11.7265625" customWidth="1"/>
    <col min="3" max="3" width="10.453125" customWidth="1"/>
    <col min="8" max="8" width="15.453125" customWidth="1"/>
  </cols>
  <sheetData>
    <row r="1" spans="1:10" ht="32.25" customHeight="1" thickBot="1">
      <c r="A1" s="547" t="str">
        <f>пр.взв!B2</f>
        <v>Кубок России по самбо среди женщин(ЕКП№1801).</v>
      </c>
      <c r="B1" s="548"/>
      <c r="C1" s="548"/>
      <c r="D1" s="548"/>
      <c r="E1" s="548"/>
      <c r="F1" s="548"/>
      <c r="G1" s="548"/>
      <c r="H1" s="549"/>
    </row>
    <row r="2" spans="1:10">
      <c r="A2" s="550" t="str">
        <f>пр.взв!A3</f>
        <v>21-25 ноября 2022 года                          г.Кстово, Нижегородская обл.</v>
      </c>
      <c r="B2" s="550"/>
      <c r="C2" s="550"/>
      <c r="D2" s="550"/>
      <c r="E2" s="550"/>
      <c r="F2" s="550"/>
      <c r="G2" s="550"/>
      <c r="H2" s="550"/>
    </row>
    <row r="3" spans="1:10" ht="18" thickBot="1">
      <c r="A3" s="551" t="s">
        <v>27</v>
      </c>
      <c r="B3" s="551"/>
      <c r="C3" s="551"/>
      <c r="D3" s="551"/>
      <c r="E3" s="551"/>
      <c r="F3" s="551"/>
      <c r="G3" s="551"/>
      <c r="H3" s="551"/>
    </row>
    <row r="4" spans="1:10" ht="18.5" thickBot="1">
      <c r="B4" s="70"/>
      <c r="C4" s="71"/>
      <c r="D4" s="552" t="str">
        <f>HYPERLINK(пр.взв!D4)</f>
        <v>В.к. 50 кг.</v>
      </c>
      <c r="E4" s="553"/>
      <c r="F4" s="554"/>
      <c r="G4" s="71"/>
      <c r="H4" s="71"/>
    </row>
    <row r="5" spans="1:10" ht="18" thickBot="1">
      <c r="A5" s="71"/>
      <c r="B5" s="71"/>
      <c r="C5" s="71"/>
      <c r="D5" s="71"/>
      <c r="E5" s="71"/>
      <c r="F5" s="71"/>
      <c r="G5" s="71"/>
      <c r="H5" s="71"/>
    </row>
    <row r="6" spans="1:10" ht="17.5">
      <c r="A6" s="555" t="s">
        <v>28</v>
      </c>
      <c r="B6" s="538" t="e">
        <f>VLOOKUP(J6,пр.взв!B7:G22,2,FALSE)</f>
        <v>#N/A</v>
      </c>
      <c r="C6" s="538"/>
      <c r="D6" s="538"/>
      <c r="E6" s="538"/>
      <c r="F6" s="538"/>
      <c r="G6" s="538"/>
      <c r="H6" s="540" t="e">
        <f>VLOOKUP(J6,пр.взв!B7:G22,3,FALSE)</f>
        <v>#N/A</v>
      </c>
      <c r="I6" s="71"/>
      <c r="J6" s="69">
        <f>пр.хода!H8</f>
        <v>0</v>
      </c>
    </row>
    <row r="7" spans="1:10" ht="17.5">
      <c r="A7" s="556"/>
      <c r="B7" s="539"/>
      <c r="C7" s="539"/>
      <c r="D7" s="539"/>
      <c r="E7" s="539"/>
      <c r="F7" s="539"/>
      <c r="G7" s="539"/>
      <c r="H7" s="541"/>
      <c r="I7" s="71"/>
      <c r="J7" s="69"/>
    </row>
    <row r="8" spans="1:10" ht="17.5">
      <c r="A8" s="556"/>
      <c r="B8" s="545" t="e">
        <f>VLOOKUP(J6,пр.взв!B7:G22,4,FALSE)</f>
        <v>#N/A</v>
      </c>
      <c r="C8" s="545"/>
      <c r="D8" s="545" t="e">
        <f>VLOOKUP(J6,пр.взв!B7:G22,5,FALSE)</f>
        <v>#N/A</v>
      </c>
      <c r="E8" s="545"/>
      <c r="F8" s="545"/>
      <c r="G8" s="545"/>
      <c r="H8" s="546"/>
      <c r="I8" s="71"/>
      <c r="J8" s="69"/>
    </row>
    <row r="9" spans="1:10" ht="18" thickBot="1">
      <c r="A9" s="557"/>
      <c r="B9" s="533"/>
      <c r="C9" s="533"/>
      <c r="D9" s="533"/>
      <c r="E9" s="533"/>
      <c r="F9" s="533"/>
      <c r="G9" s="533"/>
      <c r="H9" s="534"/>
      <c r="I9" s="71"/>
      <c r="J9" s="69"/>
    </row>
    <row r="10" spans="1:10" ht="18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42" t="s">
        <v>29</v>
      </c>
      <c r="B11" s="538" t="e">
        <f>VLOOKUP(J11,пр.взв!B2:G22,2,FALSE)</f>
        <v>#N/A</v>
      </c>
      <c r="C11" s="538"/>
      <c r="D11" s="538"/>
      <c r="E11" s="538"/>
      <c r="F11" s="538"/>
      <c r="G11" s="538"/>
      <c r="H11" s="540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43"/>
      <c r="B12" s="539"/>
      <c r="C12" s="539"/>
      <c r="D12" s="539"/>
      <c r="E12" s="539"/>
      <c r="F12" s="539"/>
      <c r="G12" s="539"/>
      <c r="H12" s="541"/>
      <c r="I12" s="71"/>
      <c r="J12" s="69"/>
    </row>
    <row r="13" spans="1:10" ht="17.5">
      <c r="A13" s="543"/>
      <c r="B13" s="545" t="e">
        <f>VLOOKUP(J11,пр.взв!B2:G22,4,FALSE)</f>
        <v>#N/A</v>
      </c>
      <c r="C13" s="545"/>
      <c r="D13" s="545" t="e">
        <f>VLOOKUP(J11,пр.взв!B2:G22,5,FALSE)</f>
        <v>#N/A</v>
      </c>
      <c r="E13" s="545"/>
      <c r="F13" s="545"/>
      <c r="G13" s="545"/>
      <c r="H13" s="546"/>
      <c r="I13" s="71"/>
      <c r="J13" s="69"/>
    </row>
    <row r="14" spans="1:10" ht="18" thickBot="1">
      <c r="A14" s="544"/>
      <c r="B14" s="533"/>
      <c r="C14" s="533"/>
      <c r="D14" s="533"/>
      <c r="E14" s="533"/>
      <c r="F14" s="533"/>
      <c r="G14" s="533"/>
      <c r="H14" s="534"/>
      <c r="I14" s="71"/>
      <c r="J14" s="69"/>
    </row>
    <row r="15" spans="1:10" ht="18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35" t="s">
        <v>30</v>
      </c>
      <c r="B16" s="538" t="e">
        <f>VLOOKUP(J16,пр.взв!B4:G33,2,FALSE)</f>
        <v>#N/A</v>
      </c>
      <c r="C16" s="538"/>
      <c r="D16" s="538"/>
      <c r="E16" s="538"/>
      <c r="F16" s="538"/>
      <c r="G16" s="538"/>
      <c r="H16" s="540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36"/>
      <c r="B17" s="539"/>
      <c r="C17" s="539"/>
      <c r="D17" s="539"/>
      <c r="E17" s="539"/>
      <c r="F17" s="539"/>
      <c r="G17" s="539"/>
      <c r="H17" s="541"/>
      <c r="I17" s="71"/>
      <c r="J17" s="69"/>
    </row>
    <row r="18" spans="1:10" ht="17.5">
      <c r="A18" s="536"/>
      <c r="B18" s="545" t="e">
        <f>VLOOKUP(J16,пр.взв!B7:G22,4,FALSE)</f>
        <v>#N/A</v>
      </c>
      <c r="C18" s="545"/>
      <c r="D18" s="545" t="e">
        <f>VLOOKUP(J16,пр.взв!B7:G22,5,FALSE)</f>
        <v>#N/A</v>
      </c>
      <c r="E18" s="545"/>
      <c r="F18" s="545"/>
      <c r="G18" s="545"/>
      <c r="H18" s="546"/>
      <c r="I18" s="71"/>
      <c r="J18" s="69"/>
    </row>
    <row r="19" spans="1:10" ht="18" thickBot="1">
      <c r="A19" s="537"/>
      <c r="B19" s="533"/>
      <c r="C19" s="533"/>
      <c r="D19" s="533"/>
      <c r="E19" s="533"/>
      <c r="F19" s="533"/>
      <c r="G19" s="533"/>
      <c r="H19" s="534"/>
      <c r="I19" s="71"/>
      <c r="J19" s="69"/>
    </row>
    <row r="20" spans="1:10" ht="18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35" t="s">
        <v>30</v>
      </c>
      <c r="B21" s="538" t="e">
        <f>VLOOKUP(J21,пр.взв!B2:G22,2,FALSE)</f>
        <v>#N/A</v>
      </c>
      <c r="C21" s="538"/>
      <c r="D21" s="538"/>
      <c r="E21" s="538"/>
      <c r="F21" s="538"/>
      <c r="G21" s="538"/>
      <c r="H21" s="540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36"/>
      <c r="B22" s="539"/>
      <c r="C22" s="539"/>
      <c r="D22" s="539"/>
      <c r="E22" s="539"/>
      <c r="F22" s="539"/>
      <c r="G22" s="539"/>
      <c r="H22" s="541"/>
      <c r="I22" s="71"/>
      <c r="J22" s="69"/>
    </row>
    <row r="23" spans="1:10" ht="17.5">
      <c r="A23" s="536"/>
      <c r="B23" s="545" t="e">
        <f>VLOOKUP(J21,пр.взв!B6:G22,4,FALSE)</f>
        <v>#N/A</v>
      </c>
      <c r="C23" s="545"/>
      <c r="D23" s="545" t="e">
        <f>VLOOKUP(J21,пр.взв!B6:G22,5,FALSE)</f>
        <v>#N/A</v>
      </c>
      <c r="E23" s="545"/>
      <c r="F23" s="545"/>
      <c r="G23" s="545"/>
      <c r="H23" s="546"/>
      <c r="I23" s="71"/>
    </row>
    <row r="24" spans="1:10" ht="18" thickBot="1">
      <c r="A24" s="537"/>
      <c r="B24" s="533"/>
      <c r="C24" s="533"/>
      <c r="D24" s="533"/>
      <c r="E24" s="533"/>
      <c r="F24" s="533"/>
      <c r="G24" s="533"/>
      <c r="H24" s="534"/>
      <c r="I24" s="71"/>
    </row>
    <row r="25" spans="1:10" ht="17.5">
      <c r="A25" s="71"/>
      <c r="B25" s="71"/>
      <c r="C25" s="71"/>
      <c r="D25" s="71"/>
      <c r="E25" s="71"/>
      <c r="F25" s="71"/>
      <c r="G25" s="71"/>
      <c r="H25" s="71"/>
    </row>
    <row r="26" spans="1:10" ht="17.5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" thickBot="1"/>
    <row r="28" spans="1:10">
      <c r="A28" s="529" t="e">
        <f>VLOOKUP(J28,пр.взв!B7:H22,7,FALSE)</f>
        <v>#N/A</v>
      </c>
      <c r="B28" s="530"/>
      <c r="C28" s="530"/>
      <c r="D28" s="530"/>
      <c r="E28" s="530"/>
      <c r="F28" s="530"/>
      <c r="G28" s="530"/>
      <c r="H28" s="531"/>
      <c r="J28">
        <f>пр.хода!H8</f>
        <v>0</v>
      </c>
    </row>
    <row r="29" spans="1:10" ht="13" thickBot="1">
      <c r="A29" s="532"/>
      <c r="B29" s="533"/>
      <c r="C29" s="533"/>
      <c r="D29" s="533"/>
      <c r="E29" s="533"/>
      <c r="F29" s="533"/>
      <c r="G29" s="533"/>
      <c r="H29" s="534"/>
    </row>
    <row r="32" spans="1:10" hidden="1"/>
    <row r="36" spans="1:8" ht="17.5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7.5">
      <c r="A37" s="71"/>
      <c r="B37" s="71"/>
      <c r="C37" s="71"/>
      <c r="D37" s="71"/>
      <c r="E37" s="71"/>
      <c r="F37" s="71"/>
      <c r="G37" s="71"/>
      <c r="H37" s="71"/>
    </row>
    <row r="38" spans="1:8" ht="17.5">
      <c r="A38" s="71"/>
      <c r="B38" s="71"/>
      <c r="C38" s="71"/>
      <c r="D38" s="71"/>
      <c r="E38" s="71"/>
      <c r="F38" s="71"/>
      <c r="G38" s="71"/>
      <c r="H38" s="71"/>
    </row>
    <row r="39" spans="1:8" ht="17.5">
      <c r="A39" s="72"/>
      <c r="B39" s="72"/>
      <c r="C39" s="72"/>
      <c r="D39" s="72"/>
      <c r="E39" s="72"/>
      <c r="F39" s="72"/>
      <c r="G39" s="72"/>
      <c r="H39" s="72"/>
    </row>
    <row r="40" spans="1:8" ht="17.5">
      <c r="A40" s="73"/>
      <c r="B40" s="73"/>
      <c r="C40" s="73"/>
      <c r="D40" s="73"/>
      <c r="E40" s="73"/>
      <c r="F40" s="73"/>
      <c r="G40" s="73"/>
      <c r="H40" s="73"/>
    </row>
    <row r="41" spans="1:8" ht="17.5">
      <c r="A41" s="72"/>
      <c r="B41" s="72"/>
      <c r="C41" s="72"/>
      <c r="D41" s="72"/>
      <c r="E41" s="72"/>
      <c r="F41" s="72"/>
      <c r="G41" s="72"/>
      <c r="H41" s="72"/>
    </row>
    <row r="42" spans="1:8" ht="17.5">
      <c r="A42" s="74"/>
      <c r="B42" s="74"/>
      <c r="C42" s="74"/>
      <c r="D42" s="74"/>
      <c r="E42" s="74"/>
      <c r="F42" s="74"/>
      <c r="G42" s="74"/>
      <c r="H42" s="74"/>
    </row>
    <row r="43" spans="1:8" ht="17.5">
      <c r="A43" s="72"/>
      <c r="B43" s="72"/>
      <c r="C43" s="72"/>
      <c r="D43" s="72"/>
      <c r="E43" s="72"/>
      <c r="F43" s="72"/>
      <c r="G43" s="72"/>
      <c r="H43" s="72"/>
    </row>
    <row r="44" spans="1:8" ht="17.5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2022-11-21T16:24:57Z</cp:lastPrinted>
  <dcterms:created xsi:type="dcterms:W3CDTF">1996-10-08T23:32:33Z</dcterms:created>
  <dcterms:modified xsi:type="dcterms:W3CDTF">2022-11-21T16:36:43Z</dcterms:modified>
</cp:coreProperties>
</file>