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79033\Desktop\Спартакиада сильнейших\веса муж\"/>
    </mc:Choice>
  </mc:AlternateContent>
  <xr:revisionPtr revIDLastSave="0" documentId="8_{9A781E67-88CF-48D0-9D12-491050335C6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B2" i="7"/>
  <c r="G28" i="1" l="1"/>
  <c r="C4" i="3"/>
  <c r="C3" i="3"/>
  <c r="D5" i="4" l="1"/>
  <c r="C5" i="4"/>
  <c r="B23" i="7"/>
  <c r="B35" i="7" s="1"/>
  <c r="B43" i="7" s="1"/>
  <c r="B56" i="7" s="1"/>
  <c r="L3" i="7"/>
  <c r="L23" i="7" s="1"/>
  <c r="L35" i="7" s="1"/>
  <c r="L43" i="7" s="1"/>
  <c r="L56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G24" i="7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<sst xmlns="http://schemas.openxmlformats.org/spreadsheetml/2006/main" count="335" uniqueCount="137">
  <si>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</si>
  <si>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</si>
  <si>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</si>
  <si>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</si>
  <si>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</si>
  <si>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</si>
  <si>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</si>
  <si>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</si>
  <si>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</si>
  <si>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</si>
  <si>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</si>
  <si>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</si>
  <si>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</si>
  <si>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</si>
  <si>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</si>
  <si>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</si>
  <si>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</si>
  <si>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</si>
  <si>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</si>
  <si>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</si>
  <si>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</si>
  <si>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</si>
  <si>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</si>
  <si>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</si>
  <si>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</si>
  <si>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</si>
  <si>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</si>
  <si>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</si>
  <si>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</si>
  <si>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</si>
  <si>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</si>
  <si>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</si>
  <si>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</si>
  <si>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</si>
  <si>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</si>
  <si>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</si>
  <si>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</si>
  <si>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</si>
  <si>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</si>
  <si>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</si>
  <si>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</si>
  <si>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</si>
  <si>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</si>
  <si>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</si>
  <si>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</si>
  <si>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</si>
  <si>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</si>
  <si>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</si>
  <si>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</si>
  <si>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</si>
  <si>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</si>
  <si>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</si>
  <si>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</si>
  <si>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</si>
  <si>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</si>
  <si>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</si>
  <si>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</si>
  <si>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</si>
  <si>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</si>
  <si>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</si>
  <si>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</si>
  <si>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</si>
  <si>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</si>
  <si>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</si>
  <si>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</si>
  <si>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</si>
  <si>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</si>
  <si>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</si>
  <si>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</si>
  <si>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</si>
  <si>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</si>
  <si>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</si>
  <si>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</si>
  <si>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</si>
  <si>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</si>
  <si>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</si>
  <si>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</si>
  <si>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</si>
  <si>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</si>
  <si>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</si>
  <si>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</si>
  <si>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</si>
  <si>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</si>
  <si>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</si>
  <si>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</si>
  <si>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</si>
  <si>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</si>
  <si>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</si>
  <si>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</si>
  <si>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</si>
  <si>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</si>
  <si>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</si>
  <si>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</si>
  <si>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</si>
  <si>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</si>
  <si>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ОСИПЕНКО Артем Иванович</t>
  </si>
  <si>
    <t>27.05.88, ЗМС</t>
  </si>
  <si>
    <t>ЦФО</t>
  </si>
  <si>
    <t>Брянская, Брянск, Д</t>
  </si>
  <si>
    <t>Портнов С.В. Зубов Р.П.</t>
  </si>
  <si>
    <t>МИНАКОВ Дмитрий Викторович</t>
  </si>
  <si>
    <t>14.09.87, МСМК</t>
  </si>
  <si>
    <t>Портнов С.В. Самсонов В.В.</t>
  </si>
  <si>
    <t xml:space="preserve">КУЧУМОВ Александр  Николаевич </t>
  </si>
  <si>
    <t>06.11.90, МСМК</t>
  </si>
  <si>
    <t>МОС</t>
  </si>
  <si>
    <t>Москва, Москва, Д</t>
  </si>
  <si>
    <t>Коржавин Н.В. , Емельянова И. В.</t>
  </si>
  <si>
    <t xml:space="preserve">ДАВУДОВ  Вацилов Гаджиясулович </t>
  </si>
  <si>
    <t>29.03.95, МС</t>
  </si>
  <si>
    <t>СКФО</t>
  </si>
  <si>
    <t>Дагестан, Махачкала, МС</t>
  </si>
  <si>
    <t xml:space="preserve"> Гасанханов З.М.</t>
  </si>
  <si>
    <t xml:space="preserve">АКОПЯН  Вардкез  Овакимович </t>
  </si>
  <si>
    <t>19.01.99, МСМК</t>
  </si>
  <si>
    <t>ЮФО</t>
  </si>
  <si>
    <t>Адыгея, Майкоп , ВС</t>
  </si>
  <si>
    <t>Хакуринов Д.А., Атоян Т.С.</t>
  </si>
  <si>
    <t>ШАВОЛИН Иван Алексеевич</t>
  </si>
  <si>
    <t>29.09.01, МС</t>
  </si>
  <si>
    <t>СФО</t>
  </si>
  <si>
    <t>Кемеровская, Новокузнецк</t>
  </si>
  <si>
    <t>Параскивопуло И.В., Котов С.В.</t>
  </si>
  <si>
    <t>СААКЯН Паруйр Рубикович</t>
  </si>
  <si>
    <t>24.07.94, МС</t>
  </si>
  <si>
    <t>Красноярский, Красноярск</t>
  </si>
  <si>
    <t xml:space="preserve">Воробьев А.А., Саградян В.О </t>
  </si>
  <si>
    <t>БРАЧЕВ Антон Анатольевич</t>
  </si>
  <si>
    <t>10.12.90, МС</t>
  </si>
  <si>
    <t>УФО</t>
  </si>
  <si>
    <t>Свердловская, Верхняя Пышма , МО</t>
  </si>
  <si>
    <t>Стенников В.Г, Бекетов ВВ</t>
  </si>
  <si>
    <t>ПОЗНАХИРКО Глеб Игоревич</t>
  </si>
  <si>
    <t>20.04.99, МСМК</t>
  </si>
  <si>
    <t>Свердловская, Верхняя Пышма, Д</t>
  </si>
  <si>
    <t>Стороженко В.П.  Стенников В.Г.</t>
  </si>
  <si>
    <t>В.к. 98+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</si>
</sst>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08">
    <xf numFmtId="0" fontId="0" fillId="0" borderId="0" xfId="0"/>
    <xf numFmtId="0" fontId="6" fillId="0" borderId="0" xfId="0" applyFont="1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9" fillId="0" borderId="0" xfId="0" applyFo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7" fillId="0" borderId="0" xfId="1" applyFont="1" applyAlignment="1" applyProtection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Font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 applyProtection="1">
      <alignment horizontal="center"/>
      <protection locked="0" hidden="1"/>
    </xf>
    <xf numFmtId="0" fontId="2" fillId="7" borderId="19" xfId="0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Font="1" applyBorder="1" applyAlignment="1" applyProtection="1">
      <alignment horizontal="center"/>
      <protection locked="0" hidden="1"/>
    </xf>
    <xf numFmtId="0" fontId="39" fillId="7" borderId="19" xfId="0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22" xfId="0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7" borderId="0" xfId="0" applyFill="1"/>
    <xf numFmtId="0" fontId="40" fillId="7" borderId="0" xfId="0" applyFont="1" applyFill="1"/>
    <xf numFmtId="0" fontId="40" fillId="0" borderId="0" xfId="0" applyFont="1"/>
    <xf numFmtId="0" fontId="0" fillId="8" borderId="0" xfId="0" applyFill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6" fillId="0" borderId="25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 vertical="center" wrapText="1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0" fontId="16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Alignment="1" applyProtection="1">
      <alignment horizontal="left" vertical="center"/>
      <protection locked="0"/>
    </xf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Font="1" applyFill="1" applyBorder="1" applyAlignment="1" applyProtection="1">
      <alignment horizontal="center" vertical="center"/>
      <protection locked="0" hidden="1"/>
    </xf>
    <xf numFmtId="0" fontId="35" fillId="0" borderId="0" xfId="1" applyFont="1" applyBorder="1" applyAlignment="1" applyProtection="1"/>
    <xf numFmtId="0" fontId="16" fillId="0" borderId="0" xfId="0" applyFont="1" applyAlignment="1">
      <alignment vertical="center" wrapText="1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Border="1" applyProtection="1"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8" fillId="0" borderId="40" xfId="0" applyFont="1" applyBorder="1" applyAlignment="1">
      <alignment vertical="center" wrapText="1"/>
    </xf>
    <xf numFmtId="0" fontId="8" fillId="0" borderId="41" xfId="0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14" fillId="0" borderId="50" xfId="0" applyFont="1" applyBorder="1" applyAlignment="1" applyProtection="1">
      <alignment horizontal="center" vertical="center" wrapText="1"/>
      <protection locked="0"/>
    </xf>
    <xf numFmtId="0" fontId="14" fillId="0" borderId="51" xfId="0" applyFont="1" applyBorder="1" applyAlignment="1" applyProtection="1">
      <alignment horizontal="center" vertical="center" wrapText="1"/>
      <protection locked="0"/>
    </xf>
    <xf numFmtId="0" fontId="14" fillId="0" borderId="52" xfId="0" applyFont="1" applyBorder="1" applyAlignment="1" applyProtection="1">
      <alignment horizontal="center" vertical="center" wrapText="1"/>
      <protection locked="0"/>
    </xf>
    <xf numFmtId="0" fontId="14" fillId="0" borderId="53" xfId="0" applyFont="1" applyBorder="1" applyAlignment="1" applyProtection="1">
      <alignment horizontal="center" vertical="center" wrapText="1"/>
      <protection locked="0"/>
    </xf>
    <xf numFmtId="0" fontId="14" fillId="0" borderId="54" xfId="0" applyFont="1" applyBorder="1" applyAlignment="1" applyProtection="1">
      <alignment horizontal="center" vertical="center" wrapText="1"/>
      <protection locked="0"/>
    </xf>
    <xf numFmtId="0" fontId="14" fillId="0" borderId="55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19" fillId="0" borderId="62" xfId="0" applyFont="1" applyBorder="1" applyAlignment="1" applyProtection="1">
      <alignment horizontal="center" vertical="center" wrapText="1"/>
      <protection locked="0"/>
    </xf>
    <xf numFmtId="0" fontId="19" fillId="0" borderId="63" xfId="0" applyFont="1" applyBorder="1" applyAlignment="1" applyProtection="1">
      <alignment horizontal="center" vertical="center" wrapText="1"/>
      <protection locked="0"/>
    </xf>
    <xf numFmtId="0" fontId="19" fillId="0" borderId="64" xfId="0" applyFont="1" applyBorder="1" applyAlignment="1" applyProtection="1">
      <alignment horizontal="center" vertical="center" wrapText="1"/>
      <protection locked="0"/>
    </xf>
    <xf numFmtId="0" fontId="19" fillId="0" borderId="65" xfId="0" applyFont="1" applyBorder="1" applyAlignment="1" applyProtection="1">
      <alignment horizontal="center" vertical="center" wrapText="1"/>
      <protection locked="0"/>
    </xf>
    <xf numFmtId="0" fontId="19" fillId="0" borderId="66" xfId="0" applyFont="1" applyBorder="1" applyAlignment="1" applyProtection="1">
      <alignment horizontal="center" vertical="center" wrapText="1"/>
      <protection locked="0"/>
    </xf>
    <xf numFmtId="0" fontId="19" fillId="0" borderId="67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9" fillId="0" borderId="68" xfId="0" applyFont="1" applyBorder="1" applyAlignment="1" applyProtection="1">
      <alignment horizontal="center" vertical="center" wrapText="1"/>
      <protection locked="0"/>
    </xf>
    <xf numFmtId="0" fontId="19" fillId="0" borderId="69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20" fillId="0" borderId="71" xfId="0" applyFont="1" applyBorder="1" applyAlignment="1" applyProtection="1">
      <alignment horizontal="center" vertical="center" wrapText="1"/>
      <protection locked="0"/>
    </xf>
    <xf numFmtId="0" fontId="20" fillId="0" borderId="72" xfId="0" applyFont="1" applyBorder="1" applyAlignment="1" applyProtection="1">
      <alignment horizontal="center" vertical="center" wrapText="1"/>
      <protection locked="0"/>
    </xf>
    <xf numFmtId="0" fontId="20" fillId="0" borderId="73" xfId="0" applyFont="1" applyBorder="1" applyAlignment="1" applyProtection="1">
      <alignment horizontal="center" vertical="center" wrapText="1"/>
      <protection locked="0"/>
    </xf>
    <xf numFmtId="0" fontId="20" fillId="0" borderId="74" xfId="0" applyFont="1" applyBorder="1" applyAlignment="1" applyProtection="1">
      <alignment horizontal="center" vertical="center" wrapText="1"/>
      <protection locked="0"/>
    </xf>
    <xf numFmtId="0" fontId="20" fillId="0" borderId="75" xfId="0" applyFont="1" applyBorder="1" applyAlignment="1" applyProtection="1">
      <alignment horizontal="center" vertical="center" wrapText="1"/>
      <protection locked="0"/>
    </xf>
    <xf numFmtId="0" fontId="20" fillId="0" borderId="76" xfId="0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>
      <alignment horizontal="center" vertical="center" textRotation="90" wrapText="1"/>
    </xf>
    <xf numFmtId="0" fontId="36" fillId="0" borderId="3" xfId="0" applyFont="1" applyBorder="1" applyAlignment="1">
      <alignment horizontal="center" vertical="center" textRotation="90" wrapText="1"/>
    </xf>
    <xf numFmtId="0" fontId="36" fillId="0" borderId="4" xfId="0" applyFont="1" applyBorder="1" applyAlignment="1">
      <alignment horizontal="center" vertical="center" wrapText="1"/>
    </xf>
    <xf numFmtId="0" fontId="36" fillId="0" borderId="56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6" fillId="0" borderId="4" xfId="0" applyFont="1" applyBorder="1" applyAlignment="1">
      <alignment vertical="center" textRotation="90" wrapText="1"/>
    </xf>
    <xf numFmtId="0" fontId="36" fillId="0" borderId="3" xfId="0" applyFont="1" applyBorder="1" applyAlignment="1">
      <alignment vertical="center" textRotation="90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9526</xdr:rowOff>
    </xdr:from>
    <xdr:to>
      <xdr:col>1</xdr:col>
      <xdr:colOff>47626</xdr:colOff>
      <xdr:row>1</xdr:row>
      <xdr:rowOff>38101</xdr:rowOff>
    </xdr:to>
    <xdr:pic>
      <xdr:nvPicPr>
        <xdr:cNvPr id="4266" name="Picture 1" descr="фед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9526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1432560</xdr:colOff>
          <xdr:row>3</xdr:row>
          <xdr:rowOff>30480</xdr:rowOff>
        </xdr:from>
        <xdr:to>
          <xdr:col>6</xdr:col>
          <xdr:colOff>0</xdr:colOff>
          <xdr:row>4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3</xdr:row>
          <xdr:rowOff>30480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>
          <a:extLst>
            <a:ext uri="{FF2B5EF4-FFF2-40B4-BE49-F238E27FC236}">
              <a16:creationId xmlns:a16="http://schemas.microsoft.com/office/drawing/2014/main" id="{00000000-0008-0000-0100-00005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>
          <a:extLst>
            <a:ext uri="{FF2B5EF4-FFF2-40B4-BE49-F238E27FC236}">
              <a16:creationId xmlns:a16="http://schemas.microsoft.com/office/drawing/2014/main" id="{00000000-0008-0000-0100-000053050000}"/>
            </a:ext>
          </a:extLst>
        </xdr:cNvPr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>
          <a:extLst>
            <a:ext uri="{FF2B5EF4-FFF2-40B4-BE49-F238E27FC236}">
              <a16:creationId xmlns:a16="http://schemas.microsoft.com/office/drawing/2014/main" id="{00000000-0008-0000-0400-00009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>
          <a:extLst>
            <a:ext uri="{FF2B5EF4-FFF2-40B4-BE49-F238E27FC236}">
              <a16:creationId xmlns:a16="http://schemas.microsoft.com/office/drawing/2014/main" id="{00000000-0008-0000-0500-00009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79033/Desktop/&#1057;&#1087;&#1072;&#1088;&#1090;&#1072;&#1082;&#1080;&#1072;&#1076;&#1072;%20&#1089;&#1080;&#1083;&#1100;&#1085;&#1077;&#1081;&#1096;&#1080;&#1093;/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42"/>
  <sheetViews>
    <sheetView topLeftCell="A10" workbookViewId="0">
      <selection activeCell="B16" sqref="B16:B22"/>
    </sheetView>
  </sheetViews>
  <sheetFormatPr defaultRowHeight="13.2"/>
  <cols>
    <col min="1" max="1" width="5.33203125" customWidth="1"/>
    <col min="2" max="2" width="4.88671875" customWidth="1"/>
    <col min="3" max="3" width="25.88671875" customWidth="1"/>
    <col min="4" max="4" width="12.33203125" customWidth="1"/>
    <col min="5" max="5" width="6.5546875" customWidth="1"/>
    <col min="6" max="6" width="19.33203125" customWidth="1"/>
    <col min="7" max="7" width="8" customWidth="1"/>
    <col min="8" max="8" width="17" customWidth="1"/>
    <col min="9" max="9" width="2.33203125" customWidth="1"/>
    <col min="10" max="11" width="4.33203125" hidden="1" customWidth="1"/>
    <col min="12" max="12" width="13.44140625" hidden="1" customWidth="1"/>
    <col min="13" max="19" width="4.33203125" hidden="1" customWidth="1"/>
    <col min="20" max="20" width="15.88671875" hidden="1" customWidth="1"/>
    <col min="21" max="24" width="4.33203125" hidden="1" customWidth="1"/>
    <col min="25" max="25" width="14.5546875" customWidth="1"/>
    <col min="26" max="27" width="4.33203125" customWidth="1"/>
    <col min="28" max="33" width="4.6640625" customWidth="1"/>
    <col min="34" max="34" width="4.33203125" customWidth="1"/>
    <col min="35" max="35" width="2.5546875" customWidth="1"/>
    <col min="36" max="39" width="4.33203125" customWidth="1"/>
  </cols>
  <sheetData>
    <row r="1" spans="1:35" ht="29.25" customHeight="1">
      <c r="A1" s="250" t="s">
        <v>72</v>
      </c>
      <c r="B1" s="250"/>
      <c r="C1" s="250"/>
      <c r="D1" s="250"/>
      <c r="E1" s="250"/>
      <c r="F1" s="250"/>
      <c r="G1" s="250"/>
      <c r="H1" s="250"/>
    </row>
    <row r="2" spans="1:35" ht="54" customHeight="1">
      <c r="A2" s="193"/>
      <c r="B2" s="251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51"/>
      <c r="D2" s="251"/>
      <c r="E2" s="251"/>
      <c r="F2" s="251"/>
      <c r="G2" s="251"/>
      <c r="H2" s="194"/>
      <c r="I2" s="183"/>
      <c r="J2" s="183"/>
      <c r="K2" s="183"/>
    </row>
    <row r="3" spans="1:35" ht="12.75" customHeight="1">
      <c r="A3" s="252" t="str">
        <f>[1]реквизиты!$A$3</f>
        <v>26-29.08.2022г.                                              г.Казань</v>
      </c>
      <c r="B3" s="252"/>
      <c r="C3" s="252"/>
      <c r="D3" s="252"/>
      <c r="E3" s="252"/>
      <c r="F3" s="252"/>
      <c r="G3" s="252"/>
      <c r="H3" s="252"/>
    </row>
    <row r="4" spans="1:35" ht="12.75" customHeight="1">
      <c r="D4" s="1" t="s">
        <v>136</v>
      </c>
      <c r="E4" s="1"/>
      <c r="Y4" s="254" t="s">
        <v>69</v>
      </c>
      <c r="Z4" s="254"/>
      <c r="AA4" s="254"/>
      <c r="AB4" s="254"/>
      <c r="AC4" s="254"/>
      <c r="AD4" s="254"/>
      <c r="AE4" s="254"/>
    </row>
    <row r="5" spans="1:35" ht="12.75" customHeight="1" thickBot="1">
      <c r="A5" s="244" t="s">
        <v>73</v>
      </c>
      <c r="B5" s="253" t="s">
        <v>4</v>
      </c>
      <c r="C5" s="244" t="s">
        <v>5</v>
      </c>
      <c r="D5" s="244" t="s">
        <v>6</v>
      </c>
      <c r="E5" s="246" t="s">
        <v>7</v>
      </c>
      <c r="F5" s="247"/>
      <c r="G5" s="244" t="s">
        <v>9</v>
      </c>
      <c r="H5" s="244" t="s">
        <v>8</v>
      </c>
      <c r="Q5" s="255"/>
      <c r="R5" s="255"/>
      <c r="S5" s="255"/>
      <c r="Y5" s="98"/>
      <c r="Z5" s="98"/>
      <c r="AA5" s="98"/>
      <c r="AB5" s="98"/>
      <c r="AC5" s="98"/>
      <c r="AD5" s="98"/>
      <c r="AE5" s="98"/>
    </row>
    <row r="6" spans="1:35" ht="13.8" thickBot="1">
      <c r="A6" s="245"/>
      <c r="B6" s="245"/>
      <c r="C6" s="245"/>
      <c r="D6" s="245"/>
      <c r="E6" s="248"/>
      <c r="F6" s="249"/>
      <c r="G6" s="245"/>
      <c r="H6" s="245"/>
      <c r="J6" s="154"/>
      <c r="K6" s="154"/>
      <c r="L6" s="154"/>
      <c r="M6" s="154"/>
      <c r="N6" s="154"/>
      <c r="O6" s="154"/>
      <c r="P6" s="195"/>
      <c r="Q6" s="195" t="str">
        <f>N7</f>
        <v>ЗМС</v>
      </c>
      <c r="R6" s="195" t="str">
        <f>N8</f>
        <v>МС</v>
      </c>
      <c r="S6" s="156" t="str">
        <f>N9</f>
        <v>МСМК</v>
      </c>
      <c r="T6" s="156" t="str">
        <f>N10</f>
        <v/>
      </c>
      <c r="U6" s="156" t="str">
        <f>N11</f>
        <v/>
      </c>
      <c r="V6" s="156" t="str">
        <f>N12</f>
        <v/>
      </c>
      <c r="W6" s="156" t="str">
        <f>N13</f>
        <v/>
      </c>
      <c r="X6" s="103"/>
      <c r="Y6" s="184" t="s">
        <v>70</v>
      </c>
      <c r="Z6" s="185" t="str">
        <f t="shared" ref="Z6:AF6" si="0">Q6</f>
        <v>ЗМС</v>
      </c>
      <c r="AA6" s="185" t="str">
        <f t="shared" si="0"/>
        <v>МС</v>
      </c>
      <c r="AB6" s="186" t="str">
        <f t="shared" si="0"/>
        <v>МСМК</v>
      </c>
      <c r="AC6" s="186" t="str">
        <f t="shared" si="0"/>
        <v/>
      </c>
      <c r="AD6" s="185" t="str">
        <f t="shared" si="0"/>
        <v/>
      </c>
      <c r="AE6" s="187" t="str">
        <f t="shared" si="0"/>
        <v/>
      </c>
      <c r="AF6" s="154" t="str">
        <f t="shared" si="0"/>
        <v/>
      </c>
    </row>
    <row r="7" spans="1:35" ht="21.9" customHeight="1">
      <c r="A7" s="196" t="s">
        <v>74</v>
      </c>
      <c r="B7" s="197">
        <v>1</v>
      </c>
      <c r="C7" s="198" t="s">
        <v>95</v>
      </c>
      <c r="D7" s="199" t="s">
        <v>96</v>
      </c>
      <c r="E7" s="200" t="s">
        <v>97</v>
      </c>
      <c r="F7" s="199" t="s">
        <v>98</v>
      </c>
      <c r="G7" s="201"/>
      <c r="H7" s="202" t="s">
        <v>99</v>
      </c>
      <c r="I7" s="203"/>
      <c r="J7" s="187">
        <v>1</v>
      </c>
      <c r="K7" s="192" t="str">
        <f>IFERROR(RIGHT(D7,LEN(D7)-FIND("*",SUBSTITUTE(D7," ","*",LEN(D7)-LEN(SUBSTITUTE(D7," ",""))))),D7)</f>
        <v>ЗМС</v>
      </c>
      <c r="L7" s="192" t="str">
        <f>IFERROR(LEFT(F7,FIND(",",F7)-1),F7)</f>
        <v>Брянская</v>
      </c>
      <c r="M7" s="204" t="str">
        <f t="array" ref="M7">IFERROR(INDEX(субъект,MATCH(SUM(COUNTIF(M$6:M6,субъект)),COUNTIF(субъект,"&lt;"&amp;субъект),0)),"")</f>
        <v>Адыгея</v>
      </c>
      <c r="N7" s="204" t="str">
        <f t="array" ref="N7">IFERROR(INDEX(разряд,MATCH(SUM(COUNTIF(N$6:N6,разряд)),COUNTIF(разряд,"&lt;"&amp;разряд),0)),"")</f>
        <v>ЗМС</v>
      </c>
      <c r="O7" s="205">
        <v>1</v>
      </c>
      <c r="P7" s="155" t="str">
        <f t="shared" ref="P7:P22" si="1">M7</f>
        <v>Адыгея</v>
      </c>
      <c r="Q7" s="158">
        <f t="shared" ref="Q7:Q22" si="2">SUMIFS($J$7:$J$38,$L$7:$L$38,P7,$K$7:$K$38,Q$6)</f>
        <v>0</v>
      </c>
      <c r="R7" s="158">
        <f t="shared" ref="R7:R22" si="3">SUMIFS($J$7:$J$38,$L$7:$L$38,P7,$K$7:$K$38,R$6)</f>
        <v>0</v>
      </c>
      <c r="S7" s="206">
        <f t="shared" ref="S7:S22" si="4">SUMIFS($J$7:$J$38,$L$7:$L$38,P7,$K$7:$K$38,S$6)</f>
        <v>1</v>
      </c>
      <c r="T7" s="162">
        <f t="shared" ref="T7:T22" si="5">SUMIFS($J$7:$J$38,$L$7:$L$38,P7,$K$7:$K$38,T$6)</f>
        <v>0</v>
      </c>
      <c r="U7" s="162">
        <f t="shared" ref="U7:U22" si="6">SUMIFS($J$7:$J$38,$L$7:$L$38,P7,$K$7:$K$38,U$6)</f>
        <v>0</v>
      </c>
      <c r="V7" s="162">
        <f t="shared" ref="V7:V22" si="7">SUMIFS($J$7:$J$38,$L$7:$L$38,P7,$K$7:$K$38,V$6)</f>
        <v>0</v>
      </c>
      <c r="W7" s="162">
        <f t="shared" ref="W7:W22" si="8">SUMIFS($J$7:$J$38,$L$7:$L$38,P7,$K$7:$K$38,W$6)</f>
        <v>0</v>
      </c>
      <c r="X7" s="159"/>
      <c r="Y7" s="160" t="str">
        <f>P7</f>
        <v>Адыгея</v>
      </c>
      <c r="Z7" s="189" t="str">
        <f>IF(Q7=0," ",Q7)</f>
        <v xml:space="preserve"> </v>
      </c>
      <c r="AA7" s="189" t="str">
        <f>IF(R7=0," ",R7)</f>
        <v xml:space="preserve"> </v>
      </c>
      <c r="AB7" s="189">
        <f>IF(S7=0," ",S7)</f>
        <v>1</v>
      </c>
      <c r="AC7" s="189" t="str">
        <f>IF(T7=0," ",T7)</f>
        <v xml:space="preserve"> </v>
      </c>
      <c r="AD7" s="189" t="str">
        <f t="shared" ref="AD7:AF22" si="9">IF(U7=0," ",U7)</f>
        <v xml:space="preserve"> </v>
      </c>
      <c r="AE7" s="157" t="str">
        <f t="shared" si="9"/>
        <v xml:space="preserve"> </v>
      </c>
      <c r="AF7" s="157" t="str">
        <f t="shared" si="9"/>
        <v xml:space="preserve"> </v>
      </c>
      <c r="AH7" s="256">
        <f>SUM(Z7:AF22)</f>
        <v>9</v>
      </c>
      <c r="AI7" s="257"/>
    </row>
    <row r="8" spans="1:35" ht="21.9" customHeight="1" thickBot="1">
      <c r="A8" s="196" t="s">
        <v>75</v>
      </c>
      <c r="B8" s="197">
        <v>2</v>
      </c>
      <c r="C8" s="198" t="s">
        <v>127</v>
      </c>
      <c r="D8" s="199" t="s">
        <v>128</v>
      </c>
      <c r="E8" s="200" t="s">
        <v>129</v>
      </c>
      <c r="F8" s="199" t="s">
        <v>130</v>
      </c>
      <c r="G8" s="201"/>
      <c r="H8" s="202" t="s">
        <v>131</v>
      </c>
      <c r="I8" s="203"/>
      <c r="J8" s="187">
        <v>1</v>
      </c>
      <c r="K8" s="192" t="str">
        <f t="shared" ref="K8:K22" si="10">IFERROR(RIGHT(D8,LEN(D8)-FIND("*",SUBSTITUTE(D8," ","*",LEN(D8)-LEN(SUBSTITUTE(D8," ",""))))),D8)</f>
        <v>МС</v>
      </c>
      <c r="L8" s="192" t="str">
        <f t="shared" ref="L8:L22" si="11">IFERROR(LEFT(F8,FIND(",",F8)-1),F8)</f>
        <v>Свердловская</v>
      </c>
      <c r="M8" s="204" t="str">
        <f t="array" ref="M8">IFERROR(INDEX(субъект,MATCH(SUM(COUNTIF(M$6:M7,субъект)),COUNTIF(субъект,"&lt;"&amp;субъект),0)),"")</f>
        <v>Брянская</v>
      </c>
      <c r="N8" s="204" t="str">
        <f t="array" ref="N8">IFERROR(INDEX(разряд,MATCH(SUM(COUNTIF(N$6:N7,разряд)),COUNTIF(разряд,"&lt;"&amp;разряд),0)),"")</f>
        <v>МС</v>
      </c>
      <c r="O8" s="205">
        <v>2</v>
      </c>
      <c r="P8" s="155" t="str">
        <f t="shared" si="1"/>
        <v>Брянская</v>
      </c>
      <c r="Q8" s="158">
        <f t="shared" si="2"/>
        <v>1</v>
      </c>
      <c r="R8" s="158">
        <f t="shared" si="3"/>
        <v>0</v>
      </c>
      <c r="S8" s="206">
        <f t="shared" si="4"/>
        <v>1</v>
      </c>
      <c r="T8" s="162">
        <f t="shared" si="5"/>
        <v>0</v>
      </c>
      <c r="U8" s="162">
        <f t="shared" si="6"/>
        <v>0</v>
      </c>
      <c r="V8" s="162">
        <f t="shared" si="7"/>
        <v>0</v>
      </c>
      <c r="W8" s="162">
        <f t="shared" si="8"/>
        <v>0</v>
      </c>
      <c r="X8" s="161"/>
      <c r="Y8" s="157" t="str">
        <f t="shared" ref="Y8:Y22" si="12">P8</f>
        <v>Брянская</v>
      </c>
      <c r="Z8" s="157">
        <f>IF($Y$8=$Y$7," ",IF(Q8=0," ",Q8))</f>
        <v>1</v>
      </c>
      <c r="AA8" s="157" t="str">
        <f>IF($Y$8=$Y$7," ",IF(R8=0," ",R8))</f>
        <v xml:space="preserve"> </v>
      </c>
      <c r="AB8" s="157">
        <f>IF($Y$8=$Y$7," ",IF(S8=0," ",S8))</f>
        <v>1</v>
      </c>
      <c r="AC8" s="157" t="str">
        <f>IF($Y$8=$Y$7," ",IF(T8=0," ",T8))</f>
        <v xml:space="preserve"> </v>
      </c>
      <c r="AD8" s="157" t="str">
        <f t="shared" si="9"/>
        <v xml:space="preserve"> </v>
      </c>
      <c r="AE8" s="157" t="str">
        <f t="shared" si="9"/>
        <v xml:space="preserve"> </v>
      </c>
      <c r="AF8" s="157" t="str">
        <f t="shared" si="9"/>
        <v xml:space="preserve"> </v>
      </c>
      <c r="AH8" s="258"/>
      <c r="AI8" s="259"/>
    </row>
    <row r="9" spans="1:35" ht="21.9" customHeight="1">
      <c r="A9" s="196" t="s">
        <v>76</v>
      </c>
      <c r="B9" s="197">
        <v>3</v>
      </c>
      <c r="C9" s="198" t="s">
        <v>132</v>
      </c>
      <c r="D9" s="199" t="s">
        <v>133</v>
      </c>
      <c r="E9" s="200" t="s">
        <v>129</v>
      </c>
      <c r="F9" s="199" t="s">
        <v>134</v>
      </c>
      <c r="G9" s="201"/>
      <c r="H9" s="202" t="s">
        <v>135</v>
      </c>
      <c r="I9" s="203"/>
      <c r="J9" s="187">
        <v>1</v>
      </c>
      <c r="K9" s="192" t="str">
        <f t="shared" si="10"/>
        <v>МСМК</v>
      </c>
      <c r="L9" s="192" t="str">
        <f t="shared" si="11"/>
        <v>Свердловская</v>
      </c>
      <c r="M9" s="204" t="str">
        <f t="array" ref="M9">IFERROR(INDEX(субъект,MATCH(SUM(COUNTIF(M$6:M8,субъект)),COUNTIF(субъект,"&lt;"&amp;субъект),0)),"")</f>
        <v>Дагестан</v>
      </c>
      <c r="N9" s="204" t="str">
        <f t="array" ref="N9">IFERROR(INDEX(разряд,MATCH(SUM(COUNTIF(N$6:N8,разряд)),COUNTIF(разряд,"&lt;"&amp;разряд),0)),"")</f>
        <v>МСМК</v>
      </c>
      <c r="O9" s="205">
        <v>3</v>
      </c>
      <c r="P9" s="155" t="str">
        <f t="shared" si="1"/>
        <v>Дагестан</v>
      </c>
      <c r="Q9" s="158">
        <f t="shared" si="2"/>
        <v>0</v>
      </c>
      <c r="R9" s="158">
        <f t="shared" si="3"/>
        <v>1</v>
      </c>
      <c r="S9" s="206">
        <f t="shared" si="4"/>
        <v>0</v>
      </c>
      <c r="T9" s="162">
        <f t="shared" si="5"/>
        <v>0</v>
      </c>
      <c r="U9" s="162">
        <f t="shared" si="6"/>
        <v>0</v>
      </c>
      <c r="V9" s="162">
        <f t="shared" si="7"/>
        <v>0</v>
      </c>
      <c r="W9" s="162">
        <f t="shared" si="8"/>
        <v>0</v>
      </c>
      <c r="X9" s="161"/>
      <c r="Y9" s="157" t="str">
        <f t="shared" si="12"/>
        <v>Дагестан</v>
      </c>
      <c r="Z9" s="157" t="str">
        <f>IF(OR($Y9=$Y7,$Y9=$Y8)," ",IF(Q9=0," ",Q9))</f>
        <v xml:space="preserve"> </v>
      </c>
      <c r="AA9" s="157">
        <f>IF(OR($Y9=$Y7,$Y9=$Y8)," ",IF(R9=0," ",R9))</f>
        <v>1</v>
      </c>
      <c r="AB9" s="157" t="str">
        <f>IF(OR($Y9=$Y7,$Y9=$Y8)," ",IF(S9=0," ",S9))</f>
        <v xml:space="preserve"> </v>
      </c>
      <c r="AC9" s="157" t="str">
        <f>IF(OR($Y9=$Y7,$Y9=$Y8)," ",IF(T9=0," ",T9))</f>
        <v xml:space="preserve"> </v>
      </c>
      <c r="AD9" s="157" t="str">
        <f t="shared" si="9"/>
        <v xml:space="preserve"> </v>
      </c>
      <c r="AE9" s="157" t="str">
        <f t="shared" si="9"/>
        <v xml:space="preserve"> </v>
      </c>
      <c r="AF9" s="157" t="str">
        <f t="shared" si="9"/>
        <v xml:space="preserve"> </v>
      </c>
    </row>
    <row r="10" spans="1:35" ht="21.9" customHeight="1">
      <c r="A10" s="196" t="s">
        <v>77</v>
      </c>
      <c r="B10" s="197">
        <v>4</v>
      </c>
      <c r="C10" s="198" t="s">
        <v>103</v>
      </c>
      <c r="D10" s="199" t="s">
        <v>104</v>
      </c>
      <c r="E10" s="200" t="s">
        <v>105</v>
      </c>
      <c r="F10" s="199" t="s">
        <v>106</v>
      </c>
      <c r="G10" s="201"/>
      <c r="H10" s="202" t="s">
        <v>107</v>
      </c>
      <c r="I10" s="203"/>
      <c r="J10" s="187">
        <v>1</v>
      </c>
      <c r="K10" s="192" t="str">
        <f t="shared" si="10"/>
        <v>МСМК</v>
      </c>
      <c r="L10" s="192" t="str">
        <f t="shared" si="11"/>
        <v>Москва</v>
      </c>
      <c r="M10" s="204" t="str">
        <f t="array" ref="M10">IFERROR(INDEX(субъект,MATCH(SUM(COUNTIF(M$6:M9,субъект)),COUNTIF(субъект,"&lt;"&amp;субъект),0)),"")</f>
        <v>Кемеровская</v>
      </c>
      <c r="N10" s="204" t="str">
        <f t="array" ref="N10">IFERROR(INDEX(разряд,MATCH(SUM(COUNTIF(N$6:N9,разряд)),COUNTIF(разряд,"&lt;"&amp;разряд),0)),"")</f>
        <v/>
      </c>
      <c r="O10" s="205">
        <v>4</v>
      </c>
      <c r="P10" s="155" t="str">
        <f t="shared" si="1"/>
        <v>Кемеровская</v>
      </c>
      <c r="Q10" s="158">
        <f t="shared" si="2"/>
        <v>0</v>
      </c>
      <c r="R10" s="158">
        <f t="shared" si="3"/>
        <v>1</v>
      </c>
      <c r="S10" s="206">
        <f t="shared" si="4"/>
        <v>0</v>
      </c>
      <c r="T10" s="162">
        <f t="shared" si="5"/>
        <v>0</v>
      </c>
      <c r="U10" s="162">
        <f t="shared" si="6"/>
        <v>0</v>
      </c>
      <c r="V10" s="162">
        <f t="shared" si="7"/>
        <v>0</v>
      </c>
      <c r="W10" s="162">
        <f t="shared" si="8"/>
        <v>0</v>
      </c>
      <c r="X10" s="103"/>
      <c r="Y10" s="157" t="str">
        <f t="shared" si="12"/>
        <v>Кемеровская</v>
      </c>
      <c r="Z10" s="157" t="str">
        <f>IF(OR($Y10=$Y8,$Y10=$Y9,$Y10=$Y7)," ",IF(Q10=0," ",Q10))</f>
        <v xml:space="preserve"> </v>
      </c>
      <c r="AA10" s="157">
        <f>IF(OR($Y10=$Y8,$Y10=$Y9,$Y10=$Y7)," ",IF(R10=0," ",R10))</f>
        <v>1</v>
      </c>
      <c r="AB10" s="157" t="str">
        <f>IF(OR($Y10=$Y8,$Y10=$Y9,$Y10=$Y7)," ",IF(S10=0," ",S10))</f>
        <v xml:space="preserve"> </v>
      </c>
      <c r="AC10" s="157" t="str">
        <f>IF(OR($Y10=$Y8,$Y10=$Y9,$Y10=$Y7)," ",IF(T10=0," ",T10))</f>
        <v xml:space="preserve"> </v>
      </c>
      <c r="AD10" s="157" t="str">
        <f t="shared" si="9"/>
        <v xml:space="preserve"> </v>
      </c>
      <c r="AE10" s="157" t="str">
        <f t="shared" si="9"/>
        <v xml:space="preserve"> </v>
      </c>
      <c r="AF10" s="157" t="str">
        <f t="shared" si="9"/>
        <v xml:space="preserve"> </v>
      </c>
    </row>
    <row r="11" spans="1:35" ht="21.9" customHeight="1">
      <c r="A11" s="196" t="s">
        <v>78</v>
      </c>
      <c r="B11" s="197">
        <v>5</v>
      </c>
      <c r="C11" s="198" t="s">
        <v>108</v>
      </c>
      <c r="D11" s="199" t="s">
        <v>109</v>
      </c>
      <c r="E11" s="200" t="s">
        <v>110</v>
      </c>
      <c r="F11" s="199" t="s">
        <v>111</v>
      </c>
      <c r="G11" s="201"/>
      <c r="H11" s="202" t="s">
        <v>112</v>
      </c>
      <c r="I11" s="203"/>
      <c r="J11" s="187">
        <v>1</v>
      </c>
      <c r="K11" s="192" t="str">
        <f t="shared" si="10"/>
        <v>МС</v>
      </c>
      <c r="L11" s="192" t="str">
        <f t="shared" si="11"/>
        <v>Дагестан</v>
      </c>
      <c r="M11" s="204" t="str">
        <f t="array" ref="M11">IFERROR(INDEX(субъект,MATCH(SUM(COUNTIF(M$6:M10,субъект)),COUNTIF(субъект,"&lt;"&amp;субъект),0)),"")</f>
        <v>Красноярский</v>
      </c>
      <c r="N11" s="204" t="str">
        <f t="array" ref="N11">IFERROR(INDEX(разряд,MATCH(SUM(COUNTIF(N$6:N10,разряд)),COUNTIF(разряд,"&lt;"&amp;разряд),0)),"")</f>
        <v/>
      </c>
      <c r="O11" s="205">
        <v>5</v>
      </c>
      <c r="P11" s="155" t="str">
        <f t="shared" si="1"/>
        <v>Красноярский</v>
      </c>
      <c r="Q11" s="158">
        <f t="shared" si="2"/>
        <v>0</v>
      </c>
      <c r="R11" s="158">
        <f t="shared" si="3"/>
        <v>1</v>
      </c>
      <c r="S11" s="206">
        <f t="shared" si="4"/>
        <v>0</v>
      </c>
      <c r="T11" s="162">
        <f t="shared" si="5"/>
        <v>0</v>
      </c>
      <c r="U11" s="162">
        <f t="shared" si="6"/>
        <v>0</v>
      </c>
      <c r="V11" s="162">
        <f t="shared" si="7"/>
        <v>0</v>
      </c>
      <c r="W11" s="162">
        <f t="shared" si="8"/>
        <v>0</v>
      </c>
      <c r="X11" s="161"/>
      <c r="Y11" s="157" t="str">
        <f t="shared" si="12"/>
        <v>Красноярский</v>
      </c>
      <c r="Z11" s="157" t="str">
        <f>IF(OR($Y11=$Y9,$Y11=$Y10,$Y11=$Y8,$Y11=$Y7)," ",IF(Q11=0," ",Q11))</f>
        <v xml:space="preserve"> </v>
      </c>
      <c r="AA11" s="157">
        <f>IF(OR($Y11=$Y9,$Y11=$Y10,$Y11=$Y8,$Y11=$Y7)," ",IF(R11=0," ",R11))</f>
        <v>1</v>
      </c>
      <c r="AB11" s="157" t="str">
        <f>IF(OR($Y11=$Y9,$Y11=$Y10,$Y11=$Y8,$Y11=$Y7)," ",IF(S11=0," ",S11))</f>
        <v xml:space="preserve"> </v>
      </c>
      <c r="AC11" s="157" t="str">
        <f>IF(OR($Y11=$Y9,$Y11=$Y10,$Y11=$Y8,$Y11=$Y7)," ",IF(T11=0," ",T11))</f>
        <v xml:space="preserve"> </v>
      </c>
      <c r="AD11" s="157" t="str">
        <f t="shared" si="9"/>
        <v xml:space="preserve"> </v>
      </c>
      <c r="AE11" s="157" t="str">
        <f t="shared" si="9"/>
        <v xml:space="preserve"> </v>
      </c>
      <c r="AF11" s="157" t="str">
        <f t="shared" si="9"/>
        <v xml:space="preserve"> </v>
      </c>
    </row>
    <row r="12" spans="1:35" ht="21.9" customHeight="1">
      <c r="A12" s="196" t="s">
        <v>79</v>
      </c>
      <c r="B12" s="197">
        <v>6</v>
      </c>
      <c r="C12" s="198" t="s">
        <v>123</v>
      </c>
      <c r="D12" s="199" t="s">
        <v>124</v>
      </c>
      <c r="E12" s="200" t="s">
        <v>120</v>
      </c>
      <c r="F12" s="199" t="s">
        <v>125</v>
      </c>
      <c r="G12" s="201"/>
      <c r="H12" s="202" t="s">
        <v>126</v>
      </c>
      <c r="I12" s="203"/>
      <c r="J12" s="187">
        <v>1</v>
      </c>
      <c r="K12" s="192" t="str">
        <f t="shared" si="10"/>
        <v>МС</v>
      </c>
      <c r="L12" s="192" t="str">
        <f t="shared" si="11"/>
        <v>Красноярский</v>
      </c>
      <c r="M12" s="204" t="str">
        <f t="array" ref="M12">IFERROR(INDEX(субъект,MATCH(SUM(COUNTIF(M$6:M11,субъект)),COUNTIF(субъект,"&lt;"&amp;субъект),0)),"")</f>
        <v>Москва</v>
      </c>
      <c r="N12" s="204" t="str">
        <f t="array" ref="N12">IFERROR(INDEX(разряд,MATCH(SUM(COUNTIF(N$6:N11,разряд)),COUNTIF(разряд,"&lt;"&amp;разряд),0)),"")</f>
        <v/>
      </c>
      <c r="O12" s="205">
        <v>6</v>
      </c>
      <c r="P12" s="155" t="str">
        <f t="shared" si="1"/>
        <v>Москва</v>
      </c>
      <c r="Q12" s="158">
        <f t="shared" si="2"/>
        <v>0</v>
      </c>
      <c r="R12" s="158">
        <f t="shared" si="3"/>
        <v>0</v>
      </c>
      <c r="S12" s="206">
        <f t="shared" si="4"/>
        <v>1</v>
      </c>
      <c r="T12" s="162">
        <f t="shared" si="5"/>
        <v>0</v>
      </c>
      <c r="U12" s="162">
        <f t="shared" si="6"/>
        <v>0</v>
      </c>
      <c r="V12" s="162">
        <f t="shared" si="7"/>
        <v>0</v>
      </c>
      <c r="W12" s="162">
        <f t="shared" si="8"/>
        <v>0</v>
      </c>
      <c r="X12" s="103"/>
      <c r="Y12" s="157" t="str">
        <f t="shared" si="12"/>
        <v>Москва</v>
      </c>
      <c r="Z12" s="157" t="str">
        <f>IF(OR($Y12=$Y10,$Y12=$Y11,$Y12=$Y9,$Y12=$Y8,$Y12=$Y7)," ",IF(Q12=0," ",Q12))</f>
        <v xml:space="preserve"> </v>
      </c>
      <c r="AA12" s="157" t="str">
        <f>IF(OR($Y12=$Y10,$Y12=$Y11,$Y12=$Y9,$Y12=$Y8,$Y12=$Y7)," ",IF(R12=0," ",R12))</f>
        <v xml:space="preserve"> </v>
      </c>
      <c r="AB12" s="157">
        <f>IF(OR($Y12=$Y10,$Y12=$Y11,$Y12=$Y9,$Y12=$Y8,$Y12=$Y7)," ",IF(S12=0," ",S12))</f>
        <v>1</v>
      </c>
      <c r="AC12" s="157" t="str">
        <f>IF(OR($Y12=$Y10,$Y12=$Y11,$Y12=$Y9,$Y12=$Y8,$Y12=$Y7)," ",IF(T12=0," ",T12))</f>
        <v xml:space="preserve"> </v>
      </c>
      <c r="AD12" s="157" t="str">
        <f t="shared" si="9"/>
        <v xml:space="preserve"> </v>
      </c>
      <c r="AE12" s="157" t="str">
        <f t="shared" si="9"/>
        <v xml:space="preserve"> </v>
      </c>
      <c r="AF12" s="157" t="str">
        <f t="shared" si="9"/>
        <v xml:space="preserve"> </v>
      </c>
    </row>
    <row r="13" spans="1:35" ht="21.9" customHeight="1">
      <c r="A13" s="196" t="s">
        <v>80</v>
      </c>
      <c r="B13" s="197">
        <v>7</v>
      </c>
      <c r="C13" s="198" t="s">
        <v>118</v>
      </c>
      <c r="D13" s="199" t="s">
        <v>119</v>
      </c>
      <c r="E13" s="200" t="s">
        <v>120</v>
      </c>
      <c r="F13" s="199" t="s">
        <v>121</v>
      </c>
      <c r="G13" s="201"/>
      <c r="H13" s="202" t="s">
        <v>122</v>
      </c>
      <c r="I13" s="203"/>
      <c r="J13" s="187">
        <v>1</v>
      </c>
      <c r="K13" s="192" t="str">
        <f t="shared" si="10"/>
        <v>МС</v>
      </c>
      <c r="L13" s="192" t="str">
        <f t="shared" si="11"/>
        <v>Кемеровская</v>
      </c>
      <c r="M13" s="204" t="str">
        <f t="array" ref="M13">IFERROR(INDEX(субъект,MATCH(SUM(COUNTIF(M$6:M12,субъект)),COUNTIF(субъект,"&lt;"&amp;субъект),0)),"")</f>
        <v>Свердловская</v>
      </c>
      <c r="N13" s="204" t="str">
        <f t="array" ref="N13">IFERROR(INDEX(разряд,MATCH(SUM(COUNTIF(N$6:N12,разряд)),COUNTIF(разряд,"&lt;"&amp;разряд),0)),"")</f>
        <v/>
      </c>
      <c r="O13" s="205">
        <v>7</v>
      </c>
      <c r="P13" s="155" t="str">
        <f t="shared" si="1"/>
        <v>Свердловская</v>
      </c>
      <c r="Q13" s="158">
        <f t="shared" si="2"/>
        <v>0</v>
      </c>
      <c r="R13" s="158">
        <f t="shared" si="3"/>
        <v>1</v>
      </c>
      <c r="S13" s="206">
        <f t="shared" si="4"/>
        <v>1</v>
      </c>
      <c r="T13" s="162">
        <f t="shared" si="5"/>
        <v>0</v>
      </c>
      <c r="U13" s="162">
        <f t="shared" si="6"/>
        <v>0</v>
      </c>
      <c r="V13" s="162">
        <f t="shared" si="7"/>
        <v>0</v>
      </c>
      <c r="W13" s="162">
        <f t="shared" si="8"/>
        <v>0</v>
      </c>
      <c r="X13" s="161"/>
      <c r="Y13" s="157" t="str">
        <f t="shared" si="12"/>
        <v>Свердловская</v>
      </c>
      <c r="Z13" s="157" t="str">
        <f>IF(OR($Y13=$Y11,$Y13=$Y12,$Y13=$Y10,$Y13=$Y9,$Y13=$Y8,$Y13=$Y7)," ",IF(Q13=0," ",Q13))</f>
        <v xml:space="preserve"> </v>
      </c>
      <c r="AA13" s="157">
        <f>IF(OR($Y13=$Y11,$Y13=$Y12,$Y13=$Y10,$Y13=$Y9,$Y13=$Y8,$Y13=$Y7)," ",IF(R13=0," ",R13))</f>
        <v>1</v>
      </c>
      <c r="AB13" s="157">
        <f>IF(OR($Y13=$Y11,$Y13=$Y12,$Y13=$Y10,$Y13=$Y9,$Y13=$Y8,$Y13=$Y7)," ",IF(S13=0," ",S13))</f>
        <v>1</v>
      </c>
      <c r="AC13" s="157" t="str">
        <f>IF(OR($Y13=$Y11,$Y13=$Y12,$Y13=$Y10,$Y13=$Y9,$Y13=$Y8,$Y13=$Y7)," ",IF(T13=0," ",T13))</f>
        <v xml:space="preserve"> </v>
      </c>
      <c r="AD13" s="157" t="str">
        <f t="shared" si="9"/>
        <v xml:space="preserve"> </v>
      </c>
      <c r="AE13" s="157" t="str">
        <f t="shared" si="9"/>
        <v xml:space="preserve"> </v>
      </c>
      <c r="AF13" s="157" t="str">
        <f t="shared" si="9"/>
        <v xml:space="preserve"> </v>
      </c>
    </row>
    <row r="14" spans="1:35" ht="21.9" customHeight="1">
      <c r="A14" s="196" t="s">
        <v>81</v>
      </c>
      <c r="B14" s="197">
        <v>8</v>
      </c>
      <c r="C14" s="198" t="s">
        <v>100</v>
      </c>
      <c r="D14" s="199" t="s">
        <v>101</v>
      </c>
      <c r="E14" s="200" t="s">
        <v>97</v>
      </c>
      <c r="F14" s="199" t="s">
        <v>98</v>
      </c>
      <c r="G14" s="201"/>
      <c r="H14" s="202" t="s">
        <v>102</v>
      </c>
      <c r="I14" s="203"/>
      <c r="J14" s="187">
        <v>1</v>
      </c>
      <c r="K14" s="192" t="str">
        <f t="shared" si="10"/>
        <v>МСМК</v>
      </c>
      <c r="L14" s="192" t="str">
        <f t="shared" si="11"/>
        <v>Брянская</v>
      </c>
      <c r="M14" s="204" t="str">
        <f t="array" ref="M14">IFERROR(INDEX(субъект,MATCH(SUM(COUNTIF(M$6:M13,субъект)),COUNTIF(субъект,"&lt;"&amp;субъект),0)),"")</f>
        <v/>
      </c>
      <c r="N14" s="204" t="str">
        <f t="array" ref="N14">IFERROR(INDEX(разряд,MATCH(SUM(COUNTIF(N$6:N13,разряд)),COUNTIF(разряд,"&lt;"&amp;разряд),0)),"")</f>
        <v/>
      </c>
      <c r="O14" s="205">
        <v>8</v>
      </c>
      <c r="P14" s="155" t="str">
        <f t="shared" si="1"/>
        <v/>
      </c>
      <c r="Q14" s="158">
        <f t="shared" si="2"/>
        <v>0</v>
      </c>
      <c r="R14" s="158">
        <f t="shared" si="3"/>
        <v>0</v>
      </c>
      <c r="S14" s="206">
        <f t="shared" si="4"/>
        <v>0</v>
      </c>
      <c r="T14" s="162">
        <f t="shared" si="5"/>
        <v>0</v>
      </c>
      <c r="U14" s="162">
        <f t="shared" si="6"/>
        <v>0</v>
      </c>
      <c r="V14" s="162">
        <f t="shared" si="7"/>
        <v>0</v>
      </c>
      <c r="W14" s="162">
        <f t="shared" si="8"/>
        <v>0</v>
      </c>
      <c r="X14" s="161"/>
      <c r="Y14" s="157" t="str">
        <f t="shared" si="12"/>
        <v/>
      </c>
      <c r="Z14" s="157" t="str">
        <f>IF(OR($Y14=$Y12,$Y14=$Y13,$Y14=$Y11,$Y14=$Y10,$Y14=$Y9,$Y14=$Y7)," ",IF(Q14=0," ",Q14))</f>
        <v xml:space="preserve"> </v>
      </c>
      <c r="AA14" s="157" t="str">
        <f>IF(OR($Y14=$Y12,$Y14=$Y13,$Y14=$Y11,$Y14=$Y10,$Y14=$Y9,$Y14=$Y7)," ",IF(R14=0," ",R14))</f>
        <v xml:space="preserve"> </v>
      </c>
      <c r="AB14" s="157" t="str">
        <f>IF(OR($Y14=$Y12,$Y14=$Y13,$Y14=$Y11,$Y14=$Y10,$Y14=$Y9,$Y14=$Y7)," ",IF(S14=0," ",S14))</f>
        <v xml:space="preserve"> </v>
      </c>
      <c r="AC14" s="157" t="str">
        <f>IF(OR($Y14=$Y12,$Y14=$Y13,$Y14=$Y11,$Y14=$Y10,$Y14=$Y9,$Y14=$Y7)," ",IF(T14=0," ",T14))</f>
        <v xml:space="preserve"> </v>
      </c>
      <c r="AD14" s="157" t="str">
        <f t="shared" si="9"/>
        <v xml:space="preserve"> </v>
      </c>
      <c r="AE14" s="157" t="str">
        <f t="shared" si="9"/>
        <v xml:space="preserve"> </v>
      </c>
      <c r="AF14" s="157" t="str">
        <f t="shared" si="9"/>
        <v xml:space="preserve"> </v>
      </c>
    </row>
    <row r="15" spans="1:35" ht="21.9" customHeight="1">
      <c r="A15" s="196" t="s">
        <v>82</v>
      </c>
      <c r="B15" s="197">
        <v>9</v>
      </c>
      <c r="C15" s="198" t="s">
        <v>113</v>
      </c>
      <c r="D15" s="199" t="s">
        <v>114</v>
      </c>
      <c r="E15" s="200" t="s">
        <v>115</v>
      </c>
      <c r="F15" s="199" t="s">
        <v>116</v>
      </c>
      <c r="G15" s="201"/>
      <c r="H15" s="202" t="s">
        <v>117</v>
      </c>
      <c r="I15" s="203"/>
      <c r="J15" s="187">
        <v>1</v>
      </c>
      <c r="K15" s="192" t="str">
        <f t="shared" si="10"/>
        <v>МСМК</v>
      </c>
      <c r="L15" s="192" t="str">
        <f t="shared" si="11"/>
        <v>Адыгея</v>
      </c>
      <c r="M15" s="204" t="str">
        <f t="array" ref="M15">IFERROR(INDEX(субъект,MATCH(SUM(COUNTIF(M$6:M14,субъект)),COUNTIF(субъект,"&lt;"&amp;субъект),0)),"")</f>
        <v/>
      </c>
      <c r="N15" s="204" t="str">
        <f t="array" ref="N15">IFERROR(INDEX(разряд,MATCH(SUM(COUNTIF(N$6:N14,разряд)),COUNTIF(разряд,"&lt;"&amp;разряд),0)),"")</f>
        <v/>
      </c>
      <c r="O15" s="205">
        <v>9</v>
      </c>
      <c r="P15" s="155" t="str">
        <f t="shared" si="1"/>
        <v/>
      </c>
      <c r="Q15" s="158">
        <f t="shared" si="2"/>
        <v>0</v>
      </c>
      <c r="R15" s="158">
        <f t="shared" si="3"/>
        <v>0</v>
      </c>
      <c r="S15" s="206">
        <f t="shared" si="4"/>
        <v>0</v>
      </c>
      <c r="T15" s="162">
        <f t="shared" si="5"/>
        <v>0</v>
      </c>
      <c r="U15" s="162">
        <f t="shared" si="6"/>
        <v>0</v>
      </c>
      <c r="V15" s="162">
        <f t="shared" si="7"/>
        <v>0</v>
      </c>
      <c r="W15" s="162">
        <f t="shared" si="8"/>
        <v>0</v>
      </c>
      <c r="X15" s="190"/>
      <c r="Y15" s="157" t="str">
        <f t="shared" si="12"/>
        <v/>
      </c>
      <c r="Z15" s="157" t="str">
        <f>IF(OR($Y15=$Y13,$Y15=$Y14,$Y15=$Y12,$Y15=$Y11,$Y15=$Y10,$Y15=$Y8,$Y15=$Y7)," ",IF(Q15=0," ",Q15))</f>
        <v xml:space="preserve"> </v>
      </c>
      <c r="AA15" s="157" t="str">
        <f>IF(OR($Y15=$Y13,$Y15=$Y14,$Y15=$Y12,$Y15=$Y11,$Y15=$Y10,$Y15=$Y8,$Y15=$Y7)," ",IF(R15=0," ",R15))</f>
        <v xml:space="preserve"> </v>
      </c>
      <c r="AB15" s="157" t="str">
        <f>IF(OR($Y15=$Y13,$Y15=$Y14,$Y15=$Y12,$Y15=$Y11,$Y15=$Y10,$Y15=$Y8,$Y15=$Y7)," ",IF(S15=0," ",S15))</f>
        <v xml:space="preserve"> </v>
      </c>
      <c r="AC15" s="157" t="str">
        <f>IF(OR($Y15=$Y13,$Y15=$Y14,$Y15=$Y12,$Y15=$Y11,$Y15=$Y10,$Y15=$Y8,$Y15=$Y7)," ",IF(T15=0," ",T15))</f>
        <v xml:space="preserve"> </v>
      </c>
      <c r="AD15" s="157" t="str">
        <f t="shared" si="9"/>
        <v xml:space="preserve"> </v>
      </c>
      <c r="AE15" s="157" t="str">
        <f t="shared" si="9"/>
        <v xml:space="preserve"> </v>
      </c>
      <c r="AF15" s="157" t="str">
        <f t="shared" si="9"/>
        <v xml:space="preserve"> </v>
      </c>
    </row>
    <row r="16" spans="1:35" ht="21.9" customHeight="1">
      <c r="A16" s="196" t="s">
        <v>83</v>
      </c>
      <c r="B16" s="197"/>
      <c r="C16" s="198"/>
      <c r="D16" s="199"/>
      <c r="E16" s="200"/>
      <c r="F16" s="199"/>
      <c r="G16" s="201"/>
      <c r="H16" s="202"/>
      <c r="I16" s="203"/>
      <c r="J16" s="187">
        <v>1</v>
      </c>
      <c r="K16" s="192">
        <f t="shared" si="10"/>
        <v>0</v>
      </c>
      <c r="L16" s="192">
        <f t="shared" si="11"/>
        <v>0</v>
      </c>
      <c r="M16" s="204" t="str">
        <f t="array" ref="M16">IFERROR(INDEX(субъект,MATCH(SUM(COUNTIF(M$6:M15,субъект)),COUNTIF(субъект,"&lt;"&amp;субъект),0)),"")</f>
        <v/>
      </c>
      <c r="N16" s="204" t="str">
        <f t="array" ref="N16">IFERROR(INDEX(разряд,MATCH(SUM(COUNTIF(N$6:N15,разряд)),COUNTIF(разряд,"&lt;"&amp;разряд),0)),"")</f>
        <v/>
      </c>
      <c r="O16" s="205">
        <v>10</v>
      </c>
      <c r="P16" s="155" t="str">
        <f t="shared" si="1"/>
        <v/>
      </c>
      <c r="Q16" s="158">
        <f t="shared" si="2"/>
        <v>0</v>
      </c>
      <c r="R16" s="158">
        <f t="shared" si="3"/>
        <v>0</v>
      </c>
      <c r="S16" s="206">
        <f t="shared" si="4"/>
        <v>0</v>
      </c>
      <c r="T16" s="162">
        <f t="shared" si="5"/>
        <v>0</v>
      </c>
      <c r="U16" s="162">
        <f t="shared" si="6"/>
        <v>0</v>
      </c>
      <c r="V16" s="162">
        <f t="shared" si="7"/>
        <v>0</v>
      </c>
      <c r="W16" s="162">
        <f t="shared" si="8"/>
        <v>0</v>
      </c>
      <c r="X16" s="154"/>
      <c r="Y16" s="157" t="str">
        <f t="shared" si="12"/>
        <v/>
      </c>
      <c r="Z16" s="157" t="str">
        <f>IF(OR($Y16=$Y14,$Y16=$Y15,$Y16=$Y13,$Y16=$Y12,$Y16=$Y11,$Y16=$Y9,$Y16=$Y8,$Y16=$Y7)," ",IF(Q16=0," ",Q16))</f>
        <v xml:space="preserve"> </v>
      </c>
      <c r="AA16" s="157" t="str">
        <f>IF(OR($Y16=$Y14,$Y16=$Y15,$Y16=$Y13,$Y16=$Y12,$Y16=$Y11,$Y16=$Y9,$Y16=$Y8,$Y16=$Y7)," ",IF(R16=0," ",R16))</f>
        <v xml:space="preserve"> </v>
      </c>
      <c r="AB16" s="157" t="str">
        <f>IF(OR($Y16=$Y14,$Y16=$Y15,$Y16=$Y13,$Y16=$Y12,$Y16=$Y11,$Y16=$Y9,$Y16=$Y8,$Y16=$Y7)," ",IF(S16=0," ",S16))</f>
        <v xml:space="preserve"> </v>
      </c>
      <c r="AC16" s="157" t="str">
        <f>IF(OR($Y16=$Y14,$Y16=$Y15,$Y16=$Y13,$Y16=$Y12,$Y16=$Y11,$Y16=$Y9,$Y16=$Y8,$Y16=$Y7)," ",IF(T16=0," ",T16))</f>
        <v xml:space="preserve"> </v>
      </c>
      <c r="AD16" s="157" t="str">
        <f t="shared" si="9"/>
        <v xml:space="preserve"> </v>
      </c>
      <c r="AE16" s="157" t="str">
        <f t="shared" si="9"/>
        <v xml:space="preserve"> </v>
      </c>
      <c r="AF16" s="157" t="str">
        <f t="shared" si="9"/>
        <v xml:space="preserve"> </v>
      </c>
    </row>
    <row r="17" spans="1:32" ht="21.9" customHeight="1">
      <c r="A17" s="196" t="s">
        <v>84</v>
      </c>
      <c r="B17" s="197"/>
      <c r="C17" s="198"/>
      <c r="D17" s="199"/>
      <c r="E17" s="200"/>
      <c r="F17" s="199"/>
      <c r="G17" s="201"/>
      <c r="H17" s="202"/>
      <c r="I17" s="203"/>
      <c r="J17" s="187">
        <v>1</v>
      </c>
      <c r="K17" s="192">
        <f t="shared" si="10"/>
        <v>0</v>
      </c>
      <c r="L17" s="192">
        <f t="shared" si="11"/>
        <v>0</v>
      </c>
      <c r="M17" s="204" t="str">
        <f t="array" ref="M17">IFERROR(INDEX(субъект,MATCH(SUM(COUNTIF(M$6:M16,субъект)),COUNTIF(субъект,"&lt;"&amp;субъект),0)),"")</f>
        <v/>
      </c>
      <c r="N17" s="204" t="str">
        <f t="array" ref="N17">IFERROR(INDEX(разряд,MATCH(SUM(COUNTIF(N$6:N16,разряд)),COUNTIF(разряд,"&lt;"&amp;разряд),0)),"")</f>
        <v/>
      </c>
      <c r="O17" s="205">
        <v>11</v>
      </c>
      <c r="P17" s="155" t="str">
        <f t="shared" si="1"/>
        <v/>
      </c>
      <c r="Q17" s="158">
        <f t="shared" si="2"/>
        <v>0</v>
      </c>
      <c r="R17" s="158">
        <f t="shared" si="3"/>
        <v>0</v>
      </c>
      <c r="S17" s="206">
        <f t="shared" si="4"/>
        <v>0</v>
      </c>
      <c r="T17" s="162">
        <f t="shared" si="5"/>
        <v>0</v>
      </c>
      <c r="U17" s="162">
        <f t="shared" si="6"/>
        <v>0</v>
      </c>
      <c r="V17" s="162">
        <f t="shared" si="7"/>
        <v>0</v>
      </c>
      <c r="W17" s="162">
        <f t="shared" si="8"/>
        <v>0</v>
      </c>
      <c r="X17" s="154"/>
      <c r="Y17" s="157" t="str">
        <f t="shared" si="12"/>
        <v/>
      </c>
      <c r="Z17" s="157" t="str">
        <f>IF(OR($Y17=$Y15,$Y17=$Y16,$Y17=$Y14,$Y17=$Y13,$Y17=$Y12,$Y17=$Y10,$Y17=$Y9,$Y17=$Y8,$Y17=$Y7)," ",IF(Q17=0," ",Q17))</f>
        <v xml:space="preserve"> </v>
      </c>
      <c r="AA17" s="157" t="str">
        <f>IF(OR($Y17=$Y15,$Y17=$Y16,$Y17=$Y14,$Y17=$Y13,$Y17=$Y12,$Y17=$Y10,$Y17=$Y9,$Y17=$Y8,$Y17=$Y7)," ",IF(R17=0," ",R17))</f>
        <v xml:space="preserve"> </v>
      </c>
      <c r="AB17" s="157" t="str">
        <f>IF(OR($Y17=$Y15,$Y17=$Y16,$Y17=$Y14,$Y17=$Y13,$Y17=$Y12,$Y17=$Y10,$Y17=$Y9,$Y17=$Y8,$Y17=$Y7)," ",IF(S17=0," ",S17))</f>
        <v xml:space="preserve"> </v>
      </c>
      <c r="AC17" s="157" t="str">
        <f>IF(OR($Y17=$Y15,$Y17=$Y16,$Y17=$Y14,$Y17=$Y13,$Y17=$Y12,$Y17=$Y10,$Y17=$Y9,$Y17=$Y8,$Y17=$Y7)," ",IF(T17=0," ",T17))</f>
        <v xml:space="preserve"> </v>
      </c>
      <c r="AD17" s="157" t="str">
        <f t="shared" si="9"/>
        <v xml:space="preserve"> </v>
      </c>
      <c r="AE17" s="157" t="str">
        <f t="shared" si="9"/>
        <v xml:space="preserve"> </v>
      </c>
      <c r="AF17" s="157" t="str">
        <f t="shared" si="9"/>
        <v xml:space="preserve"> </v>
      </c>
    </row>
    <row r="18" spans="1:32" ht="21.9" customHeight="1">
      <c r="A18" s="196" t="s">
        <v>85</v>
      </c>
      <c r="B18" s="197"/>
      <c r="C18" s="198"/>
      <c r="D18" s="199"/>
      <c r="E18" s="200"/>
      <c r="F18" s="199"/>
      <c r="G18" s="201"/>
      <c r="H18" s="202"/>
      <c r="I18" s="203"/>
      <c r="J18" s="187">
        <v>1</v>
      </c>
      <c r="K18" s="192">
        <f t="shared" si="10"/>
        <v>0</v>
      </c>
      <c r="L18" s="192">
        <f t="shared" si="11"/>
        <v>0</v>
      </c>
      <c r="M18" s="204" t="str">
        <f t="array" ref="M18">IFERROR(INDEX(субъект,MATCH(SUM(COUNTIF(M$6:M17,субъект)),COUNTIF(субъект,"&lt;"&amp;субъект),0)),"")</f>
        <v/>
      </c>
      <c r="N18" s="204" t="str">
        <f t="array" ref="N18">IFERROR(INDEX(разряд,MATCH(SUM(COUNTIF(N$6:N17,разряд)),COUNTIF(разряд,"&lt;"&amp;разряд),0)),"")</f>
        <v/>
      </c>
      <c r="O18" s="205">
        <v>12</v>
      </c>
      <c r="P18" s="155" t="str">
        <f t="shared" si="1"/>
        <v/>
      </c>
      <c r="Q18" s="158">
        <f t="shared" si="2"/>
        <v>0</v>
      </c>
      <c r="R18" s="158">
        <f t="shared" si="3"/>
        <v>0</v>
      </c>
      <c r="S18" s="206">
        <f t="shared" si="4"/>
        <v>0</v>
      </c>
      <c r="T18" s="162">
        <f t="shared" si="5"/>
        <v>0</v>
      </c>
      <c r="U18" s="162">
        <f t="shared" si="6"/>
        <v>0</v>
      </c>
      <c r="V18" s="162">
        <f t="shared" si="7"/>
        <v>0</v>
      </c>
      <c r="W18" s="162">
        <f t="shared" si="8"/>
        <v>0</v>
      </c>
      <c r="X18" s="154"/>
      <c r="Y18" s="157" t="str">
        <f t="shared" si="12"/>
        <v/>
      </c>
      <c r="Z18" s="157" t="str">
        <f>IF(OR($Y18=$Y16,$Y18=$Y17,$Y18=$Y15,$Y18=$Y14,$Y18=$Y13,$Y18=$Y11,$Y18=$Y10,$Y18=$Y9,$Y18=$Y8,$Y18=$Y7)," ",IF(Q18=0," ",Q18))</f>
        <v xml:space="preserve"> </v>
      </c>
      <c r="AA18" s="157" t="str">
        <f>IF(OR($Y18=$Y16,$Y18=$Y17,$Y18=$Y15,$Y18=$Y14,$Y18=$Y13,$Y18=$Y11,$Y18=$Y10,$Y18=$Y9,$Y18=$Y8,$Y18=$Y7)," ",IF(R18=0," ",R18))</f>
        <v xml:space="preserve"> </v>
      </c>
      <c r="AB18" s="157" t="str">
        <f>IF(OR($Y18=$Y16,$Y18=$Y17,$Y18=$Y15,$Y18=$Y14,$Y18=$Y13,$Y18=$Y11,$Y18=$Y10,$Y18=$Y9,$Y18=$Y8,$Y18=$Y7)," ",IF(S18=0," ",S18))</f>
        <v xml:space="preserve"> </v>
      </c>
      <c r="AC18" s="157" t="str">
        <f>IF(OR($Y18=$Y16,$Y18=$Y17,$Y18=$Y15,$Y18=$Y14,$Y18=$Y13,$Y18=$Y11,$Y18=$Y10,$Y18=$Y9,$Y18=$Y8,$Y18=$Y7)," ",IF(T18=0," ",T18))</f>
        <v xml:space="preserve"> </v>
      </c>
      <c r="AD18" s="157" t="str">
        <f t="shared" si="9"/>
        <v xml:space="preserve"> </v>
      </c>
      <c r="AE18" s="157" t="str">
        <f t="shared" si="9"/>
        <v xml:space="preserve"> </v>
      </c>
      <c r="AF18" s="157" t="str">
        <f t="shared" si="9"/>
        <v xml:space="preserve"> </v>
      </c>
    </row>
    <row r="19" spans="1:32" ht="21.9" customHeight="1">
      <c r="A19" s="196" t="s">
        <v>86</v>
      </c>
      <c r="B19" s="197"/>
      <c r="C19" s="198"/>
      <c r="D19" s="199"/>
      <c r="E19" s="200"/>
      <c r="F19" s="199"/>
      <c r="G19" s="201"/>
      <c r="H19" s="202"/>
      <c r="I19" s="203"/>
      <c r="J19" s="187">
        <v>1</v>
      </c>
      <c r="K19" s="192">
        <f t="shared" si="10"/>
        <v>0</v>
      </c>
      <c r="L19" s="192">
        <f t="shared" si="11"/>
        <v>0</v>
      </c>
      <c r="M19" s="204" t="str">
        <f t="array" ref="M19">IFERROR(INDEX(субъект,MATCH(SUM(COUNTIF(M$6:M18,субъект)),COUNTIF(субъект,"&lt;"&amp;субъект),0)),"")</f>
        <v/>
      </c>
      <c r="N19" s="204" t="str">
        <f t="array" ref="N19">IFERROR(INDEX(разряд,MATCH(SUM(COUNTIF(N$6:N18,разряд)),COUNTIF(разряд,"&lt;"&amp;разряд),0)),"")</f>
        <v/>
      </c>
      <c r="O19" s="205">
        <v>13</v>
      </c>
      <c r="P19" s="155" t="str">
        <f t="shared" si="1"/>
        <v/>
      </c>
      <c r="Q19" s="158">
        <f t="shared" si="2"/>
        <v>0</v>
      </c>
      <c r="R19" s="158">
        <f t="shared" si="3"/>
        <v>0</v>
      </c>
      <c r="S19" s="206">
        <f t="shared" si="4"/>
        <v>0</v>
      </c>
      <c r="T19" s="162">
        <f t="shared" si="5"/>
        <v>0</v>
      </c>
      <c r="U19" s="162">
        <f t="shared" si="6"/>
        <v>0</v>
      </c>
      <c r="V19" s="162">
        <f t="shared" si="7"/>
        <v>0</v>
      </c>
      <c r="W19" s="162">
        <f t="shared" si="8"/>
        <v>0</v>
      </c>
      <c r="X19" s="154"/>
      <c r="Y19" s="157" t="str">
        <f t="shared" si="12"/>
        <v/>
      </c>
      <c r="Z19" s="157" t="str">
        <f t="shared" ref="Z19:AC22" si="13">IF(Q19=0," ",Q19)</f>
        <v xml:space="preserve"> </v>
      </c>
      <c r="AA19" s="157" t="str">
        <f t="shared" si="13"/>
        <v xml:space="preserve"> </v>
      </c>
      <c r="AB19" s="157" t="str">
        <f t="shared" si="13"/>
        <v xml:space="preserve"> </v>
      </c>
      <c r="AC19" s="157" t="str">
        <f t="shared" si="13"/>
        <v xml:space="preserve"> </v>
      </c>
      <c r="AD19" s="157" t="str">
        <f t="shared" si="9"/>
        <v xml:space="preserve"> </v>
      </c>
      <c r="AE19" s="157" t="str">
        <f t="shared" si="9"/>
        <v xml:space="preserve"> </v>
      </c>
      <c r="AF19" s="157" t="str">
        <f t="shared" si="9"/>
        <v xml:space="preserve"> </v>
      </c>
    </row>
    <row r="20" spans="1:32" ht="21.9" customHeight="1">
      <c r="A20" s="196" t="s">
        <v>87</v>
      </c>
      <c r="B20" s="197"/>
      <c r="C20" s="198"/>
      <c r="D20" s="199"/>
      <c r="E20" s="200"/>
      <c r="F20" s="199"/>
      <c r="G20" s="201"/>
      <c r="H20" s="202"/>
      <c r="I20" s="203"/>
      <c r="J20" s="187">
        <v>1</v>
      </c>
      <c r="K20" s="192">
        <f t="shared" si="10"/>
        <v>0</v>
      </c>
      <c r="L20" s="192">
        <f t="shared" si="11"/>
        <v>0</v>
      </c>
      <c r="M20" s="204" t="str">
        <f t="array" ref="M20">IFERROR(INDEX(субъект,MATCH(SUM(COUNTIF(M$6:M19,субъект)),COUNTIF(субъект,"&lt;"&amp;субъект),0)),"")</f>
        <v/>
      </c>
      <c r="N20" s="204" t="str">
        <f t="array" ref="N20">IFERROR(INDEX(разряд,MATCH(SUM(COUNTIF(N$6:N19,разряд)),COUNTIF(разряд,"&lt;"&amp;разряд),0)),"")</f>
        <v/>
      </c>
      <c r="O20" s="205">
        <v>14</v>
      </c>
      <c r="P20" s="155" t="str">
        <f t="shared" si="1"/>
        <v/>
      </c>
      <c r="Q20" s="158">
        <f t="shared" si="2"/>
        <v>0</v>
      </c>
      <c r="R20" s="158">
        <f t="shared" si="3"/>
        <v>0</v>
      </c>
      <c r="S20" s="206">
        <f t="shared" si="4"/>
        <v>0</v>
      </c>
      <c r="T20" s="162">
        <f t="shared" si="5"/>
        <v>0</v>
      </c>
      <c r="U20" s="162">
        <f t="shared" si="6"/>
        <v>0</v>
      </c>
      <c r="V20" s="162">
        <f t="shared" si="7"/>
        <v>0</v>
      </c>
      <c r="W20" s="162">
        <f t="shared" si="8"/>
        <v>0</v>
      </c>
      <c r="X20" s="154"/>
      <c r="Y20" s="157" t="str">
        <f t="shared" si="12"/>
        <v/>
      </c>
      <c r="Z20" s="157" t="str">
        <f t="shared" si="13"/>
        <v xml:space="preserve"> </v>
      </c>
      <c r="AA20" s="157" t="str">
        <f t="shared" si="13"/>
        <v xml:space="preserve"> </v>
      </c>
      <c r="AB20" s="157" t="str">
        <f t="shared" si="13"/>
        <v xml:space="preserve"> </v>
      </c>
      <c r="AC20" s="157" t="str">
        <f t="shared" si="13"/>
        <v xml:space="preserve"> </v>
      </c>
      <c r="AD20" s="157" t="str">
        <f t="shared" si="9"/>
        <v xml:space="preserve"> </v>
      </c>
      <c r="AE20" s="157" t="str">
        <f t="shared" si="9"/>
        <v xml:space="preserve"> </v>
      </c>
      <c r="AF20" s="157" t="str">
        <f t="shared" si="9"/>
        <v xml:space="preserve"> </v>
      </c>
    </row>
    <row r="21" spans="1:32" ht="21.9" customHeight="1">
      <c r="A21" s="196" t="s">
        <v>88</v>
      </c>
      <c r="B21" s="197"/>
      <c r="C21" s="198"/>
      <c r="D21" s="199"/>
      <c r="E21" s="200"/>
      <c r="F21" s="199"/>
      <c r="G21" s="201"/>
      <c r="H21" s="202"/>
      <c r="I21" s="203"/>
      <c r="J21" s="187">
        <v>1</v>
      </c>
      <c r="K21" s="192">
        <f t="shared" si="10"/>
        <v>0</v>
      </c>
      <c r="L21" s="192">
        <f t="shared" si="11"/>
        <v>0</v>
      </c>
      <c r="M21" s="204" t="str">
        <f t="array" ref="M21">IFERROR(INDEX(субъект,MATCH(SUM(COUNTIF(M$6:M20,субъект)),COUNTIF(субъект,"&lt;"&amp;субъект),0)),"")</f>
        <v/>
      </c>
      <c r="N21" s="204" t="str">
        <f t="array" ref="N21">IFERROR(INDEX(разряд,MATCH(SUM(COUNTIF(N$6:N20,разряд)),COUNTIF(разряд,"&lt;"&amp;разряд),0)),"")</f>
        <v/>
      </c>
      <c r="O21" s="205">
        <v>15</v>
      </c>
      <c r="P21" s="155" t="str">
        <f t="shared" si="1"/>
        <v/>
      </c>
      <c r="Q21" s="158">
        <f t="shared" si="2"/>
        <v>0</v>
      </c>
      <c r="R21" s="158">
        <f t="shared" si="3"/>
        <v>0</v>
      </c>
      <c r="S21" s="206">
        <f t="shared" si="4"/>
        <v>0</v>
      </c>
      <c r="T21" s="162">
        <f t="shared" si="5"/>
        <v>0</v>
      </c>
      <c r="U21" s="162">
        <f t="shared" si="6"/>
        <v>0</v>
      </c>
      <c r="V21" s="162">
        <f t="shared" si="7"/>
        <v>0</v>
      </c>
      <c r="W21" s="162">
        <f t="shared" si="8"/>
        <v>0</v>
      </c>
      <c r="X21" s="154"/>
      <c r="Y21" s="157" t="str">
        <f t="shared" si="12"/>
        <v/>
      </c>
      <c r="Z21" s="157" t="str">
        <f t="shared" si="13"/>
        <v xml:space="preserve"> </v>
      </c>
      <c r="AA21" s="157" t="str">
        <f t="shared" si="13"/>
        <v xml:space="preserve"> </v>
      </c>
      <c r="AB21" s="157" t="str">
        <f t="shared" si="13"/>
        <v xml:space="preserve"> </v>
      </c>
      <c r="AC21" s="157" t="str">
        <f t="shared" si="13"/>
        <v xml:space="preserve"> </v>
      </c>
      <c r="AD21" s="157" t="str">
        <f t="shared" si="9"/>
        <v xml:space="preserve"> </v>
      </c>
      <c r="AE21" s="157" t="str">
        <f t="shared" si="9"/>
        <v xml:space="preserve"> </v>
      </c>
      <c r="AF21" s="157" t="str">
        <f t="shared" si="9"/>
        <v xml:space="preserve"> </v>
      </c>
    </row>
    <row r="22" spans="1:32" ht="21.9" customHeight="1">
      <c r="A22" s="196" t="s">
        <v>89</v>
      </c>
      <c r="B22" s="197"/>
      <c r="C22" s="198"/>
      <c r="D22" s="199"/>
      <c r="E22" s="200"/>
      <c r="F22" s="199"/>
      <c r="G22" s="201"/>
      <c r="H22" s="202"/>
      <c r="I22" s="203"/>
      <c r="J22" s="187">
        <v>1</v>
      </c>
      <c r="K22" s="192">
        <f t="shared" si="10"/>
        <v>0</v>
      </c>
      <c r="L22" s="192">
        <f t="shared" si="11"/>
        <v>0</v>
      </c>
      <c r="M22" s="204" t="str">
        <f t="array" ref="M22">IFERROR(INDEX(субъект,MATCH(SUM(COUNTIF(M$6:M21,субъект)),COUNTIF(субъект,"&lt;"&amp;субъект),0)),"")</f>
        <v/>
      </c>
      <c r="N22" s="204" t="str">
        <f t="array" ref="N22">IFERROR(INDEX(разряд,MATCH(SUM(COUNTIF(N$6:N21,разряд)),COUNTIF(разряд,"&lt;"&amp;разряд),0)),"")</f>
        <v/>
      </c>
      <c r="O22" s="205">
        <v>16</v>
      </c>
      <c r="P22" s="155" t="str">
        <f t="shared" si="1"/>
        <v/>
      </c>
      <c r="Q22" s="158">
        <f t="shared" si="2"/>
        <v>0</v>
      </c>
      <c r="R22" s="158">
        <f t="shared" si="3"/>
        <v>0</v>
      </c>
      <c r="S22" s="206">
        <f t="shared" si="4"/>
        <v>0</v>
      </c>
      <c r="T22" s="162">
        <f t="shared" si="5"/>
        <v>0</v>
      </c>
      <c r="U22" s="162">
        <f t="shared" si="6"/>
        <v>0</v>
      </c>
      <c r="V22" s="162">
        <f t="shared" si="7"/>
        <v>0</v>
      </c>
      <c r="W22" s="162">
        <f t="shared" si="8"/>
        <v>0</v>
      </c>
      <c r="X22" s="154"/>
      <c r="Y22" s="157" t="str">
        <f t="shared" si="12"/>
        <v/>
      </c>
      <c r="Z22" s="157" t="str">
        <f t="shared" si="13"/>
        <v xml:space="preserve"> </v>
      </c>
      <c r="AA22" s="157" t="str">
        <f t="shared" si="13"/>
        <v xml:space="preserve"> </v>
      </c>
      <c r="AB22" s="157" t="str">
        <f t="shared" si="13"/>
        <v xml:space="preserve"> </v>
      </c>
      <c r="AC22" s="157" t="str">
        <f t="shared" si="13"/>
        <v xml:space="preserve"> </v>
      </c>
      <c r="AD22" s="157" t="str">
        <f t="shared" si="9"/>
        <v xml:space="preserve"> </v>
      </c>
      <c r="AE22" s="157" t="str">
        <f t="shared" si="9"/>
        <v xml:space="preserve"> </v>
      </c>
      <c r="AF22" s="157" t="str">
        <f t="shared" si="9"/>
        <v xml:space="preserve"> </v>
      </c>
    </row>
    <row r="23" spans="1:32" ht="13.8">
      <c r="A23" s="74" t="s">
        <v>46</v>
      </c>
      <c r="D23" s="191"/>
      <c r="E23" s="191"/>
      <c r="F23" s="191"/>
      <c r="G23" s="191"/>
      <c r="H23" s="191"/>
      <c r="J23" s="260"/>
      <c r="K23" s="261"/>
      <c r="L23" s="262"/>
      <c r="M23" s="188"/>
      <c r="N23" s="188"/>
    </row>
    <row r="24" spans="1:32" ht="13.8">
      <c r="D24" s="191"/>
      <c r="E24" s="191"/>
      <c r="F24" s="191"/>
      <c r="G24" s="191"/>
      <c r="H24" s="191"/>
      <c r="J24" s="260"/>
      <c r="K24" s="261"/>
      <c r="L24" s="262"/>
      <c r="M24" s="188"/>
      <c r="N24" s="188"/>
    </row>
    <row r="25" spans="1:32" ht="13.8">
      <c r="A25" s="74" t="s">
        <v>47</v>
      </c>
      <c r="D25" s="191"/>
      <c r="E25" s="191"/>
      <c r="F25" s="191"/>
      <c r="G25" s="191"/>
      <c r="H25" s="191"/>
      <c r="J25" s="260"/>
      <c r="K25" s="261"/>
      <c r="L25" s="262"/>
      <c r="M25" s="188"/>
      <c r="N25" s="188"/>
    </row>
    <row r="26" spans="1:32" ht="13.8">
      <c r="D26" s="191"/>
      <c r="E26" s="191"/>
      <c r="F26" s="191"/>
      <c r="G26" s="191"/>
      <c r="H26" s="191"/>
      <c r="J26" s="260"/>
      <c r="K26" s="261"/>
      <c r="L26" s="262"/>
      <c r="M26" s="188"/>
      <c r="N26" s="188"/>
    </row>
    <row r="27" spans="1:32" ht="13.8">
      <c r="A27" s="74" t="s">
        <v>48</v>
      </c>
      <c r="D27" s="191"/>
      <c r="E27" s="191"/>
      <c r="F27" s="191"/>
      <c r="G27" s="191"/>
      <c r="H27" s="191"/>
      <c r="J27" s="260"/>
      <c r="K27" s="261"/>
      <c r="L27" s="262"/>
      <c r="M27" s="188"/>
      <c r="N27" s="188"/>
    </row>
    <row r="28" spans="1:32" ht="13.8">
      <c r="D28" s="191"/>
      <c r="E28" s="191"/>
      <c r="F28" s="191"/>
      <c r="G28" s="191"/>
      <c r="H28" s="191"/>
      <c r="J28" s="260"/>
      <c r="K28" s="261"/>
      <c r="L28" s="262"/>
      <c r="M28" s="188"/>
      <c r="N28" s="188"/>
    </row>
    <row r="29" spans="1:32" ht="13.8">
      <c r="A29" s="74" t="s">
        <v>49</v>
      </c>
      <c r="D29" s="191"/>
      <c r="E29" s="191"/>
      <c r="F29" s="191"/>
      <c r="G29" s="191"/>
      <c r="H29" s="191"/>
      <c r="J29" s="260"/>
      <c r="K29" s="261"/>
      <c r="L29" s="262"/>
      <c r="M29" s="188"/>
      <c r="N29" s="188"/>
    </row>
    <row r="30" spans="1:32" ht="13.8">
      <c r="A30" s="191"/>
      <c r="B30" s="191"/>
      <c r="C30" s="191"/>
      <c r="D30" s="191"/>
      <c r="E30" s="191"/>
      <c r="F30" s="191"/>
      <c r="G30" s="191"/>
      <c r="H30" s="191"/>
      <c r="J30" s="260"/>
      <c r="K30" s="261"/>
      <c r="L30" s="262"/>
      <c r="M30" s="188"/>
      <c r="N30" s="188"/>
    </row>
    <row r="81" spans="9:9">
      <c r="I81" s="191"/>
    </row>
    <row r="82" spans="9:9">
      <c r="I82" s="191"/>
    </row>
    <row r="83" spans="9:9">
      <c r="I83" s="191"/>
    </row>
    <row r="84" spans="9:9">
      <c r="I84" s="191"/>
    </row>
    <row r="85" spans="9:9">
      <c r="I85" s="191"/>
    </row>
    <row r="86" spans="9:9">
      <c r="I86" s="191"/>
    </row>
    <row r="87" spans="9:9">
      <c r="I87" s="191"/>
    </row>
    <row r="88" spans="9:9">
      <c r="I88" s="191"/>
    </row>
    <row r="89" spans="9:9">
      <c r="I89" s="191"/>
    </row>
    <row r="90" spans="9:9">
      <c r="I90" s="191"/>
    </row>
    <row r="91" spans="9:9">
      <c r="I91" s="191"/>
    </row>
    <row r="92" spans="9:9">
      <c r="I92" s="191"/>
    </row>
    <row r="93" spans="9:9">
      <c r="I93" s="191"/>
    </row>
    <row r="94" spans="9:9">
      <c r="I94" s="191"/>
    </row>
    <row r="95" spans="9:9">
      <c r="I95" s="191"/>
    </row>
    <row r="96" spans="9:9">
      <c r="I96" s="191"/>
    </row>
    <row r="97" spans="9:9">
      <c r="I97" s="191"/>
    </row>
    <row r="98" spans="9:9">
      <c r="I98" s="191"/>
    </row>
    <row r="99" spans="9:9">
      <c r="I99" s="191"/>
    </row>
    <row r="100" spans="9:9">
      <c r="I100" s="191"/>
    </row>
    <row r="101" spans="9:9">
      <c r="I101" s="191"/>
    </row>
    <row r="102" spans="9:9">
      <c r="I102" s="191"/>
    </row>
    <row r="103" spans="9:9">
      <c r="I103" s="191"/>
    </row>
    <row r="104" spans="9:9">
      <c r="I104" s="191"/>
    </row>
    <row r="105" spans="9:9">
      <c r="I105" s="191"/>
    </row>
    <row r="106" spans="9:9">
      <c r="I106" s="191"/>
    </row>
    <row r="107" spans="9:9">
      <c r="I107" s="191"/>
    </row>
    <row r="108" spans="9:9">
      <c r="I108" s="191"/>
    </row>
    <row r="109" spans="9:9">
      <c r="I109" s="191"/>
    </row>
    <row r="110" spans="9:9">
      <c r="I110" s="191"/>
    </row>
    <row r="111" spans="9:9">
      <c r="I111" s="191"/>
    </row>
    <row r="112" spans="9:9">
      <c r="I112" s="191"/>
    </row>
    <row r="113" spans="9:9">
      <c r="I113" s="191"/>
    </row>
    <row r="114" spans="9:9">
      <c r="I114" s="191"/>
    </row>
    <row r="115" spans="9:9">
      <c r="I115" s="191"/>
    </row>
    <row r="116" spans="9:9">
      <c r="I116" s="191"/>
    </row>
    <row r="117" spans="9:9">
      <c r="I117" s="191"/>
    </row>
    <row r="118" spans="9:9">
      <c r="I118" s="191"/>
    </row>
    <row r="119" spans="9:9">
      <c r="I119" s="191"/>
    </row>
    <row r="120" spans="9:9">
      <c r="I120" s="191"/>
    </row>
    <row r="121" spans="9:9">
      <c r="I121" s="191"/>
    </row>
    <row r="122" spans="9:9">
      <c r="I122" s="191"/>
    </row>
    <row r="123" spans="9:9">
      <c r="I123" s="191"/>
    </row>
    <row r="124" spans="9:9">
      <c r="I124" s="191"/>
    </row>
    <row r="125" spans="9:9">
      <c r="I125" s="191"/>
    </row>
    <row r="126" spans="9:9">
      <c r="I126" s="191"/>
    </row>
    <row r="127" spans="9:9">
      <c r="I127" s="191"/>
    </row>
    <row r="128" spans="9:9">
      <c r="I128" s="191"/>
    </row>
    <row r="129" spans="9:9">
      <c r="I129" s="191"/>
    </row>
    <row r="130" spans="9:9">
      <c r="I130" s="191"/>
    </row>
    <row r="131" spans="9:9">
      <c r="I131" s="191"/>
    </row>
    <row r="132" spans="9:9">
      <c r="I132" s="191"/>
    </row>
    <row r="133" spans="9:9">
      <c r="I133" s="191"/>
    </row>
    <row r="134" spans="9:9">
      <c r="I134" s="191"/>
    </row>
    <row r="135" spans="9:9">
      <c r="I135" s="191"/>
    </row>
    <row r="136" spans="9:9">
      <c r="I136" s="191"/>
    </row>
    <row r="137" spans="9:9">
      <c r="I137" s="191"/>
    </row>
    <row r="138" spans="9:9">
      <c r="I138" s="191"/>
    </row>
    <row r="139" spans="9:9">
      <c r="I139" s="191"/>
    </row>
    <row r="140" spans="9:9">
      <c r="I140" s="191"/>
    </row>
    <row r="141" spans="9:9">
      <c r="I141" s="191"/>
    </row>
    <row r="142" spans="9:9">
      <c r="I142" s="191"/>
    </row>
  </sheetData>
  <sortState xmlns:xlrd2="http://schemas.microsoft.com/office/spreadsheetml/2017/richdata2" ref="B7:H15">
    <sortCondition ref="B7:B15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1432560</xdr:colOff>
                    <xdr:row>3</xdr:row>
                    <xdr:rowOff>30480</xdr:rowOff>
                  </from>
                  <to>
                    <xdr:col>6</xdr:col>
                    <xdr:colOff>0</xdr:colOff>
                    <xdr:row>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205740</xdr:colOff>
                    <xdr:row>3</xdr:row>
                    <xdr:rowOff>30480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44"/>
  <sheetViews>
    <sheetView tabSelected="1" topLeftCell="A17" workbookViewId="0">
      <selection sqref="A1:U40"/>
    </sheetView>
  </sheetViews>
  <sheetFormatPr defaultRowHeight="13.2"/>
  <cols>
    <col min="1" max="1" width="4.6640625" customWidth="1"/>
    <col min="2" max="2" width="14" customWidth="1"/>
    <col min="3" max="3" width="7.6640625" customWidth="1"/>
    <col min="4" max="4" width="11.33203125" customWidth="1"/>
    <col min="5" max="12" width="4.6640625" customWidth="1"/>
    <col min="13" max="13" width="5" customWidth="1"/>
    <col min="14" max="17" width="4.6640625" customWidth="1"/>
    <col min="18" max="18" width="14" customWidth="1"/>
    <col min="19" max="19" width="7.6640625" customWidth="1"/>
    <col min="20" max="20" width="11.33203125" customWidth="1"/>
    <col min="21" max="21" width="4.6640625" customWidth="1"/>
    <col min="25" max="26" width="3.109375" customWidth="1"/>
    <col min="27" max="27" width="3.88671875" customWidth="1"/>
  </cols>
  <sheetData>
    <row r="1" spans="1:28" ht="24" customHeight="1">
      <c r="A1" s="267" t="s">
        <v>22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  <c r="U1" s="267"/>
      <c r="V1" s="98"/>
      <c r="W1" s="98"/>
      <c r="Y1" s="98"/>
      <c r="Z1" s="98"/>
      <c r="AA1" s="98"/>
      <c r="AB1" s="98"/>
    </row>
    <row r="2" spans="1:28" ht="27.75" customHeight="1" thickBot="1">
      <c r="A2" s="268" t="s">
        <v>23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98"/>
      <c r="W2" s="98"/>
      <c r="Y2" s="98"/>
      <c r="Z2" s="98"/>
      <c r="AA2" s="98"/>
      <c r="AB2" s="98"/>
    </row>
    <row r="3" spans="1:28" ht="39" customHeight="1" thickBot="1">
      <c r="A3" s="98"/>
      <c r="B3" s="98"/>
      <c r="C3" s="293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5"/>
      <c r="S3" s="98"/>
      <c r="T3" s="98"/>
      <c r="U3" s="98"/>
      <c r="V3" s="98"/>
      <c r="W3" s="98"/>
      <c r="Y3" s="98"/>
      <c r="Z3" s="98"/>
      <c r="AA3" s="98"/>
      <c r="AB3" s="98"/>
    </row>
    <row r="4" spans="1:28" ht="15.75" customHeight="1" thickBot="1">
      <c r="A4" s="105"/>
      <c r="B4" s="105"/>
      <c r="C4" s="296" t="str">
        <f>пр.взв!A3</f>
        <v>26-29.08.2022г.                                              г.Казань</v>
      </c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105"/>
      <c r="T4" s="98"/>
      <c r="U4" s="98"/>
      <c r="V4" s="98"/>
      <c r="W4" s="98"/>
      <c r="Y4" s="98"/>
      <c r="Z4" s="98"/>
      <c r="AA4" s="98"/>
      <c r="AB4" s="98"/>
    </row>
    <row r="5" spans="1:28" ht="20.25" customHeight="1" thickBot="1">
      <c r="A5" s="98"/>
      <c r="B5" s="98"/>
      <c r="C5" s="98"/>
      <c r="D5" s="98"/>
      <c r="E5" s="98"/>
      <c r="F5" s="98"/>
      <c r="G5" s="98"/>
      <c r="H5" s="98"/>
      <c r="I5" s="106"/>
      <c r="J5" s="297" t="str">
        <f>пр.взв!D4</f>
        <v>В.к. 98+ кг.</v>
      </c>
      <c r="K5" s="298"/>
      <c r="L5" s="299"/>
      <c r="M5" s="300" t="str">
        <f>Y5&amp;" "&amp;Z5</f>
        <v>9 участников</v>
      </c>
      <c r="N5" s="301"/>
      <c r="O5" s="302"/>
      <c r="P5" s="98"/>
      <c r="Q5" s="98"/>
      <c r="R5" s="47"/>
      <c r="S5" s="98"/>
      <c r="T5" s="98"/>
      <c r="U5" s="98"/>
      <c r="V5" s="98"/>
      <c r="W5" s="98"/>
      <c r="Y5">
        <f>пр.взв!AH7</f>
        <v>9</v>
      </c>
      <c r="Z5" s="3" t="s">
        <v>91</v>
      </c>
    </row>
    <row r="6" spans="1:28" ht="18" customHeight="1" thickBot="1">
      <c r="A6" s="285" t="s">
        <v>0</v>
      </c>
      <c r="B6" s="285"/>
      <c r="C6" s="210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107"/>
      <c r="S6" s="107"/>
      <c r="T6" s="98"/>
      <c r="U6" s="107" t="s">
        <v>1</v>
      </c>
      <c r="V6" s="98"/>
      <c r="W6" s="108"/>
      <c r="X6" s="99"/>
      <c r="Y6" s="99"/>
    </row>
    <row r="7" spans="1:28" ht="12.75" customHeight="1" thickBot="1">
      <c r="A7" s="269">
        <v>1</v>
      </c>
      <c r="B7" s="271" t="str">
        <f>IFERROR(VLOOKUP(A7,пр.взв!$B$7:$H$22,2,0),"")</f>
        <v>ОСИПЕНКО Артем Иванович</v>
      </c>
      <c r="C7" s="273" t="str">
        <f>IFERROR(VLOOKUP(A7,пр.взв!$B$7:$H$22,3,0),"")</f>
        <v>27.05.88, ЗМС</v>
      </c>
      <c r="D7" s="273" t="str">
        <f>IFERROR(VLOOKUP(A7,пр.взв!$B$7:$H$22,5,0),"")</f>
        <v>Брянская, Брянск, Д</v>
      </c>
      <c r="E7" s="109"/>
      <c r="F7" s="209"/>
      <c r="G7" s="209"/>
      <c r="H7" s="209"/>
      <c r="I7" s="110" t="s">
        <v>25</v>
      </c>
      <c r="J7" s="209"/>
      <c r="K7" s="209"/>
      <c r="L7" s="209"/>
      <c r="M7" s="111"/>
      <c r="N7" s="111"/>
      <c r="O7" s="111"/>
      <c r="P7" s="111"/>
      <c r="Q7" s="98"/>
      <c r="R7" s="273" t="str">
        <f>IFERROR(VLOOKUP(U7,пр.взв!$B$7:$H$22,2,0),"")</f>
        <v>БРАЧЕВ Антон Анатольевич</v>
      </c>
      <c r="S7" s="284" t="str">
        <f>IFERROR(VLOOKUP(U7,пр.взв!$B$7:$H$22,3,0),"")</f>
        <v>10.12.90, МС</v>
      </c>
      <c r="T7" s="284" t="str">
        <f>IFERROR(VLOOKUP(U7,пр.взв!$B$7:$H$22,5,0),"")</f>
        <v>Свердловская, Верхняя Пышма , МО</v>
      </c>
      <c r="U7" s="264">
        <v>2</v>
      </c>
      <c r="V7" s="98"/>
      <c r="W7" s="108"/>
      <c r="X7" s="99"/>
      <c r="Y7" s="99"/>
    </row>
    <row r="8" spans="1:28" ht="12.75" customHeight="1">
      <c r="A8" s="270"/>
      <c r="B8" s="272"/>
      <c r="C8" s="274"/>
      <c r="D8" s="274"/>
      <c r="E8" s="112"/>
      <c r="F8" s="111"/>
      <c r="G8" s="111"/>
      <c r="H8" s="113"/>
      <c r="I8" s="286" t="str">
        <f>IFERROR(VLOOKUP(H8,пр.взв!$B$7:$I$22,2,0),"")</f>
        <v/>
      </c>
      <c r="J8" s="287"/>
      <c r="K8" s="287"/>
      <c r="L8" s="287"/>
      <c r="M8" s="288"/>
      <c r="N8" s="111"/>
      <c r="O8" s="111"/>
      <c r="P8" s="111"/>
      <c r="Q8" s="112">
        <v>2</v>
      </c>
      <c r="R8" s="274"/>
      <c r="S8" s="280"/>
      <c r="T8" s="280"/>
      <c r="U8" s="265"/>
      <c r="V8" s="98"/>
      <c r="W8" s="108"/>
      <c r="X8" s="99"/>
      <c r="Y8" s="99"/>
    </row>
    <row r="9" spans="1:28" ht="12.75" customHeight="1" thickBot="1">
      <c r="A9" s="270">
        <v>9</v>
      </c>
      <c r="B9" s="278" t="str">
        <f>IFERROR(VLOOKUP(A9,пр.взв!$B$7:$H$22,2,0),"")</f>
        <v xml:space="preserve">АКОПЯН  Вардкез  Овакимович </v>
      </c>
      <c r="C9" s="278" t="str">
        <f>IFERROR(VLOOKUP(A9,пр.взв!$B$7:$H$22,3,0),"")</f>
        <v>19.01.99, МСМК</v>
      </c>
      <c r="D9" s="280" t="str">
        <f>IFERROR(VLOOKUP(A9,пр.взв!$B$7:$H$22,5,0),"")</f>
        <v>Адыгея, Майкоп , ВС</v>
      </c>
      <c r="E9" s="114"/>
      <c r="F9" s="211"/>
      <c r="G9" s="111"/>
      <c r="H9" s="209"/>
      <c r="I9" s="289"/>
      <c r="J9" s="290"/>
      <c r="K9" s="290"/>
      <c r="L9" s="290"/>
      <c r="M9" s="291"/>
      <c r="N9" s="111"/>
      <c r="O9" s="111"/>
      <c r="P9" s="115"/>
      <c r="Q9" s="114"/>
      <c r="R9" s="278" t="str">
        <f>IFERROR(VLOOKUP(U9,пр.взв!$B$7:$H$22,2,0),"")</f>
        <v/>
      </c>
      <c r="S9" s="278" t="str">
        <f>IFERROR(VLOOKUP(U9,пр.взв!$B$7:$H$22,3,0),"")</f>
        <v/>
      </c>
      <c r="T9" s="278" t="str">
        <f>IFERROR(VLOOKUP(U9,пр.взв!$B$7:$H$22,5,0),"")</f>
        <v/>
      </c>
      <c r="U9" s="265">
        <v>10</v>
      </c>
      <c r="V9" s="98"/>
      <c r="W9" s="108"/>
      <c r="X9" s="99"/>
      <c r="Y9" s="99"/>
    </row>
    <row r="10" spans="1:28" ht="12.75" customHeight="1" thickBot="1">
      <c r="A10" s="277"/>
      <c r="B10" s="279"/>
      <c r="C10" s="279"/>
      <c r="D10" s="274"/>
      <c r="E10" s="116"/>
      <c r="F10" s="212"/>
      <c r="G10" s="112"/>
      <c r="H10" s="209"/>
      <c r="I10" s="98"/>
      <c r="J10" s="98"/>
      <c r="K10" s="213"/>
      <c r="L10" s="98"/>
      <c r="M10" s="111"/>
      <c r="N10" s="111"/>
      <c r="O10" s="112"/>
      <c r="P10" s="117"/>
      <c r="Q10" s="98"/>
      <c r="R10" s="279"/>
      <c r="S10" s="279"/>
      <c r="T10" s="279"/>
      <c r="U10" s="266"/>
      <c r="V10" s="98"/>
      <c r="W10" s="108"/>
      <c r="X10" s="100"/>
      <c r="Y10" s="99"/>
    </row>
    <row r="11" spans="1:28" ht="12.75" customHeight="1" thickBot="1">
      <c r="A11" s="269">
        <v>5</v>
      </c>
      <c r="B11" s="271" t="str">
        <f>IFERROR(VLOOKUP(A11,пр.взв!$B$7:$H$22,2,0),"")</f>
        <v xml:space="preserve">ДАВУДОВ  Вацилов Гаджиясулович </v>
      </c>
      <c r="C11" s="273" t="str">
        <f>IFERROR(VLOOKUP(A11,пр.взв!$B$7:$H$22,3,0),"")</f>
        <v>29.03.95, МС</v>
      </c>
      <c r="D11" s="273" t="str">
        <f>IFERROR(VLOOKUP(A11,пр.взв!$B$7:$H$22,5,0),"")</f>
        <v>Дагестан, Махачкала, МС</v>
      </c>
      <c r="E11" s="109"/>
      <c r="F11" s="212"/>
      <c r="G11" s="114"/>
      <c r="H11" s="118"/>
      <c r="I11" s="209"/>
      <c r="J11" s="98"/>
      <c r="K11" s="98"/>
      <c r="L11" s="98"/>
      <c r="M11" s="111"/>
      <c r="N11" s="115"/>
      <c r="O11" s="114"/>
      <c r="P11" s="117"/>
      <c r="Q11" s="98"/>
      <c r="R11" s="284" t="str">
        <f>IFERROR(VLOOKUP(U11,пр.взв!$B$7:$H$22,2,0),"")</f>
        <v>СААКЯН Паруйр Рубикович</v>
      </c>
      <c r="S11" s="284" t="str">
        <f>IFERROR(VLOOKUP(U11,пр.взв!$B$7:$H$22,3,0),"")</f>
        <v>24.07.94, МС</v>
      </c>
      <c r="T11" s="284" t="str">
        <f>IFERROR(VLOOKUP(U11,пр.взв!$B$7:$H$22,5,0),"")</f>
        <v>Красноярский, Красноярск</v>
      </c>
      <c r="U11" s="275">
        <v>6</v>
      </c>
      <c r="V11" s="98"/>
      <c r="W11" s="108"/>
      <c r="X11" s="100"/>
      <c r="Y11" s="99"/>
    </row>
    <row r="12" spans="1:28" ht="12.75" customHeight="1">
      <c r="A12" s="270"/>
      <c r="B12" s="272"/>
      <c r="C12" s="274"/>
      <c r="D12" s="274"/>
      <c r="E12" s="112">
        <v>5</v>
      </c>
      <c r="F12" s="214"/>
      <c r="G12" s="111"/>
      <c r="H12" s="119"/>
      <c r="I12" s="209"/>
      <c r="J12" s="330" t="s">
        <v>19</v>
      </c>
      <c r="K12" s="330"/>
      <c r="L12" s="330"/>
      <c r="M12" s="111"/>
      <c r="N12" s="117"/>
      <c r="O12" s="111"/>
      <c r="P12" s="207"/>
      <c r="Q12" s="112">
        <v>6</v>
      </c>
      <c r="R12" s="280"/>
      <c r="S12" s="280"/>
      <c r="T12" s="280"/>
      <c r="U12" s="265"/>
      <c r="V12" s="98"/>
      <c r="W12" s="108"/>
      <c r="X12" s="100"/>
      <c r="Y12" s="99"/>
    </row>
    <row r="13" spans="1:28" ht="12.75" customHeight="1" thickBot="1">
      <c r="A13" s="270">
        <v>13</v>
      </c>
      <c r="B13" s="278" t="str">
        <f>IFERROR(VLOOKUP(A13,пр.взв!$B$7:$H$22,2,0),"")</f>
        <v/>
      </c>
      <c r="C13" s="278" t="str">
        <f>IFERROR(VLOOKUP(A13,пр.взв!$B$7:$H$22,3,0),"")</f>
        <v/>
      </c>
      <c r="D13" s="280" t="str">
        <f>IFERROR(VLOOKUP(A13,пр.взв!$B$7:$H$22,5,0),"")</f>
        <v/>
      </c>
      <c r="E13" s="114"/>
      <c r="F13" s="111"/>
      <c r="G13" s="111"/>
      <c r="H13" s="119"/>
      <c r="I13" s="120"/>
      <c r="J13" s="121"/>
      <c r="K13" s="121"/>
      <c r="L13" s="209"/>
      <c r="M13" s="111"/>
      <c r="N13" s="117"/>
      <c r="O13" s="111"/>
      <c r="P13" s="111"/>
      <c r="Q13" s="114"/>
      <c r="R13" s="278" t="str">
        <f>IFERROR(VLOOKUP(U13,пр.взв!$B$7:$H$22,2,0),"")</f>
        <v/>
      </c>
      <c r="S13" s="278" t="str">
        <f>IFERROR(VLOOKUP(U13,пр.взв!$B$7:$H$22,3,0),"")</f>
        <v/>
      </c>
      <c r="T13" s="278" t="str">
        <f>IFERROR(VLOOKUP(U13,пр.взв!$B$7:$H$22,5,0),"")</f>
        <v/>
      </c>
      <c r="U13" s="265">
        <v>14</v>
      </c>
      <c r="V13" s="98"/>
      <c r="W13" s="108"/>
      <c r="X13" s="100"/>
      <c r="Y13" s="99"/>
    </row>
    <row r="14" spans="1:28" ht="12.75" customHeight="1" thickBot="1">
      <c r="A14" s="277"/>
      <c r="B14" s="279"/>
      <c r="C14" s="279"/>
      <c r="D14" s="274"/>
      <c r="E14" s="116"/>
      <c r="F14" s="292"/>
      <c r="G14" s="292"/>
      <c r="H14" s="119"/>
      <c r="I14" s="112"/>
      <c r="J14" s="209"/>
      <c r="K14" s="209"/>
      <c r="L14" s="209"/>
      <c r="M14" s="112"/>
      <c r="N14" s="120"/>
      <c r="O14" s="111"/>
      <c r="P14" s="111"/>
      <c r="Q14" s="98"/>
      <c r="R14" s="279"/>
      <c r="S14" s="279"/>
      <c r="T14" s="279"/>
      <c r="U14" s="276"/>
      <c r="V14" s="98"/>
      <c r="W14" s="108"/>
      <c r="X14" s="100"/>
      <c r="Y14" s="99"/>
    </row>
    <row r="15" spans="1:28" ht="12.75" customHeight="1" thickBot="1">
      <c r="A15" s="269">
        <v>3</v>
      </c>
      <c r="B15" s="271" t="str">
        <f>IFERROR(VLOOKUP(A15,пр.взв!$B$7:$H$22,2,0),"")</f>
        <v>ПОЗНАХИРКО Глеб Игоревич</v>
      </c>
      <c r="C15" s="273" t="str">
        <f>IFERROR(VLOOKUP(A15,пр.взв!$B$7:$H$22,3,0),"")</f>
        <v>20.04.99, МСМК</v>
      </c>
      <c r="D15" s="273" t="str">
        <f>IFERROR(VLOOKUP(A15,пр.взв!$B$7:$H$22,5,0),"")</f>
        <v>Свердловская, Верхняя Пышма, Д</v>
      </c>
      <c r="E15" s="109"/>
      <c r="F15" s="111"/>
      <c r="G15" s="111"/>
      <c r="H15" s="119"/>
      <c r="I15" s="114"/>
      <c r="J15" s="209"/>
      <c r="K15" s="209"/>
      <c r="L15" s="209"/>
      <c r="M15" s="114"/>
      <c r="N15" s="117"/>
      <c r="O15" s="111"/>
      <c r="P15" s="111"/>
      <c r="Q15" s="98"/>
      <c r="R15" s="284" t="str">
        <f>IFERROR(VLOOKUP(U15,пр.взв!$B$7:$H$22,2,0),"")</f>
        <v xml:space="preserve">КУЧУМОВ Александр  Николаевич </v>
      </c>
      <c r="S15" s="284" t="str">
        <f>IFERROR(VLOOKUP(U15,пр.взв!$B$7:$H$22,3,0),"")</f>
        <v>06.11.90, МСМК</v>
      </c>
      <c r="T15" s="284" t="str">
        <f>IFERROR(VLOOKUP(U15,пр.взв!$B$7:$H$22,5,0),"")</f>
        <v>Москва, Москва, Д</v>
      </c>
      <c r="U15" s="264">
        <v>4</v>
      </c>
      <c r="V15" s="98"/>
      <c r="W15" s="108"/>
      <c r="X15" s="100"/>
      <c r="Y15" s="99"/>
    </row>
    <row r="16" spans="1:28" ht="12.75" customHeight="1">
      <c r="A16" s="270"/>
      <c r="B16" s="272"/>
      <c r="C16" s="274"/>
      <c r="D16" s="274"/>
      <c r="E16" s="112">
        <v>3</v>
      </c>
      <c r="F16" s="111"/>
      <c r="G16" s="111"/>
      <c r="H16" s="119"/>
      <c r="I16" s="209"/>
      <c r="J16" s="209"/>
      <c r="K16" s="209"/>
      <c r="L16" s="209"/>
      <c r="M16" s="111"/>
      <c r="N16" s="117"/>
      <c r="O16" s="111"/>
      <c r="P16" s="111"/>
      <c r="Q16" s="112">
        <v>4</v>
      </c>
      <c r="R16" s="280"/>
      <c r="S16" s="280"/>
      <c r="T16" s="280"/>
      <c r="U16" s="265"/>
      <c r="V16" s="98"/>
      <c r="W16" s="108"/>
      <c r="X16" s="100"/>
      <c r="Y16" s="99"/>
    </row>
    <row r="17" spans="1:27" ht="12.75" customHeight="1" thickBot="1">
      <c r="A17" s="270">
        <v>11</v>
      </c>
      <c r="B17" s="278" t="str">
        <f>IFERROR(VLOOKUP(A17,пр.взв!$B$7:$H$22,2,0),"")</f>
        <v/>
      </c>
      <c r="C17" s="278" t="str">
        <f>IFERROR(VLOOKUP(A17,пр.взв!$B$7:$H$22,3,0),"")</f>
        <v/>
      </c>
      <c r="D17" s="280" t="str">
        <f>IFERROR(VLOOKUP(A17,пр.взв!$B$7:$H$22,5,0),"")</f>
        <v/>
      </c>
      <c r="E17" s="114"/>
      <c r="F17" s="211"/>
      <c r="G17" s="111"/>
      <c r="H17" s="119"/>
      <c r="I17" s="209"/>
      <c r="J17" s="209"/>
      <c r="K17" s="209"/>
      <c r="L17" s="209"/>
      <c r="M17" s="111"/>
      <c r="N17" s="117"/>
      <c r="O17" s="111"/>
      <c r="P17" s="115"/>
      <c r="Q17" s="114"/>
      <c r="R17" s="278" t="str">
        <f>IFERROR(VLOOKUP(U17,пр.взв!$B$7:$H$22,2,0),"")</f>
        <v/>
      </c>
      <c r="S17" s="278" t="str">
        <f>IFERROR(VLOOKUP(U17,пр.взв!$B$7:$H$22,3,0),"")</f>
        <v/>
      </c>
      <c r="T17" s="278" t="str">
        <f>IFERROR(VLOOKUP(U17,пр.взв!$B$7:$H$22,5,0),"")</f>
        <v/>
      </c>
      <c r="U17" s="265">
        <v>12</v>
      </c>
      <c r="V17" s="98"/>
      <c r="W17" s="108"/>
      <c r="X17" s="100"/>
      <c r="Y17" s="99"/>
    </row>
    <row r="18" spans="1:27" ht="12.75" customHeight="1" thickBot="1">
      <c r="A18" s="277"/>
      <c r="B18" s="279"/>
      <c r="C18" s="279"/>
      <c r="D18" s="274"/>
      <c r="E18" s="116"/>
      <c r="F18" s="212"/>
      <c r="G18" s="112"/>
      <c r="H18" s="122"/>
      <c r="I18" s="110" t="s">
        <v>26</v>
      </c>
      <c r="J18" s="209"/>
      <c r="K18" s="209"/>
      <c r="L18" s="209"/>
      <c r="M18" s="111"/>
      <c r="N18" s="207"/>
      <c r="O18" s="112"/>
      <c r="P18" s="117"/>
      <c r="Q18" s="98"/>
      <c r="R18" s="279"/>
      <c r="S18" s="279"/>
      <c r="T18" s="279"/>
      <c r="U18" s="266"/>
      <c r="V18" s="98"/>
      <c r="W18" s="108"/>
      <c r="X18" s="100"/>
      <c r="Y18" s="99"/>
    </row>
    <row r="19" spans="1:27" ht="12.75" customHeight="1" thickBot="1">
      <c r="A19" s="269">
        <v>7</v>
      </c>
      <c r="B19" s="271" t="str">
        <f>IFERROR(VLOOKUP(A19,пр.взв!$B$7:$H$22,2,0),"")</f>
        <v>ШАВОЛИН Иван Алексеевич</v>
      </c>
      <c r="C19" s="273" t="str">
        <f>IFERROR(VLOOKUP(A19,пр.взв!$B$7:$H$22,3,0),"")</f>
        <v>29.09.01, МС</v>
      </c>
      <c r="D19" s="273" t="str">
        <f>IFERROR(VLOOKUP(A19,пр.взв!$B$7:$H$22,5,0),"")</f>
        <v>Кемеровская, Новокузнецк</v>
      </c>
      <c r="E19" s="109"/>
      <c r="F19" s="123"/>
      <c r="G19" s="114"/>
      <c r="H19" s="113"/>
      <c r="I19" s="98"/>
      <c r="J19" s="98"/>
      <c r="K19" s="98"/>
      <c r="L19" s="98"/>
      <c r="M19" s="98"/>
      <c r="N19" s="111"/>
      <c r="O19" s="114"/>
      <c r="P19" s="117"/>
      <c r="Q19" s="98"/>
      <c r="R19" s="284" t="str">
        <f>IFERROR(VLOOKUP(U19,пр.взв!$B$7:$H$22,2,0),"")</f>
        <v>МИНАКОВ Дмитрий Викторович</v>
      </c>
      <c r="S19" s="284" t="str">
        <f>IFERROR(VLOOKUP(U19,пр.взв!$B$7:$H$22,3,0),"")</f>
        <v>14.09.87, МСМК</v>
      </c>
      <c r="T19" s="284" t="str">
        <f>IFERROR(VLOOKUP(U19,пр.взв!$B$7:$H$22,5,0),"")</f>
        <v>Брянская, Брянск, Д</v>
      </c>
      <c r="U19" s="282">
        <v>8</v>
      </c>
      <c r="V19" s="98"/>
      <c r="W19" s="98"/>
      <c r="X19" s="101"/>
    </row>
    <row r="20" spans="1:27" ht="12.75" customHeight="1">
      <c r="A20" s="270"/>
      <c r="B20" s="272"/>
      <c r="C20" s="274"/>
      <c r="D20" s="274"/>
      <c r="E20" s="112">
        <v>7</v>
      </c>
      <c r="F20" s="124"/>
      <c r="G20" s="116"/>
      <c r="H20" s="113" t="str">
        <f>AA29</f>
        <v/>
      </c>
      <c r="I20" s="337" t="str">
        <f>IFERROR(VLOOKUP(H20,пр.взв!$B$7:$I$22,2,0),"")</f>
        <v/>
      </c>
      <c r="J20" s="338"/>
      <c r="K20" s="338"/>
      <c r="L20" s="338"/>
      <c r="M20" s="339"/>
      <c r="N20" s="111"/>
      <c r="O20" s="111"/>
      <c r="P20" s="125"/>
      <c r="Q20" s="112">
        <v>8</v>
      </c>
      <c r="R20" s="280"/>
      <c r="S20" s="280"/>
      <c r="T20" s="280"/>
      <c r="U20" s="275"/>
      <c r="V20" s="98"/>
      <c r="W20" s="98"/>
    </row>
    <row r="21" spans="1:27" ht="12.75" customHeight="1" thickBot="1">
      <c r="A21" s="270">
        <v>15</v>
      </c>
      <c r="B21" s="278" t="str">
        <f>IFERROR(VLOOKUP(A21,пр.взв!$B$7:$H$22,2,0),"")</f>
        <v/>
      </c>
      <c r="C21" s="278" t="str">
        <f>IFERROR(VLOOKUP(A21,пр.взв!$B$7:$H$22,3,0),"")</f>
        <v/>
      </c>
      <c r="D21" s="280" t="str">
        <f>IFERROR(VLOOKUP(A21,пр.взв!$B$7:$H$22,5,0),"")</f>
        <v/>
      </c>
      <c r="E21" s="114"/>
      <c r="F21" s="116"/>
      <c r="G21" s="116"/>
      <c r="H21" s="209"/>
      <c r="I21" s="340"/>
      <c r="J21" s="341"/>
      <c r="K21" s="341"/>
      <c r="L21" s="341"/>
      <c r="M21" s="342"/>
      <c r="N21" s="111"/>
      <c r="O21" s="111"/>
      <c r="P21" s="111"/>
      <c r="Q21" s="114"/>
      <c r="R21" s="278" t="str">
        <f>IFERROR(VLOOKUP(U21,пр.взв!$B$7:$H$22,2,0),"")</f>
        <v/>
      </c>
      <c r="S21" s="278" t="str">
        <f>IFERROR(VLOOKUP(U21,пр.взв!$B$7:$H$22,3,0),"")</f>
        <v/>
      </c>
      <c r="T21" s="278" t="str">
        <f>IFERROR(VLOOKUP(U21,пр.взв!$B$7:$H$22,5,0),"")</f>
        <v/>
      </c>
      <c r="U21" s="276">
        <v>16</v>
      </c>
      <c r="V21" s="98"/>
      <c r="W21" s="98"/>
    </row>
    <row r="22" spans="1:27" ht="12.75" customHeight="1" thickBot="1">
      <c r="A22" s="277"/>
      <c r="B22" s="279"/>
      <c r="C22" s="279"/>
      <c r="D22" s="281"/>
      <c r="E22" s="116"/>
      <c r="F22" s="109"/>
      <c r="G22" s="109"/>
      <c r="H22" s="98"/>
      <c r="I22" s="98"/>
      <c r="J22" s="98"/>
      <c r="K22" s="98"/>
      <c r="L22" s="98"/>
      <c r="M22" s="98"/>
      <c r="N22" s="98"/>
      <c r="O22" s="209"/>
      <c r="P22" s="209"/>
      <c r="Q22" s="98"/>
      <c r="R22" s="279"/>
      <c r="S22" s="279"/>
      <c r="T22" s="279"/>
      <c r="U22" s="283"/>
      <c r="V22" s="98"/>
      <c r="W22" s="98"/>
    </row>
    <row r="23" spans="1:27" ht="12.75" customHeight="1">
      <c r="A23" s="98"/>
      <c r="B23" s="98"/>
      <c r="C23" s="210"/>
      <c r="D23" s="98"/>
      <c r="E23" s="98"/>
      <c r="F23" s="98"/>
      <c r="G23" s="98"/>
      <c r="H23" s="330" t="s">
        <v>24</v>
      </c>
      <c r="I23" s="330"/>
      <c r="J23" s="330"/>
      <c r="K23" s="330"/>
      <c r="L23" s="330"/>
      <c r="M23" s="330"/>
      <c r="N23" s="330"/>
      <c r="O23" s="126"/>
      <c r="P23" s="126"/>
      <c r="Q23" s="98"/>
      <c r="R23" s="127"/>
      <c r="S23" s="127"/>
      <c r="T23" s="127"/>
      <c r="U23" s="98"/>
      <c r="V23" s="98"/>
      <c r="W23" s="98"/>
    </row>
    <row r="24" spans="1:27" ht="12" customHeight="1" thickBot="1">
      <c r="A24" s="98"/>
      <c r="B24" s="98"/>
      <c r="C24" s="98"/>
      <c r="D24" s="128" t="s">
        <v>2</v>
      </c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128" t="s">
        <v>3</v>
      </c>
      <c r="P24" s="98"/>
      <c r="Q24" s="98"/>
      <c r="R24" s="98"/>
      <c r="S24" s="98"/>
      <c r="T24" s="98"/>
      <c r="U24" s="128"/>
      <c r="V24" s="98"/>
      <c r="W24" s="98"/>
      <c r="Y24" s="103" t="s">
        <v>66</v>
      </c>
      <c r="Z24" s="103" t="s">
        <v>67</v>
      </c>
      <c r="AA24" s="152" t="s">
        <v>67</v>
      </c>
    </row>
    <row r="25" spans="1:27" ht="12.75" customHeight="1">
      <c r="A25" s="128" t="str">
        <f>Y29</f>
        <v xml:space="preserve"> </v>
      </c>
      <c r="B25" s="310" t="str">
        <f>IFERROR(VLOOKUP(A25,пр.взв!$B$7:$H$22,2,0),"")</f>
        <v/>
      </c>
      <c r="C25" s="98"/>
      <c r="D25" s="98"/>
      <c r="E25" s="98"/>
      <c r="F25" s="98"/>
      <c r="G25" s="98"/>
      <c r="H25" s="98"/>
      <c r="I25" s="129" t="str">
        <f>Y30</f>
        <v xml:space="preserve"> </v>
      </c>
      <c r="J25" s="304" t="str">
        <f>IFERROR(VLOOKUP(I25,пр.взв!$B$7:$H$22,2,0),"")</f>
        <v/>
      </c>
      <c r="K25" s="315"/>
      <c r="L25" s="316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Y25" s="104" t="str">
        <f>IF(G10=""," ",IF(G10=E8,E12,E8))</f>
        <v xml:space="preserve"> </v>
      </c>
      <c r="Z25" s="103" t="str">
        <f>IF(A25=""," ",IF(A25=C26,A27,A25))</f>
        <v xml:space="preserve"> </v>
      </c>
      <c r="AA25" s="103" t="str">
        <f>IF(D29=""," ",IF(D29=E32,C35,D29))</f>
        <v xml:space="preserve"> </v>
      </c>
    </row>
    <row r="26" spans="1:27" ht="12.75" customHeight="1">
      <c r="A26" s="128"/>
      <c r="B26" s="312"/>
      <c r="C26" s="111"/>
      <c r="D26" s="130"/>
      <c r="E26" s="130"/>
      <c r="F26" s="130"/>
      <c r="G26" s="130"/>
      <c r="H26" s="130"/>
      <c r="I26" s="131"/>
      <c r="J26" s="317"/>
      <c r="K26" s="318"/>
      <c r="L26" s="319"/>
      <c r="M26" s="111"/>
      <c r="N26" s="130"/>
      <c r="O26" s="130"/>
      <c r="P26" s="130"/>
      <c r="Q26" s="130"/>
      <c r="R26" s="132"/>
      <c r="S26" s="130"/>
      <c r="T26" s="130"/>
      <c r="U26" s="128"/>
      <c r="V26" s="98"/>
      <c r="W26" s="98"/>
      <c r="Y26" s="104" t="str">
        <f>IF(O10=""," ",IF(O10=Q8,Q12,Q8))</f>
        <v xml:space="preserve"> </v>
      </c>
      <c r="Z26" s="103" t="str">
        <f>IF(I25=""," ",IF(I25=M26,I27,I25))</f>
        <v xml:space="preserve"> </v>
      </c>
      <c r="AA26" s="103" t="str">
        <f>IF(N29=""," ",IF(N29=Q32,M35,N29))</f>
        <v xml:space="preserve"> </v>
      </c>
    </row>
    <row r="27" spans="1:27" ht="12.75" customHeight="1">
      <c r="A27" s="128" t="str">
        <f>Y25</f>
        <v xml:space="preserve"> </v>
      </c>
      <c r="B27" s="313" t="str">
        <f>IFERROR(VLOOKUP(A27,пр.взв!$B$7:$H$22,2,0),"")</f>
        <v/>
      </c>
      <c r="C27" s="133"/>
      <c r="D27" s="130"/>
      <c r="E27" s="110"/>
      <c r="F27" s="110"/>
      <c r="G27" s="110"/>
      <c r="H27" s="110"/>
      <c r="I27" s="134" t="str">
        <f>Y26</f>
        <v xml:space="preserve"> </v>
      </c>
      <c r="J27" s="331" t="str">
        <f>IFERROR(VLOOKUP(I27,пр.взв!$B$7:$H$22,2,0),"")</f>
        <v/>
      </c>
      <c r="K27" s="332"/>
      <c r="L27" s="333"/>
      <c r="M27" s="133"/>
      <c r="N27" s="110"/>
      <c r="O27" s="110"/>
      <c r="P27" s="110"/>
      <c r="Q27" s="110"/>
      <c r="R27" s="130"/>
      <c r="S27" s="130"/>
      <c r="T27" s="130"/>
      <c r="U27" s="98"/>
      <c r="V27" s="98"/>
      <c r="W27" s="98"/>
      <c r="Y27" s="104" t="str">
        <f>IF(G18=""," ",IF(G18=E16,E20,E16))</f>
        <v xml:space="preserve"> </v>
      </c>
      <c r="Z27" s="103" t="str">
        <f>IF(A31=""," ",IF(A31=C32,A33,A31))</f>
        <v xml:space="preserve"> </v>
      </c>
      <c r="AA27" s="103" t="str">
        <f>IF(C32=""," ",IF(C32=D29,C26,C32))</f>
        <v xml:space="preserve"> </v>
      </c>
    </row>
    <row r="28" spans="1:27" ht="12.75" customHeight="1" thickBot="1">
      <c r="A28" s="128"/>
      <c r="B28" s="314"/>
      <c r="C28" s="135"/>
      <c r="D28" s="130"/>
      <c r="E28" s="110"/>
      <c r="F28" s="110"/>
      <c r="G28" s="110"/>
      <c r="H28" s="110"/>
      <c r="I28" s="134"/>
      <c r="J28" s="334"/>
      <c r="K28" s="335"/>
      <c r="L28" s="336"/>
      <c r="M28" s="135"/>
      <c r="N28" s="110"/>
      <c r="O28" s="110"/>
      <c r="P28" s="110"/>
      <c r="Q28" s="110"/>
      <c r="R28" s="130"/>
      <c r="S28" s="136"/>
      <c r="T28" s="130"/>
      <c r="U28" s="98"/>
      <c r="V28" s="98"/>
      <c r="W28" s="98"/>
      <c r="Y28" s="104" t="str">
        <f>IF(O18=""," ",IF(O18=Q16,Q20,Q16))</f>
        <v xml:space="preserve"> </v>
      </c>
      <c r="Z28" s="103" t="str">
        <f>IF(I31=""," ",IF(I31=M32,I33,I31))</f>
        <v xml:space="preserve"> </v>
      </c>
      <c r="AA28" s="103" t="str">
        <f>IF(M32=""," ",IF(M32=N29,M26,M32))</f>
        <v xml:space="preserve"> </v>
      </c>
    </row>
    <row r="29" spans="1:27" ht="12.75" customHeight="1">
      <c r="A29" s="128"/>
      <c r="B29" s="137"/>
      <c r="C29" s="135"/>
      <c r="D29" s="111"/>
      <c r="E29" s="110"/>
      <c r="F29" s="110"/>
      <c r="G29" s="110"/>
      <c r="H29" s="110"/>
      <c r="I29" s="134"/>
      <c r="J29" s="209"/>
      <c r="K29" s="137"/>
      <c r="L29" s="126"/>
      <c r="M29" s="135"/>
      <c r="N29" s="326"/>
      <c r="O29" s="327"/>
      <c r="P29" s="327"/>
      <c r="Q29" s="110"/>
      <c r="R29" s="130"/>
      <c r="S29" s="130"/>
      <c r="T29" s="130"/>
      <c r="U29" s="98"/>
      <c r="V29" s="98"/>
      <c r="W29" s="98"/>
      <c r="Y29" s="104" t="str">
        <f>IF(G10=""," ",IF(G10=A7,A9,IF(G10=A9,A7,IF(G10=A11,A13,A11))))</f>
        <v xml:space="preserve"> </v>
      </c>
      <c r="Z29" s="103">
        <f>IF(AND(OR(A7=G10,A9=G10),A11=E12),A13,IF(AND(OR(A7=G10,A9=G10),A13=E12),A11,IF(A7=E8,A9,A7)))</f>
        <v>1</v>
      </c>
      <c r="AA29" s="103" t="str">
        <f>IF(H8="","",IF(H8=I14,M14,I14))</f>
        <v/>
      </c>
    </row>
    <row r="30" spans="1:27" ht="12.75" customHeight="1" thickBot="1">
      <c r="A30" s="128"/>
      <c r="B30" s="138"/>
      <c r="C30" s="135"/>
      <c r="D30" s="133"/>
      <c r="E30" s="110"/>
      <c r="F30" s="98" t="s">
        <v>42</v>
      </c>
      <c r="G30" s="110"/>
      <c r="H30" s="110"/>
      <c r="I30" s="134"/>
      <c r="J30" s="209"/>
      <c r="K30" s="138"/>
      <c r="L30" s="126"/>
      <c r="M30" s="135"/>
      <c r="N30" s="110"/>
      <c r="O30" s="139"/>
      <c r="P30" s="140"/>
      <c r="Q30" s="110"/>
      <c r="R30" s="98" t="s">
        <v>42</v>
      </c>
      <c r="S30" s="130"/>
      <c r="T30" s="130"/>
      <c r="U30" s="98"/>
      <c r="V30" s="98"/>
      <c r="W30" s="98"/>
      <c r="Y30" s="104" t="str">
        <f>IF(O10=""," ",IF(O10=U7,U9,IF(O10=U9,U7,IF(O10=U11,U13,U11))))</f>
        <v xml:space="preserve"> </v>
      </c>
      <c r="Z30" s="103">
        <f>IF(AND(U7=O10,U11=Q12),U13,IF(AND(U7=O10,U13=Q12),U11,IF(AND(U9=O10,U11=Q12),U13,IF(AND(U9=O10,U13=Q12),U11,IF(U7=Q8,U9,U7)))))</f>
        <v>10</v>
      </c>
      <c r="AA30" s="103"/>
    </row>
    <row r="31" spans="1:27" ht="13.8" thickBot="1">
      <c r="A31" s="128" t="str">
        <f>Y31</f>
        <v xml:space="preserve"> </v>
      </c>
      <c r="B31" s="310" t="str">
        <f>IFERROR(VLOOKUP(A31,пр.взв!$B$7:$H$22,2,0),"")</f>
        <v/>
      </c>
      <c r="C31" s="141"/>
      <c r="D31" s="142"/>
      <c r="E31" s="113"/>
      <c r="F31" s="110"/>
      <c r="G31" s="110"/>
      <c r="H31" s="110"/>
      <c r="I31" s="134" t="str">
        <f>Y32</f>
        <v xml:space="preserve"> </v>
      </c>
      <c r="J31" s="304" t="str">
        <f>IFERROR(VLOOKUP(I31,пр.взв!$B$7:$H$22,2,0),"")</f>
        <v/>
      </c>
      <c r="K31" s="315"/>
      <c r="L31" s="316"/>
      <c r="M31" s="141"/>
      <c r="N31" s="110"/>
      <c r="O31" s="110"/>
      <c r="P31" s="143"/>
      <c r="Q31" s="110"/>
      <c r="R31" s="130"/>
      <c r="S31" s="130"/>
      <c r="T31" s="130"/>
      <c r="U31" s="98"/>
      <c r="V31" s="98"/>
      <c r="W31" s="98"/>
      <c r="Y31" s="104" t="str">
        <f>IF(G18=""," ",IF(G18=A15,A17,IF(G18=A17,A15,IF(G18=A19,A21,A19))))</f>
        <v xml:space="preserve"> </v>
      </c>
      <c r="Z31" s="103">
        <f>IF(AND(OR(A15=G18,A17=G18),A19=E20),A21,IF(AND(OR(A15=G18,A17=G18),A21=E20),A19,IF(A15=E16,A17,A15)))</f>
        <v>11</v>
      </c>
      <c r="AA31" s="103"/>
    </row>
    <row r="32" spans="1:27" ht="13.5" customHeight="1">
      <c r="A32" s="128"/>
      <c r="B32" s="312"/>
      <c r="C32" s="144"/>
      <c r="D32" s="142"/>
      <c r="E32" s="208"/>
      <c r="F32" s="320" t="str">
        <f>IFERROR(VLOOKUP(E32,пр.взв!$B$7:$H$22,2,0),"")</f>
        <v/>
      </c>
      <c r="G32" s="321"/>
      <c r="H32" s="322"/>
      <c r="I32" s="145"/>
      <c r="J32" s="317"/>
      <c r="K32" s="318"/>
      <c r="L32" s="319"/>
      <c r="M32" s="144"/>
      <c r="N32" s="146"/>
      <c r="O32" s="146"/>
      <c r="P32" s="143"/>
      <c r="Q32" s="208"/>
      <c r="R32" s="328" t="str">
        <f>IFERROR(VLOOKUP(Q32,пр.взв!$B$7:$H$22,2,0),"")</f>
        <v/>
      </c>
      <c r="S32" s="146"/>
      <c r="T32" s="146"/>
      <c r="U32" s="146"/>
      <c r="V32" s="98"/>
      <c r="W32" s="98"/>
      <c r="Y32" s="104" t="str">
        <f>IF(O18=""," ",IF(O18=U15,U17,IF(O18=U17,U15,IF(O18=U19,U21,U19))))</f>
        <v xml:space="preserve"> </v>
      </c>
      <c r="Z32" s="103">
        <f>IF(AND(U15=O18,U19=Q20),U21,IF(AND(U15=O18,U21=Q20),U19,IF(AND(U17=O18,U19=Q20),U21,IF(AND(U17=O18,U21=Q20),U19,IF(U15=Q16,U17,U15)))))</f>
        <v>12</v>
      </c>
      <c r="AA32" s="103"/>
    </row>
    <row r="33" spans="1:25" ht="13.5" customHeight="1" thickBot="1">
      <c r="A33" s="128" t="str">
        <f>Y27</f>
        <v xml:space="preserve"> </v>
      </c>
      <c r="B33" s="313" t="str">
        <f>IFERROR(VLOOKUP(A33,пр.взв!$B$7:$H$22,2,0),"")</f>
        <v/>
      </c>
      <c r="C33" s="139"/>
      <c r="D33" s="142"/>
      <c r="E33" s="147"/>
      <c r="F33" s="323"/>
      <c r="G33" s="324"/>
      <c r="H33" s="325"/>
      <c r="I33" s="148" t="str">
        <f>Y28</f>
        <v xml:space="preserve"> </v>
      </c>
      <c r="J33" s="331" t="str">
        <f>IFERROR(VLOOKUP(I33,пр.взв!$B$7:$H$22,2,0),"")</f>
        <v/>
      </c>
      <c r="K33" s="332"/>
      <c r="L33" s="333"/>
      <c r="M33" s="149"/>
      <c r="N33" s="146"/>
      <c r="O33" s="146"/>
      <c r="P33" s="143"/>
      <c r="Q33" s="139"/>
      <c r="R33" s="329"/>
      <c r="S33" s="146"/>
      <c r="T33" s="146"/>
      <c r="U33" s="146"/>
      <c r="V33" s="98"/>
      <c r="W33" s="98"/>
      <c r="Y33" s="102" t="str">
        <f>IF(I14="","",IF(G10=I14,G18,G10))</f>
        <v/>
      </c>
    </row>
    <row r="34" spans="1:25" ht="13.5" customHeight="1" thickBot="1">
      <c r="A34" s="210"/>
      <c r="B34" s="314"/>
      <c r="C34" s="130"/>
      <c r="D34" s="142"/>
      <c r="E34" s="110"/>
      <c r="F34" s="110"/>
      <c r="G34" s="110"/>
      <c r="H34" s="110"/>
      <c r="I34" s="148"/>
      <c r="J34" s="334"/>
      <c r="K34" s="335"/>
      <c r="L34" s="336"/>
      <c r="M34" s="110"/>
      <c r="N34" s="110"/>
      <c r="O34" s="110"/>
      <c r="P34" s="143"/>
      <c r="Q34" s="110"/>
      <c r="R34" s="130"/>
      <c r="S34" s="130"/>
      <c r="T34" s="130"/>
      <c r="U34" s="98"/>
      <c r="V34" s="98"/>
      <c r="W34" s="98"/>
      <c r="Y34" s="102" t="str">
        <f>IF(M14="","",IF(O10=M14,O18,O10))</f>
        <v/>
      </c>
    </row>
    <row r="35" spans="1:25">
      <c r="A35" s="98"/>
      <c r="B35" s="130"/>
      <c r="C35" s="134" t="str">
        <f>Y34</f>
        <v/>
      </c>
      <c r="D35" s="310" t="str">
        <f>IFERROR(VLOOKUP(C35,пр.взв!$B$7:$H$22,2,0),"")</f>
        <v/>
      </c>
      <c r="E35" s="110"/>
      <c r="F35" s="110"/>
      <c r="G35" s="110"/>
      <c r="H35" s="110"/>
      <c r="I35" s="113"/>
      <c r="J35" s="110"/>
      <c r="K35" s="110"/>
      <c r="L35" s="110"/>
      <c r="M35" s="134" t="str">
        <f>Y33</f>
        <v/>
      </c>
      <c r="N35" s="304" t="str">
        <f>IFERROR(VLOOKUP(M35,пр.взв!$B$7:$H$22,2,0),"")</f>
        <v/>
      </c>
      <c r="O35" s="305"/>
      <c r="P35" s="306"/>
      <c r="Q35" s="110"/>
      <c r="R35" s="130"/>
      <c r="S35" s="130"/>
      <c r="T35" s="130"/>
      <c r="U35" s="98"/>
      <c r="V35" s="98"/>
      <c r="W35" s="98"/>
    </row>
    <row r="36" spans="1:25" ht="13.8" thickBot="1">
      <c r="A36" s="98"/>
      <c r="B36" s="130"/>
      <c r="C36" s="153"/>
      <c r="D36" s="311"/>
      <c r="E36" s="110"/>
      <c r="F36" s="110"/>
      <c r="G36" s="110"/>
      <c r="H36" s="110"/>
      <c r="I36" s="110"/>
      <c r="J36" s="110"/>
      <c r="K36" s="110"/>
      <c r="L36" s="110"/>
      <c r="M36" s="110"/>
      <c r="N36" s="307"/>
      <c r="O36" s="308"/>
      <c r="P36" s="309"/>
      <c r="Q36" s="110"/>
      <c r="R36" s="130"/>
      <c r="S36" s="130"/>
      <c r="T36" s="130"/>
      <c r="U36" s="98"/>
      <c r="V36" s="98"/>
      <c r="W36" s="98"/>
    </row>
    <row r="37" spans="1:25">
      <c r="A37" s="215"/>
      <c r="B37" s="216"/>
      <c r="C37" s="216"/>
      <c r="D37" s="217"/>
      <c r="E37" s="218"/>
      <c r="F37" s="218"/>
      <c r="G37" s="218"/>
      <c r="H37" s="219"/>
      <c r="I37" s="219"/>
      <c r="J37" s="219"/>
      <c r="K37" s="218"/>
      <c r="L37" s="218"/>
      <c r="M37" s="218"/>
      <c r="N37" s="218"/>
      <c r="O37" s="218"/>
      <c r="P37" s="218"/>
      <c r="Q37" s="218"/>
      <c r="R37" s="216"/>
      <c r="S37" s="216"/>
      <c r="T37" s="216"/>
      <c r="U37" s="216"/>
      <c r="V37" s="216"/>
      <c r="W37" s="98"/>
    </row>
    <row r="38" spans="1:25" ht="15">
      <c r="A38" s="303" t="str">
        <f>[1]реквизиты!$A$6</f>
        <v>Гл. судья, судья ВК</v>
      </c>
      <c r="B38" s="303"/>
      <c r="C38" s="303"/>
      <c r="D38" s="98"/>
      <c r="E38" s="220"/>
      <c r="F38" s="220"/>
      <c r="G38" s="221"/>
      <c r="H38" s="98"/>
      <c r="I38" s="98"/>
      <c r="J38" s="222" t="str">
        <f>[1]реквизиты!$G$6</f>
        <v>А.Д.Валиуллов</v>
      </c>
      <c r="K38" s="74"/>
      <c r="N38" s="223" t="str">
        <f>[1]реквизиты!$G$7</f>
        <v>/Татарстан/</v>
      </c>
      <c r="O38" s="224"/>
      <c r="P38" s="98"/>
      <c r="Q38" s="98"/>
      <c r="R38" s="98"/>
      <c r="S38" s="98"/>
      <c r="T38" s="98"/>
      <c r="U38" s="98"/>
      <c r="V38" s="98"/>
      <c r="W38" s="98"/>
    </row>
    <row r="39" spans="1:25" ht="6.75" customHeight="1">
      <c r="A39" s="127"/>
      <c r="B39" s="127"/>
      <c r="C39" s="127"/>
      <c r="D39" s="98"/>
      <c r="E39" s="98"/>
      <c r="F39" s="98"/>
      <c r="G39" s="98"/>
      <c r="H39" s="98"/>
      <c r="I39" s="98"/>
      <c r="K39" s="74"/>
      <c r="N39" s="74"/>
      <c r="O39" s="98"/>
      <c r="P39" s="98"/>
      <c r="Q39" s="98"/>
      <c r="R39" s="98"/>
      <c r="S39" s="98"/>
      <c r="T39" s="98"/>
      <c r="U39" s="98"/>
      <c r="V39" s="98"/>
      <c r="W39" s="98"/>
    </row>
    <row r="40" spans="1:25" ht="15.6">
      <c r="A40" s="225" t="str">
        <f>[1]реквизиты!$A$8</f>
        <v>Гл. секретарь, судья ВК</v>
      </c>
      <c r="B40" s="151"/>
      <c r="C40" s="151"/>
      <c r="D40" s="210"/>
      <c r="E40" s="226"/>
      <c r="F40" s="221"/>
      <c r="G40" s="221"/>
      <c r="H40" s="98"/>
      <c r="I40" s="98"/>
      <c r="J40" s="222" t="str">
        <f>[1]реквизиты!$G$8</f>
        <v>В.И.Рожков</v>
      </c>
      <c r="K40" s="74"/>
      <c r="N40" s="263" t="str">
        <f>[1]реквизиты!$G$9</f>
        <v>/Саратовская/</v>
      </c>
      <c r="O40" s="263"/>
      <c r="P40" s="263"/>
      <c r="Q40" s="98"/>
      <c r="R40" s="98"/>
      <c r="S40" s="98"/>
      <c r="T40" s="98"/>
      <c r="U40" s="98"/>
      <c r="V40" s="98"/>
      <c r="W40" s="98"/>
    </row>
    <row r="41" spans="1:25" ht="15">
      <c r="A41" s="98"/>
      <c r="B41" s="98"/>
      <c r="C41" s="98"/>
      <c r="D41" s="150"/>
      <c r="E41" s="150"/>
      <c r="F41" s="150"/>
      <c r="G41" s="210"/>
      <c r="H41" s="210"/>
      <c r="I41" s="98"/>
      <c r="Q41" s="98"/>
      <c r="R41" s="210"/>
      <c r="S41" s="98"/>
      <c r="T41" s="98"/>
      <c r="U41" s="98"/>
      <c r="V41" s="98"/>
      <c r="W41" s="98"/>
    </row>
    <row r="42" spans="1:25" ht="15">
      <c r="D42" s="55"/>
      <c r="E42" s="55"/>
      <c r="F42" s="55"/>
      <c r="G42" s="74"/>
      <c r="H42" s="74"/>
      <c r="Q42" s="74"/>
      <c r="R42" s="74"/>
    </row>
    <row r="44" spans="1:25" ht="15">
      <c r="B44" s="44" t="s">
        <v>90</v>
      </c>
      <c r="C44" s="1"/>
      <c r="D44" s="55"/>
      <c r="E44" s="55"/>
      <c r="F44" s="55"/>
      <c r="G44" s="74"/>
      <c r="H44" s="74"/>
      <c r="M44" s="227" t="s">
        <v>90</v>
      </c>
      <c r="R44" s="7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64"/>
  <sheetViews>
    <sheetView topLeftCell="A10" workbookViewId="0">
      <selection activeCell="B3" sqref="B3"/>
    </sheetView>
  </sheetViews>
  <sheetFormatPr defaultRowHeight="13.2"/>
  <cols>
    <col min="1" max="2" width="4.109375" customWidth="1"/>
    <col min="3" max="3" width="22.6640625" customWidth="1"/>
    <col min="5" max="5" width="8.33203125" customWidth="1"/>
    <col min="6" max="6" width="10.109375" customWidth="1"/>
    <col min="7" max="7" width="23.33203125" customWidth="1"/>
    <col min="8" max="8" width="5.5546875" customWidth="1"/>
    <col min="9" max="9" width="5.88671875" customWidth="1"/>
    <col min="10" max="10" width="7.88671875" customWidth="1"/>
    <col min="11" max="11" width="4.44140625" customWidth="1"/>
    <col min="12" max="12" width="4.5546875" customWidth="1"/>
    <col min="13" max="13" width="22.6640625" customWidth="1"/>
    <col min="15" max="15" width="7.6640625" customWidth="1"/>
    <col min="16" max="16" width="11" customWidth="1"/>
    <col min="17" max="17" width="20" customWidth="1"/>
    <col min="18" max="18" width="5" customWidth="1"/>
    <col min="19" max="19" width="5.44140625" customWidth="1"/>
  </cols>
  <sheetData>
    <row r="1" spans="1:20" ht="15.75" customHeight="1">
      <c r="B1" s="404" t="s">
        <v>37</v>
      </c>
      <c r="C1" s="404"/>
      <c r="D1" s="404"/>
      <c r="E1" s="404"/>
      <c r="F1" s="404"/>
      <c r="G1" s="404"/>
      <c r="H1" s="404"/>
      <c r="I1" s="404"/>
      <c r="J1" s="404"/>
      <c r="L1" s="404" t="s">
        <v>37</v>
      </c>
      <c r="M1" s="404"/>
      <c r="N1" s="404"/>
      <c r="O1" s="404"/>
      <c r="P1" s="404"/>
      <c r="Q1" s="404"/>
      <c r="R1" s="404"/>
      <c r="S1" s="404"/>
      <c r="T1" s="404"/>
    </row>
    <row r="2" spans="1:20" ht="15.75" customHeight="1">
      <c r="B2" s="405" t="str">
        <f>пр.взв!D4</f>
        <v>В.к. 98+ кг.</v>
      </c>
      <c r="C2" s="406"/>
      <c r="D2" s="406"/>
      <c r="E2" s="406"/>
      <c r="F2" s="406"/>
      <c r="G2" s="406"/>
      <c r="H2" s="406"/>
      <c r="I2" s="406"/>
      <c r="J2" s="406"/>
      <c r="L2" s="405" t="str">
        <f>B2</f>
        <v>В.к. 98+ кг.</v>
      </c>
      <c r="M2" s="406"/>
      <c r="N2" s="406"/>
      <c r="O2" s="406"/>
      <c r="P2" s="406"/>
      <c r="Q2" s="406"/>
      <c r="R2" s="406"/>
      <c r="S2" s="406"/>
      <c r="T2" s="406"/>
    </row>
    <row r="3" spans="1:20">
      <c r="B3">
        <v>0</v>
      </c>
      <c r="C3" s="3" t="s">
        <v>92</v>
      </c>
      <c r="L3">
        <f>B3</f>
        <v>0</v>
      </c>
      <c r="M3" s="3" t="s">
        <v>92</v>
      </c>
    </row>
    <row r="4" spans="1:20" ht="16.2" thickBot="1">
      <c r="B4" s="64" t="s">
        <v>32</v>
      </c>
      <c r="C4" s="66" t="s">
        <v>38</v>
      </c>
      <c r="D4" s="65" t="s">
        <v>35</v>
      </c>
      <c r="E4" s="65"/>
      <c r="F4" s="66"/>
      <c r="G4" s="64"/>
      <c r="H4" s="66"/>
      <c r="I4" s="66"/>
      <c r="J4" s="66"/>
      <c r="K4" s="66"/>
      <c r="L4" s="64" t="s">
        <v>1</v>
      </c>
      <c r="M4" s="66" t="s">
        <v>38</v>
      </c>
      <c r="N4" s="65" t="s">
        <v>35</v>
      </c>
      <c r="O4" s="65"/>
      <c r="P4" s="66"/>
      <c r="Q4" s="64"/>
      <c r="R4" s="66"/>
      <c r="S4" s="66"/>
      <c r="T4" s="66"/>
    </row>
    <row r="5" spans="1:20" ht="12.75" customHeight="1">
      <c r="A5" s="372" t="s">
        <v>39</v>
      </c>
      <c r="B5" s="407" t="s">
        <v>4</v>
      </c>
      <c r="C5" s="376" t="s">
        <v>5</v>
      </c>
      <c r="D5" s="379" t="s">
        <v>12</v>
      </c>
      <c r="E5" s="349" t="s">
        <v>13</v>
      </c>
      <c r="F5" s="350"/>
      <c r="G5" s="376" t="s">
        <v>14</v>
      </c>
      <c r="H5" s="394" t="s">
        <v>40</v>
      </c>
      <c r="I5" s="367" t="s">
        <v>15</v>
      </c>
      <c r="J5" s="369" t="s">
        <v>16</v>
      </c>
      <c r="K5" s="372" t="s">
        <v>39</v>
      </c>
      <c r="L5" s="407" t="s">
        <v>4</v>
      </c>
      <c r="M5" s="376" t="s">
        <v>5</v>
      </c>
      <c r="N5" s="379" t="s">
        <v>12</v>
      </c>
      <c r="O5" s="349" t="s">
        <v>13</v>
      </c>
      <c r="P5" s="350"/>
      <c r="Q5" s="376" t="s">
        <v>14</v>
      </c>
      <c r="R5" s="394" t="s">
        <v>40</v>
      </c>
      <c r="S5" s="367" t="s">
        <v>15</v>
      </c>
      <c r="T5" s="369" t="s">
        <v>16</v>
      </c>
    </row>
    <row r="6" spans="1:20" ht="13.5" customHeight="1" thickBot="1">
      <c r="A6" s="373"/>
      <c r="B6" s="408" t="s">
        <v>33</v>
      </c>
      <c r="C6" s="377"/>
      <c r="D6" s="380"/>
      <c r="E6" s="351"/>
      <c r="F6" s="352"/>
      <c r="G6" s="377"/>
      <c r="H6" s="395"/>
      <c r="I6" s="368"/>
      <c r="J6" s="370" t="s">
        <v>34</v>
      </c>
      <c r="K6" s="373"/>
      <c r="L6" s="408" t="s">
        <v>33</v>
      </c>
      <c r="M6" s="377"/>
      <c r="N6" s="380"/>
      <c r="O6" s="351"/>
      <c r="P6" s="352"/>
      <c r="Q6" s="377"/>
      <c r="R6" s="395"/>
      <c r="S6" s="368"/>
      <c r="T6" s="370" t="s">
        <v>34</v>
      </c>
    </row>
    <row r="7" spans="1:20" ht="12.75" customHeight="1">
      <c r="A7" s="381">
        <v>1</v>
      </c>
      <c r="B7" s="409">
        <v>1</v>
      </c>
      <c r="C7" s="358" t="str">
        <f>VLOOKUP(B7,пр.взв!B$7:E$22,2,FALSE)</f>
        <v>ОСИПЕНКО Артем Иванович</v>
      </c>
      <c r="D7" s="343" t="str">
        <f>VLOOKUP(B7,пр.взв!B$7:E$22,3,FALSE)</f>
        <v>27.05.88, ЗМС</v>
      </c>
      <c r="E7" s="344" t="str">
        <f>VLOOKUP(B7,пр.взв!B$7:E$22,4,FALSE)</f>
        <v>ЦФО</v>
      </c>
      <c r="F7" s="344" t="str">
        <f>VLOOKUP(B7,пр.взв!B$7:F$22,5,FALSE)</f>
        <v>Брянская, Брянск, Д</v>
      </c>
      <c r="G7" s="401"/>
      <c r="H7" s="402"/>
      <c r="I7" s="398"/>
      <c r="J7" s="399"/>
      <c r="K7" s="381">
        <v>5</v>
      </c>
      <c r="L7" s="409">
        <v>2</v>
      </c>
      <c r="M7" s="411" t="str">
        <f>VLOOKUP(L7,пр.взв!B$7:F$22,2,FALSE)</f>
        <v>БРАЧЕВ Антон Анатольевич</v>
      </c>
      <c r="N7" s="344" t="str">
        <f>VLOOKUP(L7,пр.взв!B$7:F$22,3,FALSE)</f>
        <v>10.12.90, МС</v>
      </c>
      <c r="O7" s="344" t="str">
        <f>VLOOKUP(L7,пр.взв!B$7:F$22,4,FALSE)</f>
        <v>УФО</v>
      </c>
      <c r="P7" s="344" t="str">
        <f>VLOOKUP(L7,пр.взв!B$7:F$22,5,FALSE)</f>
        <v>Свердловская, Верхняя Пышма , МО</v>
      </c>
      <c r="Q7" s="401"/>
      <c r="R7" s="402"/>
      <c r="S7" s="398"/>
      <c r="T7" s="399"/>
    </row>
    <row r="8" spans="1:20" ht="12.75" customHeight="1">
      <c r="A8" s="382"/>
      <c r="B8" s="385"/>
      <c r="C8" s="410"/>
      <c r="D8" s="344"/>
      <c r="E8" s="387"/>
      <c r="F8" s="387"/>
      <c r="G8" s="387"/>
      <c r="H8" s="387"/>
      <c r="I8" s="389"/>
      <c r="J8" s="244"/>
      <c r="K8" s="382"/>
      <c r="L8" s="385"/>
      <c r="M8" s="412"/>
      <c r="N8" s="387"/>
      <c r="O8" s="387"/>
      <c r="P8" s="387"/>
      <c r="Q8" s="387"/>
      <c r="R8" s="387"/>
      <c r="S8" s="389"/>
      <c r="T8" s="244"/>
    </row>
    <row r="9" spans="1:20" ht="12.75" customHeight="1">
      <c r="A9" s="382"/>
      <c r="B9" s="385">
        <v>9</v>
      </c>
      <c r="C9" s="364" t="str">
        <f>VLOOKUP(B9,пр.взв!B$7:E$22,2,FALSE)</f>
        <v xml:space="preserve">АКОПЯН  Вардкез  Овакимович </v>
      </c>
      <c r="D9" s="353" t="str">
        <f>VLOOKUP(B9,пр.взв!B$7:E$22,3,FALSE)</f>
        <v>19.01.99, МСМК</v>
      </c>
      <c r="E9" s="353" t="str">
        <f>VLOOKUP(B9,пр.взв!B$7:E$22,4,FALSE)</f>
        <v>ЮФО</v>
      </c>
      <c r="F9" s="353" t="str">
        <f>VLOOKUP(B9,пр.взв!B$7:F$22,5,FALSE)</f>
        <v>Адыгея, Майкоп , ВС</v>
      </c>
      <c r="G9" s="396"/>
      <c r="H9" s="396"/>
      <c r="I9" s="245"/>
      <c r="J9" s="245"/>
      <c r="K9" s="382"/>
      <c r="L9" s="385">
        <v>10</v>
      </c>
      <c r="M9" s="364" t="e">
        <f>VLOOKUP(L9,пр.взв!B$7:F$22,2,FALSE)</f>
        <v>#N/A</v>
      </c>
      <c r="N9" s="353" t="e">
        <f>VLOOKUP(L9,пр.взв!B$7:F$22,3,FALSE)</f>
        <v>#N/A</v>
      </c>
      <c r="O9" s="353" t="e">
        <f>VLOOKUP(L9,пр.взв!B$7:F$22,4,FALSE)</f>
        <v>#N/A</v>
      </c>
      <c r="P9" s="353" t="e">
        <f>VLOOKUP(L9,пр.взв!B$7:F$22,5,FALSE)</f>
        <v>#N/A</v>
      </c>
      <c r="Q9" s="396"/>
      <c r="R9" s="396"/>
      <c r="S9" s="245"/>
      <c r="T9" s="245"/>
    </row>
    <row r="10" spans="1:20" ht="13.5" customHeight="1" thickBot="1">
      <c r="A10" s="383"/>
      <c r="B10" s="391"/>
      <c r="C10" s="365"/>
      <c r="D10" s="354"/>
      <c r="E10" s="354"/>
      <c r="F10" s="354"/>
      <c r="G10" s="397"/>
      <c r="H10" s="397"/>
      <c r="I10" s="400"/>
      <c r="J10" s="400"/>
      <c r="K10" s="383"/>
      <c r="L10" s="391"/>
      <c r="M10" s="365"/>
      <c r="N10" s="354"/>
      <c r="O10" s="354"/>
      <c r="P10" s="354"/>
      <c r="Q10" s="397"/>
      <c r="R10" s="397"/>
      <c r="S10" s="400"/>
      <c r="T10" s="400"/>
    </row>
    <row r="11" spans="1:20" ht="12.75" customHeight="1">
      <c r="A11" s="381">
        <v>2</v>
      </c>
      <c r="B11" s="413">
        <v>5</v>
      </c>
      <c r="C11" s="357" t="str">
        <f>VLOOKUP(B11,пр.взв!B$7:E$22,2,FALSE)</f>
        <v xml:space="preserve">ДАВУДОВ  Вацилов Гаджиясулович </v>
      </c>
      <c r="D11" s="343" t="str">
        <f>VLOOKUP(B11,пр.взв!B$7:E$22,3,FALSE)</f>
        <v>29.03.95, МС</v>
      </c>
      <c r="E11" s="343" t="str">
        <f>VLOOKUP(B11,пр.взв!B$7:E$22,4,FALSE)</f>
        <v>СКФО</v>
      </c>
      <c r="F11" s="343" t="str">
        <f>VLOOKUP(B11,пр.взв!B$7:F$22,5,FALSE)</f>
        <v>Дагестан, Махачкала, МС</v>
      </c>
      <c r="G11" s="392"/>
      <c r="H11" s="386"/>
      <c r="I11" s="388"/>
      <c r="J11" s="393"/>
      <c r="K11" s="381">
        <v>6</v>
      </c>
      <c r="L11" s="409">
        <v>6</v>
      </c>
      <c r="M11" s="357" t="str">
        <f>VLOOKUP(L11,пр.взв!B$7:F$22,2,FALSE)</f>
        <v>СААКЯН Паруйр Рубикович</v>
      </c>
      <c r="N11" s="343" t="str">
        <f>VLOOKUP(L11,пр.взв!B$7:F$22,3,FALSE)</f>
        <v>24.07.94, МС</v>
      </c>
      <c r="O11" s="343" t="str">
        <f>VLOOKUP(L11,пр.взв!B$7:F$22,4,FALSE)</f>
        <v>СФО</v>
      </c>
      <c r="P11" s="343" t="str">
        <f>VLOOKUP(L11,пр.взв!B$7:F$22,5,FALSE)</f>
        <v>Красноярский, Красноярск</v>
      </c>
      <c r="Q11" s="392"/>
      <c r="R11" s="386"/>
      <c r="S11" s="388"/>
      <c r="T11" s="393"/>
    </row>
    <row r="12" spans="1:20" ht="12.75" customHeight="1">
      <c r="A12" s="382"/>
      <c r="B12" s="385"/>
      <c r="C12" s="358"/>
      <c r="D12" s="344"/>
      <c r="E12" s="344"/>
      <c r="F12" s="344"/>
      <c r="G12" s="387"/>
      <c r="H12" s="387"/>
      <c r="I12" s="389"/>
      <c r="J12" s="244"/>
      <c r="K12" s="382"/>
      <c r="L12" s="385"/>
      <c r="M12" s="358"/>
      <c r="N12" s="344"/>
      <c r="O12" s="344"/>
      <c r="P12" s="344"/>
      <c r="Q12" s="387"/>
      <c r="R12" s="387"/>
      <c r="S12" s="389"/>
      <c r="T12" s="244"/>
    </row>
    <row r="13" spans="1:20" ht="12.75" customHeight="1">
      <c r="A13" s="382"/>
      <c r="B13" s="385">
        <v>13</v>
      </c>
      <c r="C13" s="364" t="e">
        <f>VLOOKUP(B13,пр.взв!B$7:E$22,2,FALSE)</f>
        <v>#N/A</v>
      </c>
      <c r="D13" s="353" t="e">
        <f>VLOOKUP(B13,пр.взв!B$7:E$22,3,FALSE)</f>
        <v>#N/A</v>
      </c>
      <c r="E13" s="353" t="e">
        <f>VLOOKUP(B13,пр.взв!B$7:E$22,4,FALSE)</f>
        <v>#N/A</v>
      </c>
      <c r="F13" s="353" t="e">
        <f>VLOOKUP(B13,пр.взв!B$7:F$22,5,FALSE)</f>
        <v>#N/A</v>
      </c>
      <c r="G13" s="396"/>
      <c r="H13" s="396"/>
      <c r="I13" s="245"/>
      <c r="J13" s="245"/>
      <c r="K13" s="382"/>
      <c r="L13" s="385">
        <v>14</v>
      </c>
      <c r="M13" s="364" t="e">
        <f>VLOOKUP(L13,пр.взв!B$7:F$22,2,FALSE)</f>
        <v>#N/A</v>
      </c>
      <c r="N13" s="353" t="e">
        <f>VLOOKUP(L13,пр.взв!B$7:F$22,3,FALSE)</f>
        <v>#N/A</v>
      </c>
      <c r="O13" s="353" t="e">
        <f>VLOOKUP(L13,пр.взв!B$7:F$22,4,FALSE)</f>
        <v>#N/A</v>
      </c>
      <c r="P13" s="353" t="e">
        <f>VLOOKUP(L13,пр.взв!B$7:F$22,5,FALSE)</f>
        <v>#N/A</v>
      </c>
      <c r="Q13" s="396"/>
      <c r="R13" s="396"/>
      <c r="S13" s="245"/>
      <c r="T13" s="245"/>
    </row>
    <row r="14" spans="1:20" ht="13.5" customHeight="1" thickBot="1">
      <c r="A14" s="383"/>
      <c r="B14" s="391"/>
      <c r="C14" s="365"/>
      <c r="D14" s="354"/>
      <c r="E14" s="354"/>
      <c r="F14" s="354"/>
      <c r="G14" s="397"/>
      <c r="H14" s="397"/>
      <c r="I14" s="400"/>
      <c r="J14" s="400"/>
      <c r="K14" s="383"/>
      <c r="L14" s="414"/>
      <c r="M14" s="365"/>
      <c r="N14" s="354"/>
      <c r="O14" s="354"/>
      <c r="P14" s="354"/>
      <c r="Q14" s="397"/>
      <c r="R14" s="397"/>
      <c r="S14" s="400"/>
      <c r="T14" s="400"/>
    </row>
    <row r="15" spans="1:20" ht="12.75" customHeight="1">
      <c r="A15" s="381">
        <v>3</v>
      </c>
      <c r="B15" s="413">
        <v>3</v>
      </c>
      <c r="C15" s="357" t="str">
        <f>VLOOKUP(B15,пр.взв!B$7:E$22,2,FALSE)</f>
        <v>ПОЗНАХИРКО Глеб Игоревич</v>
      </c>
      <c r="D15" s="343" t="str">
        <f>VLOOKUP(B15,пр.взв!B$7:E$22,3,FALSE)</f>
        <v>20.04.99, МСМК</v>
      </c>
      <c r="E15" s="343" t="str">
        <f>VLOOKUP(B15,пр.взв!B$7:E$22,4,FALSE)</f>
        <v>УФО</v>
      </c>
      <c r="F15" s="343" t="str">
        <f>VLOOKUP(B15,пр.взв!B$7:F$22,5,FALSE)</f>
        <v>Свердловская, Верхняя Пышма, Д</v>
      </c>
      <c r="G15" s="401"/>
      <c r="H15" s="402"/>
      <c r="I15" s="398"/>
      <c r="J15" s="399"/>
      <c r="K15" s="381">
        <v>7</v>
      </c>
      <c r="L15" s="413">
        <v>4</v>
      </c>
      <c r="M15" s="357" t="str">
        <f>VLOOKUP(L15,пр.взв!B$7:F$22,2,FALSE)</f>
        <v xml:space="preserve">КУЧУМОВ Александр  Николаевич </v>
      </c>
      <c r="N15" s="343" t="str">
        <f>VLOOKUP(L15,пр.взв!B$7:F$22,3,FALSE)</f>
        <v>06.11.90, МСМК</v>
      </c>
      <c r="O15" s="343" t="str">
        <f>VLOOKUP(L15,пр.взв!B$7:F$22,4,FALSE)</f>
        <v>МОС</v>
      </c>
      <c r="P15" s="343" t="str">
        <f>VLOOKUP(L15,пр.взв!B$7:F$22,5,FALSE)</f>
        <v>Москва, Москва, Д</v>
      </c>
      <c r="Q15" s="401"/>
      <c r="R15" s="402"/>
      <c r="S15" s="398"/>
      <c r="T15" s="399"/>
    </row>
    <row r="16" spans="1:20" ht="12.75" customHeight="1">
      <c r="A16" s="382"/>
      <c r="B16" s="385"/>
      <c r="C16" s="358"/>
      <c r="D16" s="344"/>
      <c r="E16" s="344"/>
      <c r="F16" s="344"/>
      <c r="G16" s="387"/>
      <c r="H16" s="387"/>
      <c r="I16" s="389"/>
      <c r="J16" s="244"/>
      <c r="K16" s="382"/>
      <c r="L16" s="385"/>
      <c r="M16" s="358"/>
      <c r="N16" s="344"/>
      <c r="O16" s="344"/>
      <c r="P16" s="344"/>
      <c r="Q16" s="387"/>
      <c r="R16" s="387"/>
      <c r="S16" s="389"/>
      <c r="T16" s="244"/>
    </row>
    <row r="17" spans="1:20" ht="12.75" customHeight="1">
      <c r="A17" s="382"/>
      <c r="B17" s="385">
        <v>11</v>
      </c>
      <c r="C17" s="364" t="e">
        <f>VLOOKUP(B17,пр.взв!B$7:E$22,2,FALSE)</f>
        <v>#N/A</v>
      </c>
      <c r="D17" s="353" t="e">
        <f>VLOOKUP(B17,пр.взв!B$7:E$22,3,FALSE)</f>
        <v>#N/A</v>
      </c>
      <c r="E17" s="353" t="e">
        <f>VLOOKUP(B17,пр.взв!B$7:E$22,4,FALSE)</f>
        <v>#N/A</v>
      </c>
      <c r="F17" s="353" t="e">
        <f>VLOOKUP(B17,пр.взв!B$7:F$22,5,FALSE)</f>
        <v>#N/A</v>
      </c>
      <c r="G17" s="396"/>
      <c r="H17" s="396"/>
      <c r="I17" s="245"/>
      <c r="J17" s="245"/>
      <c r="K17" s="382"/>
      <c r="L17" s="385">
        <v>12</v>
      </c>
      <c r="M17" s="364" t="e">
        <f>VLOOKUP(L17,пр.взв!B$7:F$22,2,FALSE)</f>
        <v>#N/A</v>
      </c>
      <c r="N17" s="353" t="e">
        <f>VLOOKUP(L17,пр.взв!B$7:F$22,3,FALSE)</f>
        <v>#N/A</v>
      </c>
      <c r="O17" s="353" t="e">
        <f>VLOOKUP(L17,пр.взв!B$7:F$22,4,FALSE)</f>
        <v>#N/A</v>
      </c>
      <c r="P17" s="353" t="e">
        <f>VLOOKUP(L17,пр.взв!B$7:F$22,5,FALSE)</f>
        <v>#N/A</v>
      </c>
      <c r="Q17" s="396"/>
      <c r="R17" s="396"/>
      <c r="S17" s="245"/>
      <c r="T17" s="245"/>
    </row>
    <row r="18" spans="1:20" ht="13.5" customHeight="1" thickBot="1">
      <c r="A18" s="383"/>
      <c r="B18" s="391"/>
      <c r="C18" s="365"/>
      <c r="D18" s="354"/>
      <c r="E18" s="354"/>
      <c r="F18" s="354"/>
      <c r="G18" s="397"/>
      <c r="H18" s="397"/>
      <c r="I18" s="400"/>
      <c r="J18" s="400"/>
      <c r="K18" s="383"/>
      <c r="L18" s="391"/>
      <c r="M18" s="365"/>
      <c r="N18" s="354"/>
      <c r="O18" s="354"/>
      <c r="P18" s="354"/>
      <c r="Q18" s="397"/>
      <c r="R18" s="397"/>
      <c r="S18" s="400"/>
      <c r="T18" s="400"/>
    </row>
    <row r="19" spans="1:20" ht="12.75" customHeight="1">
      <c r="A19" s="381">
        <v>4</v>
      </c>
      <c r="B19" s="413">
        <v>7</v>
      </c>
      <c r="C19" s="357" t="str">
        <f>VLOOKUP(B19,пр.взв!B$7:E$22,2,FALSE)</f>
        <v>ШАВОЛИН Иван Алексеевич</v>
      </c>
      <c r="D19" s="343" t="str">
        <f>VLOOKUP(B19,пр.взв!B$7:E$22,3,FALSE)</f>
        <v>29.09.01, МС</v>
      </c>
      <c r="E19" s="343" t="str">
        <f>VLOOKUP(B19,пр.взв!B$7:E$22,4,FALSE)</f>
        <v>СФО</v>
      </c>
      <c r="F19" s="343" t="str">
        <f>VLOOKUP(B19,пр.взв!B$7:F$22,5,FALSE)</f>
        <v>Кемеровская, Новокузнецк</v>
      </c>
      <c r="G19" s="387"/>
      <c r="H19" s="415"/>
      <c r="I19" s="389"/>
      <c r="J19" s="416"/>
      <c r="K19" s="381">
        <v>8</v>
      </c>
      <c r="L19" s="409">
        <v>8</v>
      </c>
      <c r="M19" s="357" t="str">
        <f>VLOOKUP(L19,пр.взв!B$7:F$22,2,FALSE)</f>
        <v>МИНАКОВ Дмитрий Викторович</v>
      </c>
      <c r="N19" s="343" t="str">
        <f>VLOOKUP(L19,пр.взв!B$7:F$22,3,FALSE)</f>
        <v>14.09.87, МСМК</v>
      </c>
      <c r="O19" s="343" t="str">
        <f>VLOOKUP(L19,пр.взв!B$7:F$22,4,FALSE)</f>
        <v>ЦФО</v>
      </c>
      <c r="P19" s="343" t="str">
        <f>VLOOKUP(L19,пр.взв!B$7:F$22,5,FALSE)</f>
        <v>Брянская, Брянск, Д</v>
      </c>
      <c r="Q19" s="387"/>
      <c r="R19" s="415"/>
      <c r="S19" s="389"/>
      <c r="T19" s="416"/>
    </row>
    <row r="20" spans="1:20" ht="12.75" customHeight="1">
      <c r="A20" s="382"/>
      <c r="B20" s="385"/>
      <c r="C20" s="358"/>
      <c r="D20" s="344"/>
      <c r="E20" s="344"/>
      <c r="F20" s="344"/>
      <c r="G20" s="387"/>
      <c r="H20" s="387"/>
      <c r="I20" s="389"/>
      <c r="J20" s="244"/>
      <c r="K20" s="382"/>
      <c r="L20" s="385"/>
      <c r="M20" s="358"/>
      <c r="N20" s="344"/>
      <c r="O20" s="344"/>
      <c r="P20" s="344"/>
      <c r="Q20" s="387"/>
      <c r="R20" s="387"/>
      <c r="S20" s="389"/>
      <c r="T20" s="244"/>
    </row>
    <row r="21" spans="1:20" ht="12.75" customHeight="1">
      <c r="A21" s="382"/>
      <c r="B21" s="385">
        <v>15</v>
      </c>
      <c r="C21" s="364" t="e">
        <f>VLOOKUP(B21,пр.взв!B$7:E$22,2,FALSE)</f>
        <v>#N/A</v>
      </c>
      <c r="D21" s="353" t="e">
        <f>VLOOKUP(B21,пр.взв!B$7:E$22,3,FALSE)</f>
        <v>#N/A</v>
      </c>
      <c r="E21" s="353" t="e">
        <f>VLOOKUP(B21,пр.взв!B$7:E$22,4,FALSE)</f>
        <v>#N/A</v>
      </c>
      <c r="F21" s="353" t="e">
        <f>VLOOKUP(B21,пр.взв!B$7:F$22,5,FALSE)</f>
        <v>#N/A</v>
      </c>
      <c r="G21" s="396"/>
      <c r="H21" s="396"/>
      <c r="I21" s="245"/>
      <c r="J21" s="245"/>
      <c r="K21" s="382"/>
      <c r="L21" s="385">
        <v>16</v>
      </c>
      <c r="M21" s="364" t="e">
        <f>VLOOKUP(L21,пр.взв!B$7:F$22,2,FALSE)</f>
        <v>#N/A</v>
      </c>
      <c r="N21" s="353" t="e">
        <f>VLOOKUP(L21,пр.взв!B$7:F$22,3,FALSE)</f>
        <v>#N/A</v>
      </c>
      <c r="O21" s="353" t="e">
        <f>VLOOKUP(L21,пр.взв!B$7:F$22,4,FALSE)</f>
        <v>#N/A</v>
      </c>
      <c r="P21" s="353" t="e">
        <f>VLOOKUP(L21,пр.взв!B$7:F$22,5,FALSE)</f>
        <v>#N/A</v>
      </c>
      <c r="Q21" s="396"/>
      <c r="R21" s="396"/>
      <c r="S21" s="245"/>
      <c r="T21" s="245"/>
    </row>
    <row r="22" spans="1:20" ht="12.75" customHeight="1" thickBot="1">
      <c r="A22" s="383"/>
      <c r="B22" s="391"/>
      <c r="C22" s="365"/>
      <c r="D22" s="354"/>
      <c r="E22" s="354"/>
      <c r="F22" s="354"/>
      <c r="G22" s="397"/>
      <c r="H22" s="397"/>
      <c r="I22" s="400"/>
      <c r="J22" s="400"/>
      <c r="K22" s="383"/>
      <c r="L22" s="391"/>
      <c r="M22" s="365"/>
      <c r="N22" s="354"/>
      <c r="O22" s="354"/>
      <c r="P22" s="354"/>
      <c r="Q22" s="397"/>
      <c r="R22" s="397"/>
      <c r="S22" s="400"/>
      <c r="T22" s="400"/>
    </row>
    <row r="23" spans="1:20">
      <c r="B23">
        <f>B3</f>
        <v>0</v>
      </c>
      <c r="C23" s="3" t="s">
        <v>92</v>
      </c>
      <c r="L23">
        <f>L3</f>
        <v>0</v>
      </c>
      <c r="M23" s="3" t="s">
        <v>92</v>
      </c>
    </row>
    <row r="24" spans="1:20" ht="16.2" thickBot="1">
      <c r="B24" s="64" t="s">
        <v>32</v>
      </c>
      <c r="C24" s="66" t="s">
        <v>38</v>
      </c>
      <c r="D24" s="65" t="s">
        <v>36</v>
      </c>
      <c r="E24" s="65"/>
      <c r="F24" s="66"/>
      <c r="G24" s="64" t="str">
        <f>B2</f>
        <v>В.к. 98+ кг.</v>
      </c>
      <c r="H24" s="66"/>
      <c r="I24" s="66"/>
      <c r="J24" s="66"/>
      <c r="K24" s="66"/>
      <c r="L24" s="64" t="s">
        <v>1</v>
      </c>
      <c r="M24" s="66" t="s">
        <v>38</v>
      </c>
      <c r="N24" s="65" t="s">
        <v>36</v>
      </c>
      <c r="O24" s="65"/>
      <c r="P24" s="66"/>
      <c r="Q24" s="64" t="str">
        <f>L2</f>
        <v>В.к. 98+ кг.</v>
      </c>
      <c r="R24" s="66"/>
      <c r="S24" s="66"/>
      <c r="T24" s="66"/>
    </row>
    <row r="25" spans="1:20" ht="12.75" customHeight="1">
      <c r="A25" s="372" t="s">
        <v>39</v>
      </c>
      <c r="B25" s="374" t="s">
        <v>4</v>
      </c>
      <c r="C25" s="376" t="s">
        <v>5</v>
      </c>
      <c r="D25" s="379" t="s">
        <v>12</v>
      </c>
      <c r="E25" s="349" t="s">
        <v>13</v>
      </c>
      <c r="F25" s="350"/>
      <c r="G25" s="376" t="s">
        <v>14</v>
      </c>
      <c r="H25" s="394" t="s">
        <v>40</v>
      </c>
      <c r="I25" s="367" t="s">
        <v>15</v>
      </c>
      <c r="J25" s="369" t="s">
        <v>16</v>
      </c>
      <c r="K25" s="372" t="s">
        <v>39</v>
      </c>
      <c r="L25" s="374" t="s">
        <v>4</v>
      </c>
      <c r="M25" s="376" t="s">
        <v>5</v>
      </c>
      <c r="N25" s="379" t="s">
        <v>12</v>
      </c>
      <c r="O25" s="345" t="s">
        <v>13</v>
      </c>
      <c r="P25" s="346"/>
      <c r="Q25" s="376" t="s">
        <v>14</v>
      </c>
      <c r="R25" s="394" t="s">
        <v>40</v>
      </c>
      <c r="S25" s="367" t="s">
        <v>15</v>
      </c>
      <c r="T25" s="369" t="s">
        <v>16</v>
      </c>
    </row>
    <row r="26" spans="1:20" ht="13.5" customHeight="1" thickBot="1">
      <c r="A26" s="373"/>
      <c r="B26" s="375" t="s">
        <v>33</v>
      </c>
      <c r="C26" s="377"/>
      <c r="D26" s="380"/>
      <c r="E26" s="351"/>
      <c r="F26" s="352"/>
      <c r="G26" s="377"/>
      <c r="H26" s="395"/>
      <c r="I26" s="368"/>
      <c r="J26" s="370" t="s">
        <v>34</v>
      </c>
      <c r="K26" s="373"/>
      <c r="L26" s="375" t="s">
        <v>33</v>
      </c>
      <c r="M26" s="377"/>
      <c r="N26" s="380"/>
      <c r="O26" s="347"/>
      <c r="P26" s="348"/>
      <c r="Q26" s="377"/>
      <c r="R26" s="395"/>
      <c r="S26" s="368"/>
      <c r="T26" s="370" t="s">
        <v>34</v>
      </c>
    </row>
    <row r="27" spans="1:20" ht="12.75" customHeight="1">
      <c r="A27" s="381">
        <v>1</v>
      </c>
      <c r="B27" s="384">
        <f>пр.хода!E8</f>
        <v>0</v>
      </c>
      <c r="C27" s="357" t="e">
        <f>VLOOKUP(B27,пр.взв!B$7:E$22,2,FALSE)</f>
        <v>#N/A</v>
      </c>
      <c r="D27" s="343" t="e">
        <f>VLOOKUP(B27,пр.взв!B$7:E$22,3,FALSE)</f>
        <v>#N/A</v>
      </c>
      <c r="E27" s="343" t="e">
        <f>VLOOKUP(B27,пр.взв!B$7:E$22,4,FALSE)</f>
        <v>#N/A</v>
      </c>
      <c r="F27" s="343" t="e">
        <f>VLOOKUP(B27,пр.взв!B$7:F$22,5,FALSE)</f>
        <v>#N/A</v>
      </c>
      <c r="G27" s="392"/>
      <c r="H27" s="386"/>
      <c r="I27" s="388"/>
      <c r="J27" s="379"/>
      <c r="K27" s="371">
        <v>3</v>
      </c>
      <c r="L27" s="384">
        <f>пр.хода!Q8</f>
        <v>2</v>
      </c>
      <c r="M27" s="357" t="str">
        <f>VLOOKUP(L27,пр.взв!B$7:F$22,2,FALSE)</f>
        <v>БРАЧЕВ Антон Анатольевич</v>
      </c>
      <c r="N27" s="343" t="str">
        <f>VLOOKUP(L27,пр.взв!B$7:F$22,3,FALSE)</f>
        <v>10.12.90, МС</v>
      </c>
      <c r="O27" s="343" t="str">
        <f>VLOOKUP(L27,пр.взв!B$7:F$22,4,FALSE)</f>
        <v>УФО</v>
      </c>
      <c r="P27" s="343" t="str">
        <f>VLOOKUP(L27,пр.взв!B$7:F$22,5,FALSE)</f>
        <v>Свердловская, Верхняя Пышма , МО</v>
      </c>
      <c r="Q27" s="392"/>
      <c r="R27" s="386"/>
      <c r="S27" s="388"/>
      <c r="T27" s="379"/>
    </row>
    <row r="28" spans="1:20">
      <c r="A28" s="382"/>
      <c r="B28" s="385"/>
      <c r="C28" s="358"/>
      <c r="D28" s="344"/>
      <c r="E28" s="344"/>
      <c r="F28" s="344"/>
      <c r="G28" s="387"/>
      <c r="H28" s="387"/>
      <c r="I28" s="389"/>
      <c r="J28" s="244"/>
      <c r="K28" s="359"/>
      <c r="L28" s="385"/>
      <c r="M28" s="358"/>
      <c r="N28" s="344"/>
      <c r="O28" s="344"/>
      <c r="P28" s="344"/>
      <c r="Q28" s="387"/>
      <c r="R28" s="387"/>
      <c r="S28" s="389"/>
      <c r="T28" s="244"/>
    </row>
    <row r="29" spans="1:20" ht="12.75" customHeight="1">
      <c r="A29" s="382"/>
      <c r="B29" s="390">
        <f>пр.хода!E12</f>
        <v>5</v>
      </c>
      <c r="C29" s="364" t="str">
        <f>VLOOKUP(B29,пр.взв!B$7:E$22,2,FALSE)</f>
        <v xml:space="preserve">ДАВУДОВ  Вацилов Гаджиясулович </v>
      </c>
      <c r="D29" s="353" t="str">
        <f>VLOOKUP(B29,пр.взв!B$7:E$22,3,FALSE)</f>
        <v>29.03.95, МС</v>
      </c>
      <c r="E29" s="353" t="str">
        <f>VLOOKUP(B29,пр.взв!B$7:E$22,4,FALSE)</f>
        <v>СКФО</v>
      </c>
      <c r="F29" s="353" t="str">
        <f>VLOOKUP(B29,пр.взв!B$7:F$22,5,FALSE)</f>
        <v>Дагестан, Махачкала, МС</v>
      </c>
      <c r="G29" s="396"/>
      <c r="H29" s="396"/>
      <c r="I29" s="245"/>
      <c r="J29" s="245"/>
      <c r="K29" s="359"/>
      <c r="L29" s="390">
        <f>пр.хода!Q12</f>
        <v>6</v>
      </c>
      <c r="M29" s="364" t="str">
        <f>VLOOKUP(L29,пр.взв!B$7:F$22,2,FALSE)</f>
        <v>СААКЯН Паруйр Рубикович</v>
      </c>
      <c r="N29" s="353" t="str">
        <f>VLOOKUP(L29,пр.взв!B$7:F$22,3,FALSE)</f>
        <v>24.07.94, МС</v>
      </c>
      <c r="O29" s="353" t="str">
        <f>VLOOKUP(L29,пр.взв!B$7:F$22,4,FALSE)</f>
        <v>СФО</v>
      </c>
      <c r="P29" s="353" t="str">
        <f>VLOOKUP(L29,пр.взв!B$7:F$22,5,FALSE)</f>
        <v>Красноярский, Красноярск</v>
      </c>
      <c r="Q29" s="396"/>
      <c r="R29" s="396"/>
      <c r="S29" s="245"/>
      <c r="T29" s="245"/>
    </row>
    <row r="30" spans="1:20" ht="13.8" thickBot="1">
      <c r="A30" s="383"/>
      <c r="B30" s="391"/>
      <c r="C30" s="365"/>
      <c r="D30" s="354"/>
      <c r="E30" s="354"/>
      <c r="F30" s="354"/>
      <c r="G30" s="397"/>
      <c r="H30" s="397"/>
      <c r="I30" s="400"/>
      <c r="J30" s="400"/>
      <c r="K30" s="360"/>
      <c r="L30" s="391"/>
      <c r="M30" s="365"/>
      <c r="N30" s="354"/>
      <c r="O30" s="354"/>
      <c r="P30" s="354"/>
      <c r="Q30" s="397"/>
      <c r="R30" s="397"/>
      <c r="S30" s="400"/>
      <c r="T30" s="400"/>
    </row>
    <row r="31" spans="1:20" ht="12.75" customHeight="1">
      <c r="A31" s="381">
        <v>2</v>
      </c>
      <c r="B31" s="384">
        <f>пр.хода!E16</f>
        <v>3</v>
      </c>
      <c r="C31" s="357" t="str">
        <f>VLOOKUP(B31,пр.взв!B$7:E$22,2,FALSE)</f>
        <v>ПОЗНАХИРКО Глеб Игоревич</v>
      </c>
      <c r="D31" s="343" t="str">
        <f>VLOOKUP(B31,пр.взв!B$7:E$22,3,FALSE)</f>
        <v>20.04.99, МСМК</v>
      </c>
      <c r="E31" s="343" t="str">
        <f>VLOOKUP(B31,пр.взв!B$7:E$22,4,FALSE)</f>
        <v>УФО</v>
      </c>
      <c r="F31" s="343" t="str">
        <f>VLOOKUP(B31,пр.взв!B$7:F$22,5,FALSE)</f>
        <v>Свердловская, Верхняя Пышма, Д</v>
      </c>
      <c r="G31" s="392"/>
      <c r="H31" s="386"/>
      <c r="I31" s="388"/>
      <c r="J31" s="393"/>
      <c r="K31" s="371">
        <v>4</v>
      </c>
      <c r="L31" s="384">
        <f>пр.хода!Q16</f>
        <v>4</v>
      </c>
      <c r="M31" s="357" t="str">
        <f>VLOOKUP(L31,пр.взв!B$7:F$22,2,FALSE)</f>
        <v xml:space="preserve">КУЧУМОВ Александр  Николаевич </v>
      </c>
      <c r="N31" s="343" t="str">
        <f>VLOOKUP(L31,пр.взв!B$7:F$22,3,FALSE)</f>
        <v>06.11.90, МСМК</v>
      </c>
      <c r="O31" s="343" t="str">
        <f>VLOOKUP(L31,пр.взв!B$7:F$22,4,FALSE)</f>
        <v>МОС</v>
      </c>
      <c r="P31" s="343" t="str">
        <f>VLOOKUP(L31,пр.взв!B$7:F$22,5,FALSE)</f>
        <v>Москва, Москва, Д</v>
      </c>
      <c r="Q31" s="392"/>
      <c r="R31" s="386"/>
      <c r="S31" s="388"/>
      <c r="T31" s="393"/>
    </row>
    <row r="32" spans="1:20">
      <c r="A32" s="382"/>
      <c r="B32" s="385"/>
      <c r="C32" s="358"/>
      <c r="D32" s="344"/>
      <c r="E32" s="344"/>
      <c r="F32" s="344"/>
      <c r="G32" s="387"/>
      <c r="H32" s="387"/>
      <c r="I32" s="389"/>
      <c r="J32" s="244"/>
      <c r="K32" s="359"/>
      <c r="L32" s="385"/>
      <c r="M32" s="358"/>
      <c r="N32" s="344"/>
      <c r="O32" s="344"/>
      <c r="P32" s="344"/>
      <c r="Q32" s="387"/>
      <c r="R32" s="387"/>
      <c r="S32" s="389"/>
      <c r="T32" s="244"/>
    </row>
    <row r="33" spans="1:20" ht="12.75" customHeight="1">
      <c r="A33" s="382"/>
      <c r="B33" s="390">
        <f>пр.хода!E20</f>
        <v>7</v>
      </c>
      <c r="C33" s="364" t="str">
        <f>VLOOKUP(B33,пр.взв!B$7:E$22,2,FALSE)</f>
        <v>ШАВОЛИН Иван Алексеевич</v>
      </c>
      <c r="D33" s="353" t="str">
        <f>VLOOKUP(B33,пр.взв!B$7:E$22,3,FALSE)</f>
        <v>29.09.01, МС</v>
      </c>
      <c r="E33" s="353" t="str">
        <f>VLOOKUP(B33,пр.взв!B$7:E$22,4,FALSE)</f>
        <v>СФО</v>
      </c>
      <c r="F33" s="353" t="str">
        <f>VLOOKUP(B33,пр.взв!B$7:F$22,5,FALSE)</f>
        <v>Кемеровская, Новокузнецк</v>
      </c>
      <c r="G33" s="396"/>
      <c r="H33" s="396"/>
      <c r="I33" s="245"/>
      <c r="J33" s="245"/>
      <c r="K33" s="359"/>
      <c r="L33" s="390">
        <f>пр.хода!Q20</f>
        <v>8</v>
      </c>
      <c r="M33" s="364" t="str">
        <f>VLOOKUP(L33,пр.взв!B$7:F$22,2,FALSE)</f>
        <v>МИНАКОВ Дмитрий Викторович</v>
      </c>
      <c r="N33" s="353" t="str">
        <f>VLOOKUP(L33,пр.взв!B$7:F$22,3,FALSE)</f>
        <v>14.09.87, МСМК</v>
      </c>
      <c r="O33" s="353" t="str">
        <f>VLOOKUP(L33,пр.взв!B$7:F$22,4,FALSE)</f>
        <v>ЦФО</v>
      </c>
      <c r="P33" s="353" t="str">
        <f>VLOOKUP(L33,пр.взв!B$7:F$22,5,FALSE)</f>
        <v>Брянская, Брянск, Д</v>
      </c>
      <c r="Q33" s="396"/>
      <c r="R33" s="396"/>
      <c r="S33" s="245"/>
      <c r="T33" s="245"/>
    </row>
    <row r="34" spans="1:20" ht="13.8" thickBot="1">
      <c r="A34" s="383"/>
      <c r="B34" s="391"/>
      <c r="C34" s="365"/>
      <c r="D34" s="354"/>
      <c r="E34" s="354"/>
      <c r="F34" s="354"/>
      <c r="G34" s="397"/>
      <c r="H34" s="397"/>
      <c r="I34" s="400"/>
      <c r="J34" s="400"/>
      <c r="K34" s="360"/>
      <c r="L34" s="391"/>
      <c r="M34" s="365"/>
      <c r="N34" s="354"/>
      <c r="O34" s="354"/>
      <c r="P34" s="354"/>
      <c r="Q34" s="397"/>
      <c r="R34" s="397"/>
      <c r="S34" s="400"/>
      <c r="T34" s="400"/>
    </row>
    <row r="35" spans="1:20">
      <c r="B35">
        <f>B23</f>
        <v>0</v>
      </c>
      <c r="C35" s="3" t="s">
        <v>92</v>
      </c>
      <c r="L35">
        <f>L23</f>
        <v>0</v>
      </c>
      <c r="M35" s="3" t="s">
        <v>92</v>
      </c>
    </row>
    <row r="36" spans="1:20" ht="16.2" thickBot="1">
      <c r="B36" s="64" t="s">
        <v>32</v>
      </c>
      <c r="C36" s="75" t="s">
        <v>41</v>
      </c>
      <c r="D36" s="68"/>
      <c r="E36" s="68"/>
      <c r="F36" s="68"/>
      <c r="G36" s="70" t="str">
        <f>пр.взв!D4</f>
        <v>В.к. 98+ кг.</v>
      </c>
      <c r="H36" s="68"/>
      <c r="I36" s="68"/>
      <c r="J36" s="68"/>
      <c r="K36" s="67"/>
      <c r="L36" s="64" t="s">
        <v>1</v>
      </c>
      <c r="M36" s="75" t="s">
        <v>41</v>
      </c>
      <c r="N36" s="68"/>
      <c r="O36" s="68"/>
      <c r="P36" s="68"/>
      <c r="Q36" s="64" t="str">
        <f>пр.взв!D4</f>
        <v>В.к. 98+ кг.</v>
      </c>
      <c r="R36" s="68"/>
      <c r="S36" s="68"/>
      <c r="T36" s="68"/>
    </row>
    <row r="37" spans="1:20" ht="12.75" customHeight="1">
      <c r="A37" s="372" t="s">
        <v>39</v>
      </c>
      <c r="B37" s="374" t="s">
        <v>4</v>
      </c>
      <c r="C37" s="376" t="s">
        <v>5</v>
      </c>
      <c r="D37" s="379" t="s">
        <v>12</v>
      </c>
      <c r="E37" s="349" t="s">
        <v>13</v>
      </c>
      <c r="F37" s="350"/>
      <c r="G37" s="376" t="s">
        <v>14</v>
      </c>
      <c r="H37" s="394" t="s">
        <v>40</v>
      </c>
      <c r="I37" s="367" t="s">
        <v>15</v>
      </c>
      <c r="J37" s="369" t="s">
        <v>16</v>
      </c>
      <c r="K37" s="372" t="s">
        <v>39</v>
      </c>
      <c r="L37" s="374" t="s">
        <v>4</v>
      </c>
      <c r="M37" s="376" t="s">
        <v>5</v>
      </c>
      <c r="N37" s="379" t="s">
        <v>12</v>
      </c>
      <c r="O37" s="345" t="s">
        <v>13</v>
      </c>
      <c r="P37" s="346"/>
      <c r="Q37" s="376" t="s">
        <v>14</v>
      </c>
      <c r="R37" s="394" t="s">
        <v>40</v>
      </c>
      <c r="S37" s="367" t="s">
        <v>15</v>
      </c>
      <c r="T37" s="369" t="s">
        <v>16</v>
      </c>
    </row>
    <row r="38" spans="1:20" ht="13.5" customHeight="1" thickBot="1">
      <c r="A38" s="373"/>
      <c r="B38" s="375" t="s">
        <v>33</v>
      </c>
      <c r="C38" s="377"/>
      <c r="D38" s="380"/>
      <c r="E38" s="351"/>
      <c r="F38" s="352"/>
      <c r="G38" s="377"/>
      <c r="H38" s="395"/>
      <c r="I38" s="368"/>
      <c r="J38" s="370" t="s">
        <v>34</v>
      </c>
      <c r="K38" s="373"/>
      <c r="L38" s="375" t="s">
        <v>33</v>
      </c>
      <c r="M38" s="377"/>
      <c r="N38" s="380"/>
      <c r="O38" s="347"/>
      <c r="P38" s="348"/>
      <c r="Q38" s="377"/>
      <c r="R38" s="395"/>
      <c r="S38" s="368"/>
      <c r="T38" s="370" t="s">
        <v>34</v>
      </c>
    </row>
    <row r="39" spans="1:20" ht="12.75" customHeight="1">
      <c r="A39" s="417">
        <v>1</v>
      </c>
      <c r="B39" s="355">
        <f>пр.хода!G10</f>
        <v>0</v>
      </c>
      <c r="C39" s="357" t="e">
        <f>VLOOKUP(B39,пр.взв!B$7:E$22,2,FALSE)</f>
        <v>#N/A</v>
      </c>
      <c r="D39" s="343" t="e">
        <f>VLOOKUP(B39,пр.взв!B$7:E$22,3,FALSE)</f>
        <v>#N/A</v>
      </c>
      <c r="E39" s="343" t="e">
        <f>VLOOKUP(B39,пр.взв!B$7:E$22,4,FALSE)</f>
        <v>#N/A</v>
      </c>
      <c r="F39" s="343" t="e">
        <f>VLOOKUP(B39,пр.взв!B$7:F$22,5,FALSE)</f>
        <v>#N/A</v>
      </c>
      <c r="G39" s="392"/>
      <c r="H39" s="386"/>
      <c r="I39" s="388"/>
      <c r="J39" s="379"/>
      <c r="K39" s="417">
        <v>2</v>
      </c>
      <c r="L39" s="355">
        <f>пр.хода!O10</f>
        <v>0</v>
      </c>
      <c r="M39" s="357" t="e">
        <f>VLOOKUP(L39,пр.взв!B$7:F$22,2,FALSE)</f>
        <v>#N/A</v>
      </c>
      <c r="N39" s="343" t="e">
        <f>VLOOKUP(L39,пр.взв!B$7:F$22,3,FALSE)</f>
        <v>#N/A</v>
      </c>
      <c r="O39" s="343" t="e">
        <f>VLOOKUP(L39,пр.взв!B$7:F$22,4,FALSE)</f>
        <v>#N/A</v>
      </c>
      <c r="P39" s="343" t="e">
        <f>VLOOKUP(L39,пр.взв!B$7:F$22,5,FALSE)</f>
        <v>#N/A</v>
      </c>
      <c r="Q39" s="392"/>
      <c r="R39" s="386"/>
      <c r="S39" s="388"/>
      <c r="T39" s="379"/>
    </row>
    <row r="40" spans="1:20">
      <c r="A40" s="418"/>
      <c r="B40" s="356"/>
      <c r="C40" s="358"/>
      <c r="D40" s="344"/>
      <c r="E40" s="344"/>
      <c r="F40" s="344"/>
      <c r="G40" s="387"/>
      <c r="H40" s="387"/>
      <c r="I40" s="389"/>
      <c r="J40" s="244"/>
      <c r="K40" s="418"/>
      <c r="L40" s="356"/>
      <c r="M40" s="358"/>
      <c r="N40" s="344"/>
      <c r="O40" s="344"/>
      <c r="P40" s="344"/>
      <c r="Q40" s="387"/>
      <c r="R40" s="387"/>
      <c r="S40" s="389"/>
      <c r="T40" s="244"/>
    </row>
    <row r="41" spans="1:20" ht="12.75" customHeight="1">
      <c r="A41" s="418"/>
      <c r="B41" s="378">
        <f>пр.хода!G18</f>
        <v>0</v>
      </c>
      <c r="C41" s="364" t="e">
        <f>VLOOKUP(B41,пр.взв!B$7:E$22,2,FALSE)</f>
        <v>#N/A</v>
      </c>
      <c r="D41" s="353" t="e">
        <f>VLOOKUP(B41,пр.взв!B$7:E$22,3,FALSE)</f>
        <v>#N/A</v>
      </c>
      <c r="E41" s="353" t="e">
        <f>VLOOKUP(B41,пр.взв!B$7:E$22,4,FALSE)</f>
        <v>#N/A</v>
      </c>
      <c r="F41" s="353" t="e">
        <f>VLOOKUP(B41,пр.взв!B$7:F$22,5,FALSE)</f>
        <v>#N/A</v>
      </c>
      <c r="G41" s="396"/>
      <c r="H41" s="396"/>
      <c r="I41" s="245"/>
      <c r="J41" s="245"/>
      <c r="K41" s="418"/>
      <c r="L41" s="378">
        <f>пр.хода!O18</f>
        <v>0</v>
      </c>
      <c r="M41" s="364" t="e">
        <f>VLOOKUP(L41,пр.взв!B$7:F$22,2,FALSE)</f>
        <v>#N/A</v>
      </c>
      <c r="N41" s="353" t="e">
        <f>VLOOKUP(L41,пр.взв!B$7:F$22,3,FALSE)</f>
        <v>#N/A</v>
      </c>
      <c r="O41" s="353" t="e">
        <f>VLOOKUP(L41,пр.взв!B$7:F$22,4,FALSE)</f>
        <v>#N/A</v>
      </c>
      <c r="P41" s="353" t="e">
        <f>VLOOKUP(L41,пр.взв!B$7:F$22,5,FALSE)</f>
        <v>#N/A</v>
      </c>
      <c r="Q41" s="396"/>
      <c r="R41" s="396"/>
      <c r="S41" s="245"/>
      <c r="T41" s="245"/>
    </row>
    <row r="42" spans="1:20" ht="13.8" thickBot="1">
      <c r="A42" s="419"/>
      <c r="B42" s="363"/>
      <c r="C42" s="365"/>
      <c r="D42" s="354"/>
      <c r="E42" s="354"/>
      <c r="F42" s="354"/>
      <c r="G42" s="397"/>
      <c r="H42" s="397"/>
      <c r="I42" s="400"/>
      <c r="J42" s="400"/>
      <c r="K42" s="419"/>
      <c r="L42" s="363"/>
      <c r="M42" s="365"/>
      <c r="N42" s="354"/>
      <c r="O42" s="354"/>
      <c r="P42" s="354"/>
      <c r="Q42" s="397"/>
      <c r="R42" s="397"/>
      <c r="S42" s="400"/>
      <c r="T42" s="400"/>
    </row>
    <row r="43" spans="1:20">
      <c r="B43">
        <f>B35</f>
        <v>0</v>
      </c>
      <c r="C43" s="3" t="s">
        <v>92</v>
      </c>
      <c r="L43">
        <f>L35</f>
        <v>0</v>
      </c>
      <c r="M43" s="3" t="s">
        <v>92</v>
      </c>
    </row>
    <row r="44" spans="1:20" ht="15">
      <c r="A44" s="366" t="s">
        <v>93</v>
      </c>
      <c r="B44" s="366"/>
      <c r="C44" s="366"/>
      <c r="D44" s="366"/>
      <c r="E44" s="366"/>
      <c r="F44" s="366"/>
      <c r="G44" s="366"/>
      <c r="H44" s="366"/>
      <c r="I44" s="366"/>
      <c r="J44" s="366"/>
      <c r="K44" s="366" t="s">
        <v>93</v>
      </c>
      <c r="L44" s="366"/>
      <c r="M44" s="366"/>
      <c r="N44" s="366"/>
      <c r="O44" s="366"/>
      <c r="P44" s="366"/>
      <c r="Q44" s="366"/>
      <c r="R44" s="366"/>
      <c r="S44" s="366"/>
      <c r="T44" s="366"/>
    </row>
    <row r="45" spans="1:20" ht="16.2" thickBot="1">
      <c r="B45" s="64" t="s">
        <v>32</v>
      </c>
      <c r="C45" s="69"/>
      <c r="D45" s="69"/>
      <c r="E45" s="69"/>
      <c r="F45" s="69"/>
      <c r="G45" s="71" t="str">
        <f>G36</f>
        <v>В.к. 98+ кг.</v>
      </c>
      <c r="H45" s="69"/>
      <c r="I45" s="69"/>
      <c r="J45" s="69"/>
      <c r="L45" s="64" t="s">
        <v>1</v>
      </c>
      <c r="M45" s="69"/>
      <c r="N45" s="69"/>
      <c r="O45" s="69"/>
      <c r="P45" s="69"/>
      <c r="Q45" s="71" t="str">
        <f>Q36</f>
        <v>В.к. 98+ кг.</v>
      </c>
      <c r="R45" s="67"/>
      <c r="S45" s="67"/>
      <c r="T45" s="67"/>
    </row>
    <row r="46" spans="1:20" ht="12.75" customHeight="1">
      <c r="A46" s="372" t="s">
        <v>39</v>
      </c>
      <c r="B46" s="374" t="s">
        <v>4</v>
      </c>
      <c r="C46" s="376" t="s">
        <v>5</v>
      </c>
      <c r="D46" s="379" t="s">
        <v>12</v>
      </c>
      <c r="E46" s="349" t="s">
        <v>13</v>
      </c>
      <c r="F46" s="350"/>
      <c r="G46" s="376" t="s">
        <v>14</v>
      </c>
      <c r="H46" s="394" t="s">
        <v>40</v>
      </c>
      <c r="I46" s="367" t="s">
        <v>15</v>
      </c>
      <c r="J46" s="369" t="s">
        <v>16</v>
      </c>
      <c r="K46" s="372" t="s">
        <v>39</v>
      </c>
      <c r="L46" s="374" t="s">
        <v>4</v>
      </c>
      <c r="M46" s="376" t="s">
        <v>5</v>
      </c>
      <c r="N46" s="379" t="s">
        <v>12</v>
      </c>
      <c r="O46" s="345" t="s">
        <v>13</v>
      </c>
      <c r="P46" s="346"/>
      <c r="Q46" s="376" t="s">
        <v>14</v>
      </c>
      <c r="R46" s="394" t="s">
        <v>40</v>
      </c>
      <c r="S46" s="367" t="s">
        <v>15</v>
      </c>
      <c r="T46" s="369" t="s">
        <v>16</v>
      </c>
    </row>
    <row r="47" spans="1:20" ht="13.5" customHeight="1" thickBot="1">
      <c r="A47" s="373"/>
      <c r="B47" s="375" t="s">
        <v>33</v>
      </c>
      <c r="C47" s="377"/>
      <c r="D47" s="380"/>
      <c r="E47" s="351"/>
      <c r="F47" s="352"/>
      <c r="G47" s="377"/>
      <c r="H47" s="395"/>
      <c r="I47" s="368"/>
      <c r="J47" s="370" t="s">
        <v>34</v>
      </c>
      <c r="K47" s="373"/>
      <c r="L47" s="375" t="s">
        <v>33</v>
      </c>
      <c r="M47" s="377"/>
      <c r="N47" s="380"/>
      <c r="O47" s="347"/>
      <c r="P47" s="348"/>
      <c r="Q47" s="377"/>
      <c r="R47" s="395"/>
      <c r="S47" s="368"/>
      <c r="T47" s="370" t="s">
        <v>34</v>
      </c>
    </row>
    <row r="48" spans="1:20" ht="12.75" customHeight="1">
      <c r="A48" s="371">
        <v>1</v>
      </c>
      <c r="B48" s="361" t="str">
        <f>пр.хода!A25</f>
        <v xml:space="preserve"> </v>
      </c>
      <c r="C48" s="357" t="e">
        <f>VLOOKUP(B48,пр.взв!B$7:E$22,2,FALSE)</f>
        <v>#N/A</v>
      </c>
      <c r="D48" s="343" t="e">
        <f>VLOOKUP(B48,пр.взв!B$7:E$22,3,FALSE)</f>
        <v>#N/A</v>
      </c>
      <c r="E48" s="343" t="e">
        <f>VLOOKUP(B48,пр.взв!B$7:E$22,4,FALSE)</f>
        <v>#N/A</v>
      </c>
      <c r="F48" s="343" t="e">
        <f>VLOOKUP(B48,пр.взв!B$7:F$22,5,FALSE)</f>
        <v>#N/A</v>
      </c>
      <c r="G48" s="392"/>
      <c r="H48" s="386"/>
      <c r="I48" s="388"/>
      <c r="J48" s="379"/>
      <c r="K48" s="371">
        <v>3</v>
      </c>
      <c r="L48" s="421" t="str">
        <f>пр.хода!I25</f>
        <v xml:space="preserve"> </v>
      </c>
      <c r="M48" s="357" t="e">
        <f>VLOOKUP(L48,пр.взв!B$7:F$22,2,FALSE)</f>
        <v>#N/A</v>
      </c>
      <c r="N48" s="343" t="e">
        <f>VLOOKUP(L48,пр.взв!B$7:F$22,3,FALSE)</f>
        <v>#N/A</v>
      </c>
      <c r="O48" s="343" t="e">
        <f>VLOOKUP(L48,пр.взв!B$7:F$22,4,FALSE)</f>
        <v>#N/A</v>
      </c>
      <c r="P48" s="343" t="e">
        <f>VLOOKUP(L48,пр.взв!B$7:F$22,5,FALSE)</f>
        <v>#N/A</v>
      </c>
      <c r="Q48" s="401"/>
      <c r="R48" s="402"/>
      <c r="S48" s="398"/>
      <c r="T48" s="399"/>
    </row>
    <row r="49" spans="1:20">
      <c r="A49" s="359"/>
      <c r="B49" s="356"/>
      <c r="C49" s="358"/>
      <c r="D49" s="344"/>
      <c r="E49" s="344"/>
      <c r="F49" s="344"/>
      <c r="G49" s="387"/>
      <c r="H49" s="387"/>
      <c r="I49" s="389"/>
      <c r="J49" s="244"/>
      <c r="K49" s="359"/>
      <c r="L49" s="356"/>
      <c r="M49" s="358"/>
      <c r="N49" s="344"/>
      <c r="O49" s="344"/>
      <c r="P49" s="344"/>
      <c r="Q49" s="387"/>
      <c r="R49" s="387"/>
      <c r="S49" s="389"/>
      <c r="T49" s="244"/>
    </row>
    <row r="50" spans="1:20" ht="12.75" customHeight="1">
      <c r="A50" s="359"/>
      <c r="B50" s="362" t="str">
        <f>пр.хода!A27</f>
        <v xml:space="preserve"> </v>
      </c>
      <c r="C50" s="364" t="e">
        <f>VLOOKUP(B50,пр.взв!B$7:E$22,2,FALSE)</f>
        <v>#N/A</v>
      </c>
      <c r="D50" s="353" t="e">
        <f>VLOOKUP(B50,пр.взв!B$7:E$22,3,FALSE)</f>
        <v>#N/A</v>
      </c>
      <c r="E50" s="353" t="e">
        <f>VLOOKUP(B50,пр.взв!B$7:E$22,4,FALSE)</f>
        <v>#N/A</v>
      </c>
      <c r="F50" s="353" t="e">
        <f>VLOOKUP(B50,пр.взв!B$7:F$22,5,FALSE)</f>
        <v>#N/A</v>
      </c>
      <c r="G50" s="396"/>
      <c r="H50" s="396"/>
      <c r="I50" s="245"/>
      <c r="J50" s="245"/>
      <c r="K50" s="359"/>
      <c r="L50" s="362" t="str">
        <f>пр.хода!I27</f>
        <v xml:space="preserve"> </v>
      </c>
      <c r="M50" s="364" t="e">
        <f>VLOOKUP(L50,пр.взв!B$7:F$22,2,FALSE)</f>
        <v>#N/A</v>
      </c>
      <c r="N50" s="353" t="e">
        <f>VLOOKUP(L50,пр.взв!B$7:F$22,3,FALSE)</f>
        <v>#N/A</v>
      </c>
      <c r="O50" s="353" t="e">
        <f>VLOOKUP(L50,пр.взв!B$7:F$22,4,FALSE)</f>
        <v>#N/A</v>
      </c>
      <c r="P50" s="353" t="e">
        <f>VLOOKUP(L50,пр.взв!B$7:F$22,5,FALSE)</f>
        <v>#N/A</v>
      </c>
      <c r="Q50" s="396"/>
      <c r="R50" s="396"/>
      <c r="S50" s="245"/>
      <c r="T50" s="245"/>
    </row>
    <row r="51" spans="1:20" ht="13.8" thickBot="1">
      <c r="A51" s="420"/>
      <c r="B51" s="363"/>
      <c r="C51" s="365"/>
      <c r="D51" s="354"/>
      <c r="E51" s="354"/>
      <c r="F51" s="354"/>
      <c r="G51" s="397"/>
      <c r="H51" s="397"/>
      <c r="I51" s="400"/>
      <c r="J51" s="400"/>
      <c r="K51" s="360"/>
      <c r="L51" s="363"/>
      <c r="M51" s="365"/>
      <c r="N51" s="354"/>
      <c r="O51" s="354"/>
      <c r="P51" s="354"/>
      <c r="Q51" s="397"/>
      <c r="R51" s="397"/>
      <c r="S51" s="400"/>
      <c r="T51" s="400"/>
    </row>
    <row r="52" spans="1:20" ht="12.75" customHeight="1">
      <c r="A52" s="371">
        <v>2</v>
      </c>
      <c r="B52" s="361" t="str">
        <f>пр.хода!A31</f>
        <v xml:space="preserve"> </v>
      </c>
      <c r="C52" s="357" t="e">
        <f>VLOOKUP(B52,пр.взв!B$7:E$22,2,FALSE)</f>
        <v>#N/A</v>
      </c>
      <c r="D52" s="343" t="e">
        <f>VLOOKUP(B52,пр.взв!B$7:E$22,3,FALSE)</f>
        <v>#N/A</v>
      </c>
      <c r="E52" s="343" t="e">
        <f>VLOOKUP(B52,пр.взв!B$7:E$22,4,FALSE)</f>
        <v>#N/A</v>
      </c>
      <c r="F52" s="343" t="e">
        <f>VLOOKUP(B52,пр.взв!B$7:F$22,5,FALSE)</f>
        <v>#N/A</v>
      </c>
      <c r="G52" s="401"/>
      <c r="H52" s="402"/>
      <c r="I52" s="398"/>
      <c r="J52" s="399"/>
      <c r="K52" s="359">
        <v>4</v>
      </c>
      <c r="L52" s="361" t="str">
        <f>пр.хода!I31</f>
        <v xml:space="preserve"> </v>
      </c>
      <c r="M52" s="357" t="e">
        <f>VLOOKUP(L52,пр.взв!B$7:F$22,2,FALSE)</f>
        <v>#N/A</v>
      </c>
      <c r="N52" s="343" t="e">
        <f>VLOOKUP(L52,пр.взв!B$7:F$22,3,FALSE)</f>
        <v>#N/A</v>
      </c>
      <c r="O52" s="343" t="e">
        <f>VLOOKUP(L52,пр.взв!B$7:F$22,4,FALSE)</f>
        <v>#N/A</v>
      </c>
      <c r="P52" s="343" t="e">
        <f>VLOOKUP(L52,пр.взв!B$7:F$22,5,FALSE)</f>
        <v>#N/A</v>
      </c>
      <c r="Q52" s="401"/>
      <c r="R52" s="402"/>
      <c r="S52" s="398"/>
      <c r="T52" s="399"/>
    </row>
    <row r="53" spans="1:20">
      <c r="A53" s="359"/>
      <c r="B53" s="356"/>
      <c r="C53" s="358"/>
      <c r="D53" s="344"/>
      <c r="E53" s="344"/>
      <c r="F53" s="344"/>
      <c r="G53" s="387"/>
      <c r="H53" s="387"/>
      <c r="I53" s="389"/>
      <c r="J53" s="244"/>
      <c r="K53" s="359"/>
      <c r="L53" s="356"/>
      <c r="M53" s="358"/>
      <c r="N53" s="344"/>
      <c r="O53" s="344"/>
      <c r="P53" s="344"/>
      <c r="Q53" s="387"/>
      <c r="R53" s="387"/>
      <c r="S53" s="389"/>
      <c r="T53" s="244"/>
    </row>
    <row r="54" spans="1:20" ht="12.75" customHeight="1">
      <c r="A54" s="359"/>
      <c r="B54" s="362" t="str">
        <f>пр.хода!A33</f>
        <v xml:space="preserve"> </v>
      </c>
      <c r="C54" s="364" t="e">
        <f>VLOOKUP(B54,пр.взв!B$7:E$22,2,FALSE)</f>
        <v>#N/A</v>
      </c>
      <c r="D54" s="353" t="e">
        <f>VLOOKUP(B54,пр.взв!B$7:E$22,3,FALSE)</f>
        <v>#N/A</v>
      </c>
      <c r="E54" s="353" t="e">
        <f>VLOOKUP(B54,пр.взв!B$7:E$22,4,FALSE)</f>
        <v>#N/A</v>
      </c>
      <c r="F54" s="353" t="e">
        <f>VLOOKUP(B54,пр.взв!B$7:F$22,5,FALSE)</f>
        <v>#N/A</v>
      </c>
      <c r="G54" s="396"/>
      <c r="H54" s="396"/>
      <c r="I54" s="245"/>
      <c r="J54" s="245"/>
      <c r="K54" s="359"/>
      <c r="L54" s="362" t="str">
        <f>пр.хода!I33</f>
        <v xml:space="preserve"> </v>
      </c>
      <c r="M54" s="364" t="e">
        <f>VLOOKUP(L54,пр.взв!B$7:F$22,2,FALSE)</f>
        <v>#N/A</v>
      </c>
      <c r="N54" s="353" t="e">
        <f>VLOOKUP(L54,пр.взв!B$7:F$22,3,FALSE)</f>
        <v>#N/A</v>
      </c>
      <c r="O54" s="353" t="e">
        <f>VLOOKUP(L54,пр.взв!B$7:F$22,4,FALSE)</f>
        <v>#N/A</v>
      </c>
      <c r="P54" s="353" t="e">
        <f>VLOOKUP(L54,пр.взв!B$7:F$22,5,FALSE)</f>
        <v>#N/A</v>
      </c>
      <c r="Q54" s="396"/>
      <c r="R54" s="396"/>
      <c r="S54" s="245"/>
      <c r="T54" s="245"/>
    </row>
    <row r="55" spans="1:20" ht="13.8" thickBot="1">
      <c r="A55" s="360"/>
      <c r="B55" s="363"/>
      <c r="C55" s="365"/>
      <c r="D55" s="354"/>
      <c r="E55" s="354"/>
      <c r="F55" s="354"/>
      <c r="G55" s="397"/>
      <c r="H55" s="397"/>
      <c r="I55" s="400"/>
      <c r="J55" s="400"/>
      <c r="K55" s="360"/>
      <c r="L55" s="363"/>
      <c r="M55" s="365"/>
      <c r="N55" s="354"/>
      <c r="O55" s="354"/>
      <c r="P55" s="354"/>
      <c r="Q55" s="397"/>
      <c r="R55" s="397"/>
      <c r="S55" s="400"/>
      <c r="T55" s="400"/>
    </row>
    <row r="56" spans="1:20">
      <c r="B56">
        <f>B43</f>
        <v>0</v>
      </c>
      <c r="C56" s="3" t="s">
        <v>92</v>
      </c>
      <c r="L56">
        <f>L43</f>
        <v>0</v>
      </c>
      <c r="M56" s="3" t="s">
        <v>92</v>
      </c>
    </row>
    <row r="57" spans="1:20" ht="15">
      <c r="A57" s="366" t="s">
        <v>94</v>
      </c>
      <c r="B57" s="366"/>
      <c r="C57" s="366"/>
      <c r="D57" s="366"/>
      <c r="E57" s="366"/>
      <c r="F57" s="366"/>
      <c r="G57" s="366"/>
      <c r="H57" s="366"/>
      <c r="I57" s="366"/>
      <c r="J57" s="366"/>
      <c r="K57" s="366" t="s">
        <v>94</v>
      </c>
      <c r="L57" s="366"/>
      <c r="M57" s="366"/>
      <c r="N57" s="366"/>
      <c r="O57" s="366"/>
      <c r="P57" s="366"/>
      <c r="Q57" s="366"/>
      <c r="R57" s="366"/>
      <c r="S57" s="366"/>
      <c r="T57" s="366"/>
    </row>
    <row r="58" spans="1:20" ht="16.2" thickBot="1">
      <c r="B58" s="64" t="s">
        <v>32</v>
      </c>
      <c r="C58" s="69"/>
      <c r="D58" s="69"/>
      <c r="E58" s="69"/>
      <c r="F58" s="69"/>
      <c r="G58" s="71" t="str">
        <f>G45</f>
        <v>В.к. 98+ кг.</v>
      </c>
      <c r="H58" s="69"/>
      <c r="I58" s="69"/>
      <c r="J58" s="69"/>
      <c r="L58" s="64" t="s">
        <v>1</v>
      </c>
      <c r="M58" s="69"/>
      <c r="N58" s="69"/>
      <c r="O58" s="69"/>
      <c r="P58" s="69"/>
      <c r="Q58" s="71" t="str">
        <f>Q45</f>
        <v>В.к. 98+ кг.</v>
      </c>
      <c r="R58" s="67"/>
      <c r="S58" s="67"/>
      <c r="T58" s="67"/>
    </row>
    <row r="59" spans="1:20" ht="12.75" customHeight="1">
      <c r="A59" s="372" t="s">
        <v>39</v>
      </c>
      <c r="B59" s="374" t="s">
        <v>4</v>
      </c>
      <c r="C59" s="376" t="s">
        <v>5</v>
      </c>
      <c r="D59" s="379" t="s">
        <v>12</v>
      </c>
      <c r="E59" s="349" t="s">
        <v>13</v>
      </c>
      <c r="F59" s="350"/>
      <c r="G59" s="376" t="s">
        <v>14</v>
      </c>
      <c r="H59" s="394" t="s">
        <v>40</v>
      </c>
      <c r="I59" s="367" t="s">
        <v>15</v>
      </c>
      <c r="J59" s="369" t="s">
        <v>16</v>
      </c>
      <c r="K59" s="372" t="s">
        <v>39</v>
      </c>
      <c r="L59" s="374" t="s">
        <v>4</v>
      </c>
      <c r="M59" s="376" t="s">
        <v>5</v>
      </c>
      <c r="N59" s="379" t="s">
        <v>12</v>
      </c>
      <c r="O59" s="345" t="s">
        <v>13</v>
      </c>
      <c r="P59" s="346"/>
      <c r="Q59" s="376" t="s">
        <v>14</v>
      </c>
      <c r="R59" s="394" t="s">
        <v>40</v>
      </c>
      <c r="S59" s="367" t="s">
        <v>15</v>
      </c>
      <c r="T59" s="369" t="s">
        <v>16</v>
      </c>
    </row>
    <row r="60" spans="1:20" ht="13.5" customHeight="1" thickBot="1">
      <c r="A60" s="373"/>
      <c r="B60" s="375" t="s">
        <v>33</v>
      </c>
      <c r="C60" s="377"/>
      <c r="D60" s="380"/>
      <c r="E60" s="351"/>
      <c r="F60" s="352"/>
      <c r="G60" s="377"/>
      <c r="H60" s="395"/>
      <c r="I60" s="368"/>
      <c r="J60" s="370" t="s">
        <v>34</v>
      </c>
      <c r="K60" s="373"/>
      <c r="L60" s="375" t="s">
        <v>33</v>
      </c>
      <c r="M60" s="377"/>
      <c r="N60" s="380"/>
      <c r="O60" s="347"/>
      <c r="P60" s="348"/>
      <c r="Q60" s="377"/>
      <c r="R60" s="395"/>
      <c r="S60" s="368"/>
      <c r="T60" s="370" t="s">
        <v>34</v>
      </c>
    </row>
    <row r="61" spans="1:20" ht="12.75" customHeight="1">
      <c r="A61" s="371">
        <v>1</v>
      </c>
      <c r="B61" s="403">
        <f>пр.хода!C26</f>
        <v>0</v>
      </c>
      <c r="C61" s="357" t="e">
        <f>VLOOKUP(B61,пр.взв!B$7:E$22,2,FALSE)</f>
        <v>#N/A</v>
      </c>
      <c r="D61" s="343" t="e">
        <f>VLOOKUP(B61,пр.взв!B$7:E$22,3,FALSE)</f>
        <v>#N/A</v>
      </c>
      <c r="E61" s="343" t="e">
        <f>VLOOKUP(B61,пр.взв!B$7:E$22,4,FALSE)</f>
        <v>#N/A</v>
      </c>
      <c r="F61" s="343" t="e">
        <f>VLOOKUP(B61,пр.взв!B$7:F$22,5,FALSE)</f>
        <v>#N/A</v>
      </c>
      <c r="G61" s="392"/>
      <c r="H61" s="386"/>
      <c r="I61" s="388"/>
      <c r="J61" s="379"/>
      <c r="K61" s="371">
        <v>2</v>
      </c>
      <c r="L61" s="355">
        <f>пр.хода!M26</f>
        <v>0</v>
      </c>
      <c r="M61" s="357" t="e">
        <f>VLOOKUP(L61,пр.взв!B$7:F$22,2,FALSE)</f>
        <v>#N/A</v>
      </c>
      <c r="N61" s="343" t="e">
        <f>VLOOKUP(L61,пр.взв!B$7:F$22,3,FALSE)</f>
        <v>#N/A</v>
      </c>
      <c r="O61" s="343" t="e">
        <f>VLOOKUP(L61,пр.взв!B$7:F$22,4,FALSE)</f>
        <v>#N/A</v>
      </c>
      <c r="P61" s="343" t="e">
        <f>VLOOKUP(L61,пр.взв!B$7:F$22,5,FALSE)</f>
        <v>#N/A</v>
      </c>
      <c r="Q61" s="401"/>
      <c r="R61" s="402"/>
      <c r="S61" s="398"/>
      <c r="T61" s="399"/>
    </row>
    <row r="62" spans="1:20">
      <c r="A62" s="359"/>
      <c r="B62" s="356"/>
      <c r="C62" s="358"/>
      <c r="D62" s="344"/>
      <c r="E62" s="344"/>
      <c r="F62" s="344"/>
      <c r="G62" s="387"/>
      <c r="H62" s="387"/>
      <c r="I62" s="389"/>
      <c r="J62" s="244"/>
      <c r="K62" s="359"/>
      <c r="L62" s="356"/>
      <c r="M62" s="358"/>
      <c r="N62" s="344"/>
      <c r="O62" s="344"/>
      <c r="P62" s="344"/>
      <c r="Q62" s="387"/>
      <c r="R62" s="387"/>
      <c r="S62" s="389"/>
      <c r="T62" s="244"/>
    </row>
    <row r="63" spans="1:20" ht="12.75" customHeight="1">
      <c r="A63" s="359"/>
      <c r="B63" s="378">
        <f>пр.хода!C32</f>
        <v>0</v>
      </c>
      <c r="C63" s="364" t="e">
        <f>VLOOKUP(B63,пр.взв!B$7:E$22,2,FALSE)</f>
        <v>#N/A</v>
      </c>
      <c r="D63" s="353" t="e">
        <f>VLOOKUP(B63,пр.взв!B$7:E$22,3,FALSE)</f>
        <v>#N/A</v>
      </c>
      <c r="E63" s="353" t="e">
        <f>VLOOKUP(B63,пр.взв!B$7:E$22,4,FALSE)</f>
        <v>#N/A</v>
      </c>
      <c r="F63" s="353" t="e">
        <f>VLOOKUP(B63,пр.взв!B$7:F$22,5,FALSE)</f>
        <v>#N/A</v>
      </c>
      <c r="G63" s="396"/>
      <c r="H63" s="396"/>
      <c r="I63" s="245"/>
      <c r="J63" s="245"/>
      <c r="K63" s="359"/>
      <c r="L63" s="378">
        <f>пр.хода!M32</f>
        <v>0</v>
      </c>
      <c r="M63" s="364" t="e">
        <f>VLOOKUP(L63,пр.взв!B$7:F$22,2,FALSE)</f>
        <v>#N/A</v>
      </c>
      <c r="N63" s="353" t="e">
        <f>VLOOKUP(L63,пр.взв!B$7:F$22,3,FALSE)</f>
        <v>#N/A</v>
      </c>
      <c r="O63" s="353" t="e">
        <f>VLOOKUP(L63,пр.взв!B$7:F$22,4,FALSE)</f>
        <v>#N/A</v>
      </c>
      <c r="P63" s="353" t="e">
        <f>VLOOKUP(L63,пр.взв!B$7:F$22,5,FALSE)</f>
        <v>#N/A</v>
      </c>
      <c r="Q63" s="396"/>
      <c r="R63" s="396"/>
      <c r="S63" s="245"/>
      <c r="T63" s="245"/>
    </row>
    <row r="64" spans="1:20" ht="13.8" thickBot="1">
      <c r="A64" s="360"/>
      <c r="B64" s="363"/>
      <c r="C64" s="365"/>
      <c r="D64" s="354"/>
      <c r="E64" s="354"/>
      <c r="F64" s="354"/>
      <c r="G64" s="397"/>
      <c r="H64" s="397"/>
      <c r="I64" s="400"/>
      <c r="J64" s="400"/>
      <c r="K64" s="360"/>
      <c r="L64" s="363"/>
      <c r="M64" s="365"/>
      <c r="N64" s="354"/>
      <c r="O64" s="354"/>
      <c r="P64" s="354"/>
      <c r="Q64" s="397"/>
      <c r="R64" s="397"/>
      <c r="S64" s="400"/>
      <c r="T64" s="400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3.2"/>
  <cols>
    <col min="1" max="1" width="4.6640625" customWidth="1"/>
    <col min="2" max="2" width="5.109375" customWidth="1"/>
    <col min="3" max="3" width="21.5546875" customWidth="1"/>
    <col min="4" max="4" width="8.44140625" customWidth="1"/>
    <col min="5" max="5" width="6.109375" customWidth="1"/>
    <col min="6" max="6" width="17.88671875" customWidth="1"/>
    <col min="7" max="7" width="22.5546875" customWidth="1"/>
    <col min="8" max="9" width="7.109375" customWidth="1"/>
  </cols>
  <sheetData>
    <row r="1" spans="1:9" ht="32.4" customHeight="1">
      <c r="A1" s="427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28"/>
      <c r="C1" s="428"/>
      <c r="D1" s="428"/>
      <c r="E1" s="428"/>
      <c r="F1" s="428"/>
      <c r="G1" s="428"/>
      <c r="H1" s="428"/>
      <c r="I1" s="428"/>
    </row>
    <row r="2" spans="1:9" ht="27" customHeight="1">
      <c r="D2" s="47"/>
      <c r="E2" s="58" t="str">
        <f>HYPERLINK(пр.взв!D4)</f>
        <v>В.к. 98+ кг.</v>
      </c>
    </row>
    <row r="3" spans="1:9" ht="21.6" customHeight="1">
      <c r="C3" s="48" t="s">
        <v>20</v>
      </c>
    </row>
    <row r="4" spans="1:9" ht="19.95" customHeight="1">
      <c r="C4" s="49" t="s">
        <v>10</v>
      </c>
    </row>
    <row r="5" spans="1:9" ht="12.75" customHeight="1">
      <c r="A5" s="244" t="s">
        <v>11</v>
      </c>
      <c r="B5" s="244" t="s">
        <v>4</v>
      </c>
      <c r="C5" s="399" t="s">
        <v>5</v>
      </c>
      <c r="D5" s="244" t="s">
        <v>12</v>
      </c>
      <c r="E5" s="246" t="s">
        <v>13</v>
      </c>
      <c r="F5" s="247"/>
      <c r="G5" s="244" t="s">
        <v>14</v>
      </c>
      <c r="H5" s="244" t="s">
        <v>15</v>
      </c>
      <c r="I5" s="244" t="s">
        <v>16</v>
      </c>
    </row>
    <row r="6" spans="1:9">
      <c r="A6" s="245"/>
      <c r="B6" s="245"/>
      <c r="C6" s="245"/>
      <c r="D6" s="245"/>
      <c r="E6" s="248"/>
      <c r="F6" s="249"/>
      <c r="G6" s="245"/>
      <c r="H6" s="245"/>
      <c r="I6" s="245"/>
    </row>
    <row r="7" spans="1:9">
      <c r="A7" s="431"/>
      <c r="B7" s="416">
        <f>пр.хода!D29</f>
        <v>0</v>
      </c>
      <c r="C7" s="422" t="e">
        <f>VLOOKUP(B7,пр.взв!B7:D22,2,FALSE)</f>
        <v>#N/A</v>
      </c>
      <c r="D7" s="422" t="e">
        <f>VLOOKUP(B7,пр.взв!B7:F38,3,FALSE)</f>
        <v>#N/A</v>
      </c>
      <c r="E7" s="429" t="e">
        <f>VLOOKUP(B7,пр.взв!B7:F38,4,FALSE)</f>
        <v>#N/A</v>
      </c>
      <c r="F7" s="422" t="e">
        <f>VLOOKUP(B7,пр.взв!B7:G28,5,FALSE)</f>
        <v>#N/A</v>
      </c>
      <c r="G7" s="387"/>
      <c r="H7" s="389"/>
      <c r="I7" s="244"/>
    </row>
    <row r="8" spans="1:9">
      <c r="A8" s="431"/>
      <c r="B8" s="244"/>
      <c r="C8" s="422"/>
      <c r="D8" s="422"/>
      <c r="E8" s="429"/>
      <c r="F8" s="422"/>
      <c r="G8" s="387"/>
      <c r="H8" s="389"/>
      <c r="I8" s="244"/>
    </row>
    <row r="9" spans="1:9">
      <c r="A9" s="430"/>
      <c r="B9" s="416" t="str">
        <f>пр.хода!C35</f>
        <v/>
      </c>
      <c r="C9" s="422" t="e">
        <f>VLOOKUP(B9,пр.взв!B7:D22,2,FALSE)</f>
        <v>#N/A</v>
      </c>
      <c r="D9" s="422" t="e">
        <f>VLOOKUP(B9,пр.взв!B7:F40,3,FALSE)</f>
        <v>#N/A</v>
      </c>
      <c r="E9" s="429" t="e">
        <f>VLOOKUP(B9,пр.взв!B7:F40,4,FALSE)</f>
        <v>#N/A</v>
      </c>
      <c r="F9" s="422" t="e">
        <f>VLOOKUP(B9,пр.взв!B7:G30,5,FALSE)</f>
        <v>#N/A</v>
      </c>
      <c r="G9" s="387"/>
      <c r="H9" s="244"/>
      <c r="I9" s="244"/>
    </row>
    <row r="10" spans="1:9">
      <c r="A10" s="430"/>
      <c r="B10" s="244"/>
      <c r="C10" s="422"/>
      <c r="D10" s="422"/>
      <c r="E10" s="429"/>
      <c r="F10" s="422"/>
      <c r="G10" s="387"/>
      <c r="H10" s="244"/>
      <c r="I10" s="244"/>
    </row>
    <row r="11" spans="1:9" ht="29.25" customHeight="1">
      <c r="A11" s="1" t="s">
        <v>17</v>
      </c>
      <c r="B11" s="1"/>
    </row>
    <row r="12" spans="1:9" ht="20.100000000000001" customHeight="1">
      <c r="B12" s="1" t="s">
        <v>0</v>
      </c>
      <c r="C12" s="50"/>
      <c r="D12" s="50"/>
      <c r="E12" s="50"/>
      <c r="F12" s="50"/>
      <c r="G12" s="50"/>
      <c r="H12" s="50"/>
      <c r="I12" s="50"/>
    </row>
    <row r="13" spans="1:9" ht="20.100000000000001" customHeight="1">
      <c r="B13" s="1" t="s">
        <v>1</v>
      </c>
      <c r="C13" s="50"/>
      <c r="D13" s="50"/>
      <c r="E13" s="50"/>
      <c r="F13" s="50"/>
      <c r="G13" s="50"/>
      <c r="H13" s="50"/>
      <c r="I13" s="50"/>
    </row>
    <row r="14" spans="1:9" ht="20.100000000000001" customHeight="1"/>
    <row r="15" spans="1:9" ht="20.100000000000001" customHeight="1">
      <c r="C15" s="53" t="s">
        <v>21</v>
      </c>
    </row>
    <row r="16" spans="1:9" ht="25.2" customHeight="1">
      <c r="C16" s="49" t="s">
        <v>18</v>
      </c>
      <c r="E16" s="58" t="str">
        <f>HYPERLINK(пр.взв!D4)</f>
        <v>В.к. 98+ кг.</v>
      </c>
    </row>
    <row r="17" spans="1:9" ht="12.75" customHeight="1">
      <c r="A17" s="244" t="s">
        <v>11</v>
      </c>
      <c r="B17" s="244" t="s">
        <v>4</v>
      </c>
      <c r="C17" s="399" t="s">
        <v>5</v>
      </c>
      <c r="D17" s="244" t="s">
        <v>12</v>
      </c>
      <c r="E17" s="246" t="s">
        <v>13</v>
      </c>
      <c r="F17" s="247"/>
      <c r="G17" s="244" t="s">
        <v>14</v>
      </c>
      <c r="H17" s="244" t="s">
        <v>15</v>
      </c>
      <c r="I17" s="244" t="s">
        <v>16</v>
      </c>
    </row>
    <row r="18" spans="1:9">
      <c r="A18" s="245"/>
      <c r="B18" s="245"/>
      <c r="C18" s="245"/>
      <c r="D18" s="245"/>
      <c r="E18" s="248"/>
      <c r="F18" s="249"/>
      <c r="G18" s="245"/>
      <c r="H18" s="245"/>
      <c r="I18" s="245"/>
    </row>
    <row r="19" spans="1:9">
      <c r="A19" s="431"/>
      <c r="B19" s="416">
        <f>пр.хода!N29</f>
        <v>0</v>
      </c>
      <c r="C19" s="432" t="e">
        <f>VLOOKUP(B19,пр.взв!B1:D22,2,FALSE)</f>
        <v>#N/A</v>
      </c>
      <c r="D19" s="432" t="e">
        <f>VLOOKUP(B19,пр.взв!B1:F22,3,FALSE)</f>
        <v>#N/A</v>
      </c>
      <c r="E19" s="423" t="e">
        <f>VLOOKUP(B19,пр.взв!B1:F22,4,FALSE)</f>
        <v>#N/A</v>
      </c>
      <c r="F19" s="422" t="e">
        <f>VLOOKUP(B19,пр.взв!B1:G22,5,FALSE)</f>
        <v>#N/A</v>
      </c>
      <c r="G19" s="426"/>
      <c r="H19" s="389"/>
      <c r="I19" s="244"/>
    </row>
    <row r="20" spans="1:9">
      <c r="A20" s="431"/>
      <c r="B20" s="244"/>
      <c r="C20" s="433"/>
      <c r="D20" s="433"/>
      <c r="E20" s="425"/>
      <c r="F20" s="422"/>
      <c r="G20" s="426"/>
      <c r="H20" s="389"/>
      <c r="I20" s="244"/>
    </row>
    <row r="21" spans="1:9">
      <c r="A21" s="430"/>
      <c r="B21" s="416" t="str">
        <f>пр.хода!M35</f>
        <v/>
      </c>
      <c r="C21" s="432" t="e">
        <f>VLOOKUP(B21,пр.взв!B1:D22,2,FALSE)</f>
        <v>#N/A</v>
      </c>
      <c r="D21" s="432" t="e">
        <f>VLOOKUP(B21,пр.взв!B1:F22,3,FALSE)</f>
        <v>#N/A</v>
      </c>
      <c r="E21" s="423" t="e">
        <f>VLOOKUP(B21,пр.взв!B2:F22,4,FALSE)</f>
        <v>#N/A</v>
      </c>
      <c r="F21" s="422" t="e">
        <f>VLOOKUP(B21,пр.взв!B1:G22,5,FALSE)</f>
        <v>#N/A</v>
      </c>
      <c r="G21" s="426"/>
      <c r="H21" s="244"/>
      <c r="I21" s="244"/>
    </row>
    <row r="22" spans="1:9">
      <c r="A22" s="430"/>
      <c r="B22" s="244"/>
      <c r="C22" s="433"/>
      <c r="D22" s="433"/>
      <c r="E22" s="424"/>
      <c r="F22" s="422"/>
      <c r="G22" s="426"/>
      <c r="H22" s="244"/>
      <c r="I22" s="244"/>
    </row>
    <row r="23" spans="1:9" ht="29.25" customHeight="1">
      <c r="A23" s="1" t="s">
        <v>17</v>
      </c>
      <c r="B23" s="1"/>
    </row>
    <row r="24" spans="1:9" ht="20.100000000000001" customHeight="1">
      <c r="B24" s="1" t="s">
        <v>0</v>
      </c>
      <c r="C24" s="50"/>
      <c r="D24" s="50"/>
      <c r="E24" s="50"/>
      <c r="F24" s="50"/>
      <c r="G24" s="50"/>
      <c r="H24" s="50"/>
      <c r="I24" s="50"/>
    </row>
    <row r="25" spans="1:9" ht="20.100000000000001" customHeight="1">
      <c r="B25" s="1" t="s">
        <v>1</v>
      </c>
      <c r="C25" s="50"/>
      <c r="D25" s="50"/>
      <c r="E25" s="50"/>
      <c r="F25" s="50"/>
      <c r="G25" s="50"/>
      <c r="H25" s="50"/>
      <c r="I25" s="50"/>
    </row>
    <row r="26" spans="1:9" ht="20.100000000000001" customHeight="1"/>
    <row r="27" spans="1:9" ht="20.100000000000001" customHeight="1"/>
    <row r="28" spans="1:9" ht="20.100000000000001" customHeight="1"/>
    <row r="29" spans="1:9" ht="15.6">
      <c r="C29" s="42" t="s">
        <v>19</v>
      </c>
      <c r="E29" s="58" t="str">
        <f>HYPERLINK(пр.взв!D4)</f>
        <v>В.к. 98+ кг.</v>
      </c>
    </row>
    <row r="30" spans="1:9" ht="12.75" customHeight="1">
      <c r="A30" s="244" t="s">
        <v>11</v>
      </c>
      <c r="B30" s="244" t="s">
        <v>4</v>
      </c>
      <c r="C30" s="399" t="s">
        <v>5</v>
      </c>
      <c r="D30" s="244" t="s">
        <v>12</v>
      </c>
      <c r="E30" s="246" t="s">
        <v>13</v>
      </c>
      <c r="F30" s="247"/>
      <c r="G30" s="244" t="s">
        <v>14</v>
      </c>
      <c r="H30" s="244" t="s">
        <v>15</v>
      </c>
      <c r="I30" s="244" t="s">
        <v>16</v>
      </c>
    </row>
    <row r="31" spans="1:9">
      <c r="A31" s="245"/>
      <c r="B31" s="245"/>
      <c r="C31" s="245"/>
      <c r="D31" s="245"/>
      <c r="E31" s="248"/>
      <c r="F31" s="249"/>
      <c r="G31" s="245"/>
      <c r="H31" s="245"/>
      <c r="I31" s="245"/>
    </row>
    <row r="32" spans="1:9">
      <c r="A32" s="431"/>
      <c r="B32" s="416">
        <f>пр.хода!I14</f>
        <v>0</v>
      </c>
      <c r="C32" s="422" t="e">
        <f>VLOOKUP(B32,пр.взв!B3:D22,2,FALSE)</f>
        <v>#N/A</v>
      </c>
      <c r="D32" s="422" t="e">
        <f>VLOOKUP(B32,пр.взв!B3:F22,3,FALSE)</f>
        <v>#N/A</v>
      </c>
      <c r="E32" s="429" t="e">
        <f>VLOOKUP(B32,пр.взв!B3:F22,4,FALSE)</f>
        <v>#N/A</v>
      </c>
      <c r="F32" s="422" t="e">
        <f>VLOOKUP(B32,пр.взв!B3:G22,5,FALSE)</f>
        <v>#N/A</v>
      </c>
      <c r="G32" s="387"/>
      <c r="H32" s="389"/>
      <c r="I32" s="244"/>
    </row>
    <row r="33" spans="1:9">
      <c r="A33" s="431"/>
      <c r="B33" s="244"/>
      <c r="C33" s="422"/>
      <c r="D33" s="422"/>
      <c r="E33" s="429"/>
      <c r="F33" s="422"/>
      <c r="G33" s="387"/>
      <c r="H33" s="389"/>
      <c r="I33" s="244"/>
    </row>
    <row r="34" spans="1:9">
      <c r="A34" s="430"/>
      <c r="B34" s="416">
        <f>пр.хода!M14</f>
        <v>0</v>
      </c>
      <c r="C34" s="422" t="e">
        <f>VLOOKUP(B34,пр.взв!B3:D22,2,FALSE)</f>
        <v>#N/A</v>
      </c>
      <c r="D34" s="422" t="e">
        <f>VLOOKUP(B34,пр.взв!B3:F22,3,FALSE)</f>
        <v>#N/A</v>
      </c>
      <c r="E34" s="429" t="e">
        <f>VLOOKUP(B34,пр.взв!B3:F22,4,FALSE)</f>
        <v>#N/A</v>
      </c>
      <c r="F34" s="422" t="e">
        <f>VLOOKUP(B34,пр.взв!B3:G22,5,FALSE)</f>
        <v>#N/A</v>
      </c>
      <c r="G34" s="387"/>
      <c r="H34" s="244"/>
      <c r="I34" s="244"/>
    </row>
    <row r="35" spans="1:9">
      <c r="A35" s="430"/>
      <c r="B35" s="244"/>
      <c r="C35" s="422"/>
      <c r="D35" s="422"/>
      <c r="E35" s="429"/>
      <c r="F35" s="422"/>
      <c r="G35" s="387"/>
      <c r="H35" s="244"/>
      <c r="I35" s="244"/>
    </row>
    <row r="36" spans="1:9" ht="36" customHeight="1">
      <c r="A36" s="1" t="s">
        <v>17</v>
      </c>
      <c r="B36" s="1"/>
    </row>
    <row r="37" spans="1:9" ht="20.100000000000001" customHeight="1">
      <c r="B37" s="1" t="s">
        <v>0</v>
      </c>
      <c r="C37" s="50"/>
      <c r="D37" s="50"/>
      <c r="E37" s="50"/>
      <c r="F37" s="50"/>
      <c r="G37" s="50"/>
      <c r="H37" s="50"/>
      <c r="I37" s="50"/>
    </row>
    <row r="38" spans="1:9" ht="20.100000000000001" customHeight="1">
      <c r="B38" s="1" t="s">
        <v>1</v>
      </c>
      <c r="C38" s="50"/>
      <c r="D38" s="50"/>
      <c r="E38" s="50"/>
      <c r="F38" s="50"/>
      <c r="G38" s="50"/>
      <c r="H38" s="50"/>
      <c r="I38" s="50"/>
    </row>
    <row r="39" spans="1:9" ht="20.100000000000001" customHeight="1"/>
    <row r="42" spans="1:9">
      <c r="A42" s="43" t="s">
        <v>90</v>
      </c>
      <c r="B42" s="1"/>
      <c r="C42" s="1"/>
      <c r="D42" s="1"/>
      <c r="F42" s="51" t="s">
        <v>90</v>
      </c>
      <c r="G42" s="45" t="s">
        <v>90</v>
      </c>
    </row>
    <row r="43" spans="1:9">
      <c r="A43" s="1"/>
      <c r="B43" s="1"/>
      <c r="C43" s="1"/>
      <c r="D43" s="1"/>
      <c r="F43" s="6"/>
    </row>
    <row r="44" spans="1:9">
      <c r="A44" s="44" t="s">
        <v>90</v>
      </c>
      <c r="C44" s="1"/>
      <c r="D44" s="1"/>
      <c r="E44" s="44"/>
      <c r="F44" s="51" t="s">
        <v>90</v>
      </c>
      <c r="G44" s="46" t="s">
        <v>90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0"/>
  </sheetPr>
  <dimension ref="A1:AO34"/>
  <sheetViews>
    <sheetView workbookViewId="0">
      <selection activeCell="AP12" sqref="AP12"/>
    </sheetView>
  </sheetViews>
  <sheetFormatPr defaultRowHeight="13.2"/>
  <cols>
    <col min="1" max="1" width="8" customWidth="1"/>
    <col min="2" max="2" width="7.5546875" customWidth="1"/>
    <col min="3" max="3" width="21.33203125" customWidth="1"/>
    <col min="4" max="4" width="12.33203125" customWidth="1"/>
    <col min="5" max="5" width="7.6640625" customWidth="1"/>
    <col min="6" max="6" width="14.5546875" customWidth="1"/>
    <col min="7" max="7" width="8.88671875" customWidth="1"/>
    <col min="8" max="8" width="18.88671875" customWidth="1"/>
    <col min="10" max="10" width="15.6640625" customWidth="1"/>
    <col min="11" max="11" width="3.109375" customWidth="1"/>
    <col min="12" max="18" width="9.109375" hidden="1" customWidth="1"/>
    <col min="19" max="19" width="5.6640625" hidden="1" customWidth="1"/>
    <col min="20" max="20" width="16.109375" hidden="1" customWidth="1"/>
    <col min="21" max="35" width="0" hidden="1" customWidth="1"/>
  </cols>
  <sheetData>
    <row r="1" spans="1:41" ht="23.25" customHeight="1" thickBot="1">
      <c r="A1" s="267" t="s">
        <v>22</v>
      </c>
      <c r="B1" s="267"/>
      <c r="C1" s="267"/>
      <c r="D1" s="267"/>
      <c r="E1" s="267"/>
      <c r="F1" s="267"/>
      <c r="G1" s="267"/>
      <c r="H1" s="267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>
        <f ca="1">SUMIF(T6:T11,V1,$K$14:$K$17)</f>
        <v>2</v>
      </c>
      <c r="U1" s="163"/>
      <c r="V1" s="163" t="e">
        <f>J12</f>
        <v>#N/A</v>
      </c>
    </row>
    <row r="2" spans="1:41" ht="52.5" customHeight="1" thickBot="1">
      <c r="A2" s="98"/>
      <c r="B2" s="445" t="s">
        <v>71</v>
      </c>
      <c r="C2" s="445"/>
      <c r="D2" s="446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447"/>
      <c r="F2" s="447"/>
      <c r="G2" s="447"/>
      <c r="H2" s="448"/>
      <c r="T2" s="255">
        <f>SUMIF(J14:J16,V1,$K$14:$K$17)</f>
        <v>2</v>
      </c>
      <c r="U2" s="255"/>
      <c r="V2" s="255"/>
      <c r="W2" s="255"/>
      <c r="X2" s="255"/>
    </row>
    <row r="3" spans="1:41" ht="24.75" customHeight="1" thickBot="1">
      <c r="A3" s="98"/>
      <c r="B3" s="453" t="str">
        <f>пр.взв!A3</f>
        <v>26-29.08.2022г.                                              г.Казань</v>
      </c>
      <c r="C3" s="453"/>
      <c r="D3" s="453"/>
      <c r="E3" s="453"/>
      <c r="F3" s="453"/>
      <c r="G3" s="445" t="str">
        <f>пр.взв!D4</f>
        <v>В.к. 98+ кг.</v>
      </c>
      <c r="H3" s="454"/>
    </row>
    <row r="4" spans="1:41" ht="12.75" customHeight="1" thickBot="1">
      <c r="A4" s="455" t="s">
        <v>44</v>
      </c>
      <c r="B4" s="457" t="s">
        <v>4</v>
      </c>
      <c r="C4" s="459" t="s">
        <v>5</v>
      </c>
      <c r="D4" s="350" t="s">
        <v>6</v>
      </c>
      <c r="E4" s="349" t="s">
        <v>7</v>
      </c>
      <c r="F4" s="350"/>
      <c r="G4" s="451" t="s">
        <v>9</v>
      </c>
      <c r="H4" s="449" t="s">
        <v>8</v>
      </c>
      <c r="J4" s="442" t="e">
        <f>IFERROR(LEFT(F6,FIND(",",F6)-1),F6)</f>
        <v>#N/A</v>
      </c>
      <c r="K4" s="255">
        <v>1</v>
      </c>
      <c r="L4" s="443" t="s">
        <v>52</v>
      </c>
      <c r="M4" s="439" t="s">
        <v>53</v>
      </c>
      <c r="N4" s="434"/>
      <c r="O4" s="435"/>
      <c r="P4" s="435"/>
      <c r="Q4" s="436"/>
      <c r="S4" s="437" t="s">
        <v>52</v>
      </c>
      <c r="T4" s="439" t="s">
        <v>53</v>
      </c>
      <c r="U4" s="434"/>
      <c r="V4" s="435"/>
      <c r="W4" s="435"/>
      <c r="X4" s="436"/>
      <c r="AC4" s="437" t="s">
        <v>52</v>
      </c>
      <c r="AD4" s="439" t="s">
        <v>53</v>
      </c>
      <c r="AE4" s="434"/>
      <c r="AF4" s="435"/>
      <c r="AG4" s="435"/>
      <c r="AH4" s="436"/>
      <c r="AJ4" s="437" t="s">
        <v>52</v>
      </c>
      <c r="AK4" s="439" t="s">
        <v>53</v>
      </c>
      <c r="AL4" s="434"/>
      <c r="AM4" s="435"/>
      <c r="AN4" s="435"/>
      <c r="AO4" s="436"/>
    </row>
    <row r="5" spans="1:41" ht="16.2" thickBot="1">
      <c r="A5" s="456"/>
      <c r="B5" s="458"/>
      <c r="C5" s="460"/>
      <c r="D5" s="249"/>
      <c r="E5" s="248"/>
      <c r="F5" s="249"/>
      <c r="G5" s="452"/>
      <c r="H5" s="450"/>
      <c r="J5" s="442"/>
      <c r="K5" s="255"/>
      <c r="L5" s="444"/>
      <c r="M5" s="441"/>
      <c r="N5" s="79">
        <v>1</v>
      </c>
      <c r="O5" s="80">
        <v>2</v>
      </c>
      <c r="P5" s="80">
        <v>3</v>
      </c>
      <c r="Q5" s="81">
        <v>5</v>
      </c>
      <c r="S5" s="438"/>
      <c r="T5" s="441"/>
      <c r="U5" s="79">
        <v>1</v>
      </c>
      <c r="V5" s="80">
        <v>2</v>
      </c>
      <c r="W5" s="80">
        <v>3</v>
      </c>
      <c r="X5" s="81">
        <v>5</v>
      </c>
      <c r="Z5" s="164">
        <v>1</v>
      </c>
      <c r="AB5" s="164">
        <v>2</v>
      </c>
      <c r="AC5" s="438"/>
      <c r="AD5" s="440"/>
      <c r="AE5" s="165">
        <v>1</v>
      </c>
      <c r="AF5" s="166">
        <v>2</v>
      </c>
      <c r="AG5" s="166">
        <v>3</v>
      </c>
      <c r="AH5" s="167">
        <v>5</v>
      </c>
      <c r="AJ5" s="438"/>
      <c r="AK5" s="440"/>
      <c r="AL5" s="165">
        <v>1</v>
      </c>
      <c r="AM5" s="166">
        <v>2</v>
      </c>
      <c r="AN5" s="166">
        <v>3</v>
      </c>
      <c r="AO5" s="167">
        <v>5</v>
      </c>
    </row>
    <row r="6" spans="1:41" ht="24" customHeight="1">
      <c r="A6" s="240">
        <v>1</v>
      </c>
      <c r="B6" s="233">
        <f>пр.хода!H8</f>
        <v>0</v>
      </c>
      <c r="C6" s="234" t="e">
        <f>VLOOKUP(B6,пр.взв!B7:H22,2,FALSE)</f>
        <v>#N/A</v>
      </c>
      <c r="D6" s="234" t="e">
        <f>VLOOKUP(B6,пр.взв!B7:H77,3,FALSE)</f>
        <v>#N/A</v>
      </c>
      <c r="E6" s="235" t="e">
        <f>VLOOKUP(B6,пр.взв!B7:H22,4,FALSE)</f>
        <v>#N/A</v>
      </c>
      <c r="F6" s="234" t="e">
        <f>VLOOKUP(B6,пр.взв!B7:H22,5,FALSE)</f>
        <v>#N/A</v>
      </c>
      <c r="G6" s="234" t="e">
        <f>VLOOKUP(B6,пр.взв!B7:H22,6,FALSE)</f>
        <v>#N/A</v>
      </c>
      <c r="H6" s="236" t="e">
        <f>VLOOKUP(B6,пр.взв!B7:H79,7,FALSE)</f>
        <v>#N/A</v>
      </c>
      <c r="J6" s="442" t="s">
        <v>54</v>
      </c>
      <c r="K6" s="255">
        <v>1</v>
      </c>
      <c r="L6" s="82">
        <v>1</v>
      </c>
      <c r="M6" s="83" t="s">
        <v>55</v>
      </c>
      <c r="N6" s="84">
        <f>SUMIF($J$4:$J$7,J4,$K$4:$K$7)</f>
        <v>1</v>
      </c>
      <c r="O6" s="84">
        <f ca="1">SUMIF($I$8:$J$9,"алт",$K$6:$K$9)</f>
        <v>0</v>
      </c>
      <c r="P6" s="85">
        <f>SUMIF($J$10:$J$13,"Алт",$K$10:$K$13)</f>
        <v>0</v>
      </c>
      <c r="Q6" s="85">
        <f>SUMIF($J$14:$J$17,"Алт",$K$14:$K$17)</f>
        <v>0</v>
      </c>
      <c r="S6" s="82">
        <v>1</v>
      </c>
      <c r="T6" s="83" t="e">
        <f>J4</f>
        <v>#N/A</v>
      </c>
      <c r="U6" s="84">
        <f t="shared" ref="U6:U11" si="0">SUMIF($J$4:$J$7,T6,$K$4:$K$7)</f>
        <v>1</v>
      </c>
      <c r="V6" s="84">
        <f t="shared" ref="V6:V11" ca="1" si="1">SUMIF($I$8:$J$9,T6,$K$6:$K$9)</f>
        <v>1</v>
      </c>
      <c r="W6" s="85">
        <f t="shared" ref="W6:W11" si="2">SUMIF($J$10:$J$13,T6,$K$10:$K$13)</f>
        <v>2</v>
      </c>
      <c r="X6" s="85">
        <f>SUMIF($J$14:$J$17,T6,$K$14:$K$17)</f>
        <v>2</v>
      </c>
      <c r="Z6" t="e">
        <f>T6</f>
        <v>#N/A</v>
      </c>
      <c r="AB6" t="e">
        <f>Z6</f>
        <v>#N/A</v>
      </c>
      <c r="AC6" s="168">
        <v>1</v>
      </c>
      <c r="AD6" s="169" t="e">
        <f>AB6</f>
        <v>#N/A</v>
      </c>
      <c r="AE6" s="170">
        <f t="shared" ref="AE6:AE11" si="3">SUMIF($J$4:$J$7,AD6,$K$4:$K$7)</f>
        <v>1</v>
      </c>
      <c r="AF6" s="170">
        <f t="shared" ref="AF6:AF11" ca="1" si="4">SUMIF($I$8:$J$9,AD6,$K$6:$K$9)</f>
        <v>1</v>
      </c>
      <c r="AG6" s="170">
        <f t="shared" ref="AG6:AG11" si="5">SUMIF($J$10:$J$13,AD6,$K$10:$K$13)</f>
        <v>2</v>
      </c>
      <c r="AH6" s="171">
        <f t="shared" ref="AH6:AH11" si="6">SUMIF($J$14:$J$17,AD6,$K$14:$K$17)</f>
        <v>2</v>
      </c>
      <c r="AJ6" s="168">
        <v>1</v>
      </c>
      <c r="AK6" s="169" t="e">
        <f t="shared" ref="AK6:AO11" si="7">IF(AD6=0," ",AD6)</f>
        <v>#N/A</v>
      </c>
      <c r="AL6" s="170">
        <f t="shared" si="7"/>
        <v>1</v>
      </c>
      <c r="AM6" s="170">
        <f t="shared" ca="1" si="7"/>
        <v>1</v>
      </c>
      <c r="AN6" s="170">
        <f t="shared" si="7"/>
        <v>2</v>
      </c>
      <c r="AO6" s="171">
        <f t="shared" si="7"/>
        <v>2</v>
      </c>
    </row>
    <row r="7" spans="1:41" ht="24" customHeight="1">
      <c r="A7" s="241">
        <v>2</v>
      </c>
      <c r="B7" s="230" t="str">
        <f>пр.хода!H20</f>
        <v/>
      </c>
      <c r="C7" s="231" t="e">
        <f>VLOOKUP(B7,пр.взв!B1:H22,2,FALSE)</f>
        <v>#N/A</v>
      </c>
      <c r="D7" s="231" t="e">
        <f>VLOOKUP(B7,пр.взв!B1:H79,3,FALSE)</f>
        <v>#N/A</v>
      </c>
      <c r="E7" s="232" t="e">
        <f>VLOOKUP(B7,пр.взв!B1:H22,4,FALSE)</f>
        <v>#N/A</v>
      </c>
      <c r="F7" s="231" t="e">
        <f>VLOOKUP(B7,пр.взв!B1:H22,5,FALSE)</f>
        <v>#N/A</v>
      </c>
      <c r="G7" s="231" t="e">
        <f>VLOOKUP(B7,пр.взв!B1:H22,6,FALSE)</f>
        <v>#N/A</v>
      </c>
      <c r="H7" s="237" t="e">
        <f>VLOOKUP(B7,пр.взв!B1:H81,7,FALSE)</f>
        <v>#N/A</v>
      </c>
      <c r="J7" s="442"/>
      <c r="K7" s="255"/>
      <c r="L7" s="86">
        <v>2</v>
      </c>
      <c r="M7" s="83" t="s">
        <v>56</v>
      </c>
      <c r="N7" s="84">
        <f>SUMIF($J$4:$J$7,"заб",$K$4:$K$7)</f>
        <v>0</v>
      </c>
      <c r="O7" s="84">
        <f ca="1">SUMIF($I$8:$J$9,"заб",$K$6:$K$9)</f>
        <v>0</v>
      </c>
      <c r="P7" s="85">
        <f>SUMIF($J$10:$J$13,"заб",$K$10:$K$13)</f>
        <v>0</v>
      </c>
      <c r="Q7" s="85">
        <f>SUMIF($J$14:$J$17,"заб",$K$14:$K$17)</f>
        <v>0</v>
      </c>
      <c r="S7" s="86">
        <v>2</v>
      </c>
      <c r="T7" s="83" t="e">
        <f>IF(J8=J4," ",J8)</f>
        <v>#N/A</v>
      </c>
      <c r="U7" s="84">
        <f t="shared" si="0"/>
        <v>1</v>
      </c>
      <c r="V7" s="84">
        <f t="shared" ca="1" si="1"/>
        <v>1</v>
      </c>
      <c r="W7" s="85">
        <f t="shared" si="2"/>
        <v>2</v>
      </c>
      <c r="X7" s="85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172">
        <v>2</v>
      </c>
      <c r="AD7" s="173" t="e">
        <f>IF(OR(AB7=" "),AB8,AB7)</f>
        <v>#N/A</v>
      </c>
      <c r="AE7" s="174">
        <f t="shared" si="3"/>
        <v>1</v>
      </c>
      <c r="AF7" s="174">
        <f t="shared" ca="1" si="4"/>
        <v>1</v>
      </c>
      <c r="AG7" s="174">
        <f t="shared" si="5"/>
        <v>2</v>
      </c>
      <c r="AH7" s="175">
        <f t="shared" si="6"/>
        <v>2</v>
      </c>
      <c r="AJ7" s="172">
        <v>2</v>
      </c>
      <c r="AK7" s="173" t="e">
        <f t="shared" si="7"/>
        <v>#N/A</v>
      </c>
      <c r="AL7" s="174">
        <f t="shared" si="7"/>
        <v>1</v>
      </c>
      <c r="AM7" s="174">
        <f t="shared" ca="1" si="7"/>
        <v>1</v>
      </c>
      <c r="AN7" s="174">
        <f t="shared" si="7"/>
        <v>2</v>
      </c>
      <c r="AO7" s="175">
        <f t="shared" si="7"/>
        <v>2</v>
      </c>
    </row>
    <row r="8" spans="1:41" ht="24" customHeight="1">
      <c r="A8" s="241">
        <v>3</v>
      </c>
      <c r="B8" s="230">
        <f>пр.хода!E32</f>
        <v>0</v>
      </c>
      <c r="C8" s="231" t="e">
        <f>VLOOKUP(B8,пр.взв!B1:H22,2,FALSE)</f>
        <v>#N/A</v>
      </c>
      <c r="D8" s="231" t="e">
        <f>VLOOKUP(B8,пр.взв!B1:H81,3,FALSE)</f>
        <v>#N/A</v>
      </c>
      <c r="E8" s="232" t="e">
        <f>VLOOKUP(B8,пр.взв!B1:H22,4,FALSE)</f>
        <v>#N/A</v>
      </c>
      <c r="F8" s="231" t="e">
        <f>VLOOKUP(B8,пр.взв!B1:H22,5,FALSE)</f>
        <v>#N/A</v>
      </c>
      <c r="G8" s="231" t="e">
        <f>VLOOKUP(B8,пр.взв!B1:H22,6,FALSE)</f>
        <v>#N/A</v>
      </c>
      <c r="H8" s="237" t="e">
        <f>VLOOKUP(B8,пр.взв!B1:H83,7,FALSE)</f>
        <v>#N/A</v>
      </c>
      <c r="J8" s="255" t="e">
        <f>IFERROR(LEFT(F7,FIND(",",F7)-1),F7)</f>
        <v>#N/A</v>
      </c>
      <c r="K8" s="255">
        <v>1</v>
      </c>
      <c r="L8" s="87">
        <v>3</v>
      </c>
      <c r="M8" s="83" t="s">
        <v>57</v>
      </c>
      <c r="N8" s="84">
        <f>SUMIF($J$4:$J$7,"ирк",$K$4:$K$7)</f>
        <v>0</v>
      </c>
      <c r="O8" s="84">
        <f ca="1">SUMIF($I$8:$J$9,"ирк",$K$6:$K$9)</f>
        <v>0</v>
      </c>
      <c r="P8" s="85">
        <f>SUMIF($J$10:$J$13,"ирк",$K$10:$K$13)</f>
        <v>0</v>
      </c>
      <c r="Q8" s="85">
        <f>SUMIF($J$14:$J$17,"ирк",$K$14:$K$17)</f>
        <v>0</v>
      </c>
      <c r="S8" s="87">
        <v>3</v>
      </c>
      <c r="T8" s="83" t="e">
        <f>IF(OR(J10=J4,J10=J8)," ",J10)</f>
        <v>#N/A</v>
      </c>
      <c r="U8" s="84">
        <f t="shared" si="0"/>
        <v>1</v>
      </c>
      <c r="V8" s="84">
        <f t="shared" ca="1" si="1"/>
        <v>1</v>
      </c>
      <c r="W8" s="85">
        <f t="shared" si="2"/>
        <v>2</v>
      </c>
      <c r="X8" s="85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176">
        <v>3</v>
      </c>
      <c r="AD8" s="173" t="e">
        <f>IF(OR(AB8=" ",AB7=" "),AB9,AB8)</f>
        <v>#N/A</v>
      </c>
      <c r="AE8" s="174">
        <f t="shared" si="3"/>
        <v>1</v>
      </c>
      <c r="AF8" s="174">
        <f t="shared" ca="1" si="4"/>
        <v>1</v>
      </c>
      <c r="AG8" s="174">
        <f t="shared" si="5"/>
        <v>2</v>
      </c>
      <c r="AH8" s="175">
        <f t="shared" si="6"/>
        <v>2</v>
      </c>
      <c r="AJ8" s="176">
        <v>3</v>
      </c>
      <c r="AK8" s="173" t="e">
        <f t="shared" si="7"/>
        <v>#N/A</v>
      </c>
      <c r="AL8" s="174">
        <f t="shared" si="7"/>
        <v>1</v>
      </c>
      <c r="AM8" s="174">
        <f t="shared" ca="1" si="7"/>
        <v>1</v>
      </c>
      <c r="AN8" s="174">
        <f t="shared" si="7"/>
        <v>2</v>
      </c>
      <c r="AO8" s="175">
        <f t="shared" si="7"/>
        <v>2</v>
      </c>
    </row>
    <row r="9" spans="1:41" ht="24" customHeight="1">
      <c r="A9" s="241">
        <v>3</v>
      </c>
      <c r="B9" s="230">
        <f>пр.хода!Q32</f>
        <v>0</v>
      </c>
      <c r="C9" s="231" t="e">
        <f>VLOOKUP(B9,пр.взв!B1:H22,2,FALSE)</f>
        <v>#N/A</v>
      </c>
      <c r="D9" s="231" t="e">
        <f>VLOOKUP(B9,пр.взв!B1:H83,3,FALSE)</f>
        <v>#N/A</v>
      </c>
      <c r="E9" s="232" t="e">
        <f>VLOOKUP(B9,пр.взв!B1:H22,4,FALSE)</f>
        <v>#N/A</v>
      </c>
      <c r="F9" s="231" t="e">
        <f>VLOOKUP(B9,пр.взв!B1:H22,5,FALSE)</f>
        <v>#N/A</v>
      </c>
      <c r="G9" s="231" t="e">
        <f>VLOOKUP(B9,пр.взв!B1:H22,6,FALSE)</f>
        <v>#N/A</v>
      </c>
      <c r="H9" s="237" t="e">
        <f>VLOOKUP(B9,пр.взв!B1:H85,7,FALSE)</f>
        <v>#N/A</v>
      </c>
      <c r="J9" s="255"/>
      <c r="K9" s="255"/>
      <c r="L9" s="86">
        <v>4</v>
      </c>
      <c r="M9" s="83" t="s">
        <v>58</v>
      </c>
      <c r="N9" s="84">
        <f>SUMIF($J$4:$J$7,"кем",$K$4:$K$7)</f>
        <v>0</v>
      </c>
      <c r="O9" s="84">
        <f ca="1">SUMIF($I$8:$J$9,"кем",$K$6:$K$9)</f>
        <v>0</v>
      </c>
      <c r="P9" s="85">
        <f>SUMIF($J$10:$J$13,"кем",$K$10:$K$13)</f>
        <v>0</v>
      </c>
      <c r="Q9" s="85">
        <f>SUMIF($J$14:$J$17,"кем",$K$14:$K$17)</f>
        <v>0</v>
      </c>
      <c r="S9" s="86">
        <v>4</v>
      </c>
      <c r="T9" s="83" t="e">
        <f>IF(OR(J12=J4,J12=J8,J12=J10)," ",J12)</f>
        <v>#N/A</v>
      </c>
      <c r="U9" s="84">
        <f t="shared" si="0"/>
        <v>1</v>
      </c>
      <c r="V9" s="84">
        <f t="shared" ca="1" si="1"/>
        <v>1</v>
      </c>
      <c r="W9" s="85">
        <f t="shared" si="2"/>
        <v>2</v>
      </c>
      <c r="X9" s="85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172">
        <v>4</v>
      </c>
      <c r="AD9" s="173" t="e">
        <f>IF(OR(AB7=" ",AB8=" ",AB9=" "),AB10,AB9)</f>
        <v>#N/A</v>
      </c>
      <c r="AE9" s="174">
        <f t="shared" si="3"/>
        <v>1</v>
      </c>
      <c r="AF9" s="174">
        <f t="shared" ca="1" si="4"/>
        <v>1</v>
      </c>
      <c r="AG9" s="174">
        <f t="shared" si="5"/>
        <v>2</v>
      </c>
      <c r="AH9" s="175">
        <f t="shared" si="6"/>
        <v>2</v>
      </c>
      <c r="AJ9" s="172">
        <v>4</v>
      </c>
      <c r="AK9" s="173" t="e">
        <f t="shared" si="7"/>
        <v>#N/A</v>
      </c>
      <c r="AL9" s="174">
        <f t="shared" si="7"/>
        <v>1</v>
      </c>
      <c r="AM9" s="174">
        <f t="shared" ca="1" si="7"/>
        <v>1</v>
      </c>
      <c r="AN9" s="174">
        <f t="shared" si="7"/>
        <v>2</v>
      </c>
      <c r="AO9" s="175">
        <f t="shared" si="7"/>
        <v>2</v>
      </c>
    </row>
    <row r="10" spans="1:41" ht="24" customHeight="1">
      <c r="A10" s="241">
        <v>5</v>
      </c>
      <c r="B10" s="230" t="str">
        <f>пр.хода!AA25</f>
        <v xml:space="preserve"> </v>
      </c>
      <c r="C10" s="231" t="e">
        <f>VLOOKUP(B10,пр.взв!B1:H22,2,FALSE)</f>
        <v>#N/A</v>
      </c>
      <c r="D10" s="231" t="e">
        <f>VLOOKUP(B10,пр.взв!B1:H85,3,FALSE)</f>
        <v>#N/A</v>
      </c>
      <c r="E10" s="232" t="e">
        <f>VLOOKUP(B10,пр.взв!B1:H22,4,FALSE)</f>
        <v>#N/A</v>
      </c>
      <c r="F10" s="231" t="e">
        <f>VLOOKUP(B10,пр.взв!B1:H22,5,FALSE)</f>
        <v>#N/A</v>
      </c>
      <c r="G10" s="231" t="e">
        <f>VLOOKUP(B10,пр.взв!B1:H22,6,FALSE)</f>
        <v>#N/A</v>
      </c>
      <c r="H10" s="237" t="e">
        <f>VLOOKUP(B10,пр.взв!B1:H87,7,FALSE)</f>
        <v>#N/A</v>
      </c>
      <c r="J10" s="255" t="e">
        <f>IFERROR(LEFT(F8,FIND(",",F8)-1),F8)</f>
        <v>#N/A</v>
      </c>
      <c r="K10" s="255">
        <v>1</v>
      </c>
      <c r="L10" s="87">
        <v>5</v>
      </c>
      <c r="M10" s="83" t="s">
        <v>59</v>
      </c>
      <c r="N10" s="84">
        <f>SUMIF($J$4:$J$7,"кра",$K$4:$K$7)</f>
        <v>0</v>
      </c>
      <c r="O10" s="84">
        <f ca="1">SUMIF($I$8:$J$9,"кра",$K$6:$K$9)</f>
        <v>0</v>
      </c>
      <c r="P10" s="85">
        <f>SUMIF($J$10:$J$13,"кра",$K$10:$K$13)</f>
        <v>0</v>
      </c>
      <c r="Q10" s="85">
        <f>SUMIF($J$14:$J$17,"кра",$K$14:$K$17)</f>
        <v>0</v>
      </c>
      <c r="S10" s="87">
        <v>5</v>
      </c>
      <c r="T10" s="83" t="e">
        <f>IF(OR(J14=J4,J14=J8,J14=J10,J14=J12)," ",J14)</f>
        <v>#N/A</v>
      </c>
      <c r="U10" s="84">
        <f t="shared" si="0"/>
        <v>1</v>
      </c>
      <c r="V10" s="84">
        <f t="shared" ca="1" si="1"/>
        <v>1</v>
      </c>
      <c r="W10" s="85">
        <f t="shared" si="2"/>
        <v>2</v>
      </c>
      <c r="X10" s="85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176">
        <v>5</v>
      </c>
      <c r="AD10" s="173" t="e">
        <f>IF(OR(AB7=" ",AB8=" ",AB9=" ")," ",AB10)</f>
        <v>#N/A</v>
      </c>
      <c r="AE10" s="174">
        <f t="shared" si="3"/>
        <v>1</v>
      </c>
      <c r="AF10" s="174">
        <f t="shared" ca="1" si="4"/>
        <v>1</v>
      </c>
      <c r="AG10" s="174">
        <f t="shared" si="5"/>
        <v>2</v>
      </c>
      <c r="AH10" s="175">
        <f t="shared" si="6"/>
        <v>2</v>
      </c>
      <c r="AJ10" s="176">
        <v>5</v>
      </c>
      <c r="AK10" s="173" t="e">
        <f t="shared" si="7"/>
        <v>#N/A</v>
      </c>
      <c r="AL10" s="174">
        <f t="shared" si="7"/>
        <v>1</v>
      </c>
      <c r="AM10" s="174">
        <f t="shared" ca="1" si="7"/>
        <v>1</v>
      </c>
      <c r="AN10" s="174">
        <f t="shared" si="7"/>
        <v>2</v>
      </c>
      <c r="AO10" s="175">
        <f t="shared" si="7"/>
        <v>2</v>
      </c>
    </row>
    <row r="11" spans="1:41" ht="24" customHeight="1" thickBot="1">
      <c r="A11" s="241">
        <v>5</v>
      </c>
      <c r="B11" s="230" t="str">
        <f>пр.хода!AA26</f>
        <v xml:space="preserve"> </v>
      </c>
      <c r="C11" s="231" t="e">
        <f>VLOOKUP(B11,пр.взв!B1:H22,2,FALSE)</f>
        <v>#N/A</v>
      </c>
      <c r="D11" s="231" t="e">
        <f>VLOOKUP(B11,пр.взв!B1:H87,3,FALSE)</f>
        <v>#N/A</v>
      </c>
      <c r="E11" s="232" t="e">
        <f>VLOOKUP(B11,пр.взв!B1:H22,4,FALSE)</f>
        <v>#N/A</v>
      </c>
      <c r="F11" s="231" t="e">
        <f>VLOOKUP(B11,пр.взв!B1:H22,5,FALSE)</f>
        <v>#N/A</v>
      </c>
      <c r="G11" s="231" t="e">
        <f>VLOOKUP(B11,пр.взв!B1:H22,6,FALSE)</f>
        <v>#N/A</v>
      </c>
      <c r="H11" s="237" t="e">
        <f>VLOOKUP(B11,пр.взв!B1:H89,7,FALSE)</f>
        <v>#N/A</v>
      </c>
      <c r="J11" s="255"/>
      <c r="K11" s="255"/>
      <c r="L11" s="86">
        <v>6</v>
      </c>
      <c r="M11" s="83" t="s">
        <v>60</v>
      </c>
      <c r="N11" s="84">
        <f>SUMIF($J$4:$J$7,"нов",$K$4:$K$7)</f>
        <v>0</v>
      </c>
      <c r="O11" s="84">
        <f ca="1">SUMIF($I$8:$J$9,"нов",$K$6:$K$9)</f>
        <v>0</v>
      </c>
      <c r="P11" s="85">
        <f>SUMIF($J$10:$J$13,"нов",$K$10:$K$13)</f>
        <v>0</v>
      </c>
      <c r="Q11" s="85">
        <f>SUMIF($J$14:$J$17,"нов",$K$14:$K$17)</f>
        <v>0</v>
      </c>
      <c r="S11" s="86">
        <v>6</v>
      </c>
      <c r="T11" s="83" t="e">
        <f>IF(OR(J16=J4,J16=J8,J16=J10,J16=J12,J16=J14)," ",J16)</f>
        <v>#N/A</v>
      </c>
      <c r="U11" s="84">
        <f t="shared" si="0"/>
        <v>1</v>
      </c>
      <c r="V11" s="84">
        <f t="shared" ca="1" si="1"/>
        <v>1</v>
      </c>
      <c r="W11" s="85">
        <f t="shared" si="2"/>
        <v>2</v>
      </c>
      <c r="X11" s="85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177">
        <v>6</v>
      </c>
      <c r="AD11" s="178" t="e">
        <f>IF(OR(AB7=" ",AB8=" ",AB9=" ",AB10=" ")," ",AB11)</f>
        <v>#N/A</v>
      </c>
      <c r="AE11" s="179">
        <f t="shared" si="3"/>
        <v>1</v>
      </c>
      <c r="AF11" s="179">
        <f t="shared" ca="1" si="4"/>
        <v>1</v>
      </c>
      <c r="AG11" s="179">
        <f t="shared" si="5"/>
        <v>2</v>
      </c>
      <c r="AH11" s="180">
        <f t="shared" si="6"/>
        <v>2</v>
      </c>
      <c r="AJ11" s="177">
        <v>6</v>
      </c>
      <c r="AK11" s="178" t="e">
        <f t="shared" si="7"/>
        <v>#N/A</v>
      </c>
      <c r="AL11" s="179">
        <f t="shared" si="7"/>
        <v>1</v>
      </c>
      <c r="AM11" s="179">
        <f t="shared" ca="1" si="7"/>
        <v>1</v>
      </c>
      <c r="AN11" s="179">
        <f t="shared" si="7"/>
        <v>2</v>
      </c>
      <c r="AO11" s="180">
        <f t="shared" si="7"/>
        <v>2</v>
      </c>
    </row>
    <row r="12" spans="1:41" ht="24" customHeight="1" thickBot="1">
      <c r="A12" s="242" t="s">
        <v>43</v>
      </c>
      <c r="B12" s="230" t="str">
        <f>пр.хода!AA27</f>
        <v xml:space="preserve"> </v>
      </c>
      <c r="C12" s="231" t="e">
        <f>VLOOKUP(B12,пр.взв!B1:H22,2,FALSE)</f>
        <v>#N/A</v>
      </c>
      <c r="D12" s="231" t="e">
        <f>VLOOKUP(B12,пр.взв!B1:H89,3,FALSE)</f>
        <v>#N/A</v>
      </c>
      <c r="E12" s="232" t="e">
        <f>VLOOKUP(B12,пр.взв!B1:H22,4,FALSE)</f>
        <v>#N/A</v>
      </c>
      <c r="F12" s="231" t="e">
        <f>VLOOKUP(B12,пр.взв!B1:H22,5,FALSE)</f>
        <v>#N/A</v>
      </c>
      <c r="G12" s="231" t="e">
        <f>VLOOKUP(B12,пр.взв!B1:H22,6,FALSE)</f>
        <v>#N/A</v>
      </c>
      <c r="H12" s="237" t="e">
        <f>VLOOKUP(B12,пр.взв!B1:H91,7,FALSE)</f>
        <v>#N/A</v>
      </c>
      <c r="J12" s="255" t="e">
        <f>IFERROR(LEFT(F9,FIND(",",F9)-1),F9)</f>
        <v>#N/A</v>
      </c>
      <c r="K12" s="255">
        <v>1</v>
      </c>
      <c r="L12" s="87">
        <v>7</v>
      </c>
      <c r="M12" s="83" t="s">
        <v>61</v>
      </c>
      <c r="N12" s="84">
        <f>SUMIF($J$4:$J$7,"омс",$K$4:$K$7)</f>
        <v>0</v>
      </c>
      <c r="O12" s="84">
        <f ca="1">SUMIF($I$8:$J$9,"омс",$K$6:$K$9)</f>
        <v>0</v>
      </c>
      <c r="P12" s="85">
        <f>SUMIF($J$10:$J$13,"омс",$K$10:$K$13)</f>
        <v>0</v>
      </c>
      <c r="Q12" s="85">
        <f>SUMIF($J$14:$J$17,"омс",$K$14:$K$17)</f>
        <v>0</v>
      </c>
      <c r="S12" s="88"/>
      <c r="T12" s="83" t="str">
        <f>IF(OR(J15=J7,J15=J11,J15=J13)," ",J15)</f>
        <v xml:space="preserve"> </v>
      </c>
      <c r="U12" s="89"/>
      <c r="V12" s="89"/>
      <c r="W12" s="90"/>
      <c r="X12" s="90"/>
      <c r="AC12" s="95"/>
      <c r="AD12" s="96"/>
      <c r="AE12" s="181">
        <f>SUM(AE6:AE11)</f>
        <v>6</v>
      </c>
      <c r="AF12" s="181">
        <f ca="1">SUM(AF6:AF11)</f>
        <v>6</v>
      </c>
      <c r="AG12" s="181">
        <f>SUM(AG6:AG11)</f>
        <v>12</v>
      </c>
      <c r="AH12" s="181">
        <f>SUM(AH6:AH11)</f>
        <v>12</v>
      </c>
      <c r="AJ12" s="95"/>
      <c r="AK12" s="96"/>
      <c r="AL12" s="181">
        <f>SUM(AL6:AL11)</f>
        <v>6</v>
      </c>
      <c r="AM12" s="181">
        <f ca="1">SUM(AM6:AM11)</f>
        <v>6</v>
      </c>
      <c r="AN12" s="181">
        <f>SUM(AN6:AN11)</f>
        <v>12</v>
      </c>
      <c r="AO12" s="181">
        <f>SUM(AO6:AO11)</f>
        <v>12</v>
      </c>
    </row>
    <row r="13" spans="1:41" ht="24" customHeight="1">
      <c r="A13" s="242" t="s">
        <v>43</v>
      </c>
      <c r="B13" s="230" t="str">
        <f>пр.хода!AA28</f>
        <v xml:space="preserve"> </v>
      </c>
      <c r="C13" s="231" t="e">
        <f>VLOOKUP(B13,пр.взв!B2:H22,2,FALSE)</f>
        <v>#N/A</v>
      </c>
      <c r="D13" s="231" t="e">
        <f>VLOOKUP(B13,пр.взв!B2:H91,3,FALSE)</f>
        <v>#N/A</v>
      </c>
      <c r="E13" s="232" t="e">
        <f>VLOOKUP(B13,пр.взв!B2:H22,4,FALSE)</f>
        <v>#N/A</v>
      </c>
      <c r="F13" s="231" t="e">
        <f>VLOOKUP(B13,пр.взв!B2:H22,5,FALSE)</f>
        <v>#N/A</v>
      </c>
      <c r="G13" s="231" t="e">
        <f>VLOOKUP(B13,пр.взв!B2:H22,6,FALSE)</f>
        <v>#N/A</v>
      </c>
      <c r="H13" s="237" t="e">
        <f>VLOOKUP(B13,пр.взв!B2:H93,7,FALSE)</f>
        <v>#N/A</v>
      </c>
      <c r="J13" s="255"/>
      <c r="K13" s="255"/>
      <c r="L13" s="86">
        <v>8</v>
      </c>
      <c r="M13" s="83" t="s">
        <v>62</v>
      </c>
      <c r="N13" s="84">
        <f>SUMIF($J$4:$J$7,"р.а",$K$4:$K$7)</f>
        <v>0</v>
      </c>
      <c r="O13" s="84">
        <f ca="1">SUMIF($I$8:$J$9,"р.а",$K$6:$K$9)</f>
        <v>0</v>
      </c>
      <c r="P13" s="85">
        <f>SUMIF($J$10:$J$13,"р.а",$K$10:$K$13)</f>
        <v>0</v>
      </c>
      <c r="Q13" s="85">
        <f>SUMIF($J$14:$J$17,"р.а",$K$14:$K$17)</f>
        <v>0</v>
      </c>
      <c r="S13" s="91"/>
      <c r="T13" s="92" t="e">
        <f>IF(OR(J16=J8,J16=J12,J16=J14)," ",J16)</f>
        <v>#N/A</v>
      </c>
      <c r="U13" s="89"/>
      <c r="V13" s="89"/>
      <c r="W13" s="90"/>
      <c r="X13" s="90"/>
    </row>
    <row r="14" spans="1:41" ht="24" customHeight="1">
      <c r="A14" s="242" t="s">
        <v>50</v>
      </c>
      <c r="B14" s="230" t="str">
        <f>пр.хода!Z25</f>
        <v xml:space="preserve"> </v>
      </c>
      <c r="C14" s="231" t="e">
        <f>VLOOKUP(B14,пр.взв!B2:H22,2,FALSE)</f>
        <v>#N/A</v>
      </c>
      <c r="D14" s="231" t="e">
        <f>VLOOKUP(B14,пр.взв!B2:H93,3,FALSE)</f>
        <v>#N/A</v>
      </c>
      <c r="E14" s="232" t="e">
        <f>VLOOKUP(B14,пр.взв!B2:H22,4,FALSE)</f>
        <v>#N/A</v>
      </c>
      <c r="F14" s="231" t="e">
        <f>VLOOKUP(B14,пр.взв!B2:H22,5,FALSE)</f>
        <v>#N/A</v>
      </c>
      <c r="G14" s="231" t="e">
        <f>VLOOKUP(B14,пр.взв!B2:H22,6,FALSE)</f>
        <v>#N/A</v>
      </c>
      <c r="H14" s="237" t="e">
        <f>VLOOKUP(B14,пр.взв!B2:H95,7,FALSE)</f>
        <v>#N/A</v>
      </c>
      <c r="J14" s="255" t="e">
        <f>IFERROR(LEFT(F10,FIND(",",F10)-1),F10)</f>
        <v>#N/A</v>
      </c>
      <c r="K14" s="255">
        <v>1</v>
      </c>
      <c r="L14" s="87">
        <v>9</v>
      </c>
      <c r="M14" s="83" t="s">
        <v>63</v>
      </c>
      <c r="N14" s="84">
        <f>SUMIF($J$4:$J$7,"р.б",$K$4:$K$7)</f>
        <v>0</v>
      </c>
      <c r="O14" s="84">
        <f ca="1">SUMIF($I$8:$J$9,"р.б",$K$6:$K$9)</f>
        <v>0</v>
      </c>
      <c r="P14" s="85">
        <f>SUMIF($J$10:$J$13,"р.б",$K$10:$K$13)</f>
        <v>0</v>
      </c>
      <c r="Q14" s="85">
        <f>SUMIF($J$14:$J$17,"р.б",$K$14:$K$17)</f>
        <v>0</v>
      </c>
      <c r="S14" s="88"/>
      <c r="T14" s="92"/>
      <c r="U14" s="89"/>
      <c r="V14" s="89"/>
      <c r="W14" s="90"/>
      <c r="X14" s="90"/>
    </row>
    <row r="15" spans="1:41" ht="24" customHeight="1">
      <c r="A15" s="242" t="s">
        <v>50</v>
      </c>
      <c r="B15" s="230" t="str">
        <f>пр.хода!Z26</f>
        <v xml:space="preserve"> </v>
      </c>
      <c r="C15" s="231" t="e">
        <f>VLOOKUP(B15,пр.взв!B2:H22,2,FALSE)</f>
        <v>#N/A</v>
      </c>
      <c r="D15" s="231" t="e">
        <f>VLOOKUP(B15,пр.взв!B2:H95,3,FALSE)</f>
        <v>#N/A</v>
      </c>
      <c r="E15" s="232" t="e">
        <f>VLOOKUP(B15,пр.взв!B2:H22,4,FALSE)</f>
        <v>#N/A</v>
      </c>
      <c r="F15" s="231" t="e">
        <f>VLOOKUP(B15,пр.взв!B2:H22,5,FALSE)</f>
        <v>#N/A</v>
      </c>
      <c r="G15" s="231" t="e">
        <f>VLOOKUP(B15,пр.взв!B2:H22,6,FALSE)</f>
        <v>#N/A</v>
      </c>
      <c r="H15" s="237" t="e">
        <f>VLOOKUP(B15,пр.взв!B2:H97,7,FALSE)</f>
        <v>#N/A</v>
      </c>
      <c r="J15" s="255"/>
      <c r="K15" s="255"/>
      <c r="L15" s="86">
        <v>10</v>
      </c>
      <c r="M15" s="83" t="s">
        <v>64</v>
      </c>
      <c r="N15" s="84">
        <f>SUMIF($J$4:$J$7,"р.х",$K$4:$K$7)</f>
        <v>0</v>
      </c>
      <c r="O15" s="84">
        <f ca="1">SUMIF($I$8:$J$9,"р.х",$K$6:$K$9)</f>
        <v>0</v>
      </c>
      <c r="P15" s="85">
        <f>SUMIF($J$10:$J$13,"р.х",$K$10:$K$13)</f>
        <v>0</v>
      </c>
      <c r="Q15" s="85">
        <f>SUMIF($J$14:$J$17,"р.х",$K$14:$K$17)</f>
        <v>0</v>
      </c>
      <c r="S15" s="91"/>
      <c r="T15" s="92"/>
      <c r="U15" s="89"/>
      <c r="V15" s="89"/>
      <c r="W15" s="90"/>
      <c r="X15" s="90"/>
    </row>
    <row r="16" spans="1:41" ht="24" customHeight="1">
      <c r="A16" s="242" t="s">
        <v>50</v>
      </c>
      <c r="B16" s="230" t="str">
        <f>пр.хода!Z27</f>
        <v xml:space="preserve"> </v>
      </c>
      <c r="C16" s="231" t="e">
        <f>VLOOKUP(B16,пр.взв!B2:H22,2,FALSE)</f>
        <v>#N/A</v>
      </c>
      <c r="D16" s="231" t="e">
        <f>VLOOKUP(B16,пр.взв!B2:H97,3,FALSE)</f>
        <v>#N/A</v>
      </c>
      <c r="E16" s="232" t="e">
        <f>VLOOKUP(B16,пр.взв!B2:H22,4,FALSE)</f>
        <v>#N/A</v>
      </c>
      <c r="F16" s="231" t="e">
        <f>VLOOKUP(B16,пр.взв!B2:H22,5,FALSE)</f>
        <v>#N/A</v>
      </c>
      <c r="G16" s="231" t="e">
        <f>VLOOKUP(B16,пр.взв!B2:H22,6,FALSE)</f>
        <v>#N/A</v>
      </c>
      <c r="H16" s="237" t="e">
        <f>VLOOKUP(B16,пр.взв!B2:H99,7,FALSE)</f>
        <v>#N/A</v>
      </c>
      <c r="J16" s="255" t="e">
        <f>IFERROR(LEFT(F11,FIND(",",F11)-1),F11)</f>
        <v>#N/A</v>
      </c>
      <c r="K16" s="255">
        <v>1</v>
      </c>
      <c r="L16" s="87">
        <v>11</v>
      </c>
      <c r="M16" s="93" t="s">
        <v>65</v>
      </c>
      <c r="N16" s="84">
        <f>SUMIF($J$4:$J$7,"том",$K$4:$K$7)</f>
        <v>0</v>
      </c>
      <c r="O16" s="84">
        <f ca="1">SUMIF($I$8:$J$9,"том",$K$6:$K$9)</f>
        <v>0</v>
      </c>
      <c r="P16" s="85">
        <f>SUMIF($J$10:$J$13,"том",$K$10:$K$13)</f>
        <v>0</v>
      </c>
      <c r="Q16" s="85">
        <f>SUMIF($J$14:$J$17,"том",$K$14:$K$17)</f>
        <v>0</v>
      </c>
      <c r="S16" s="88"/>
      <c r="T16" s="94"/>
      <c r="U16" s="89"/>
      <c r="V16" s="89"/>
      <c r="W16" s="90"/>
      <c r="X16" s="90"/>
    </row>
    <row r="17" spans="1:24" ht="24" customHeight="1" thickBot="1">
      <c r="A17" s="242" t="s">
        <v>50</v>
      </c>
      <c r="B17" s="230" t="str">
        <f>пр.хода!Z28</f>
        <v xml:space="preserve"> </v>
      </c>
      <c r="C17" s="231" t="e">
        <f>VLOOKUP(B17,пр.взв!B2:H22,2,FALSE)</f>
        <v>#N/A</v>
      </c>
      <c r="D17" s="231" t="e">
        <f>VLOOKUP(B17,пр.взв!B2:H99,3,FALSE)</f>
        <v>#N/A</v>
      </c>
      <c r="E17" s="232" t="e">
        <f>VLOOKUP(B17,пр.взв!B2:H22,4,FALSE)</f>
        <v>#N/A</v>
      </c>
      <c r="F17" s="231" t="e">
        <f>VLOOKUP(B17,пр.взв!B2:H22,5,FALSE)</f>
        <v>#N/A</v>
      </c>
      <c r="G17" s="231" t="e">
        <f>VLOOKUP(B17,пр.взв!B2:H22,6,FALSE)</f>
        <v>#N/A</v>
      </c>
      <c r="H17" s="237" t="e">
        <f>VLOOKUP(B17,пр.взв!B2:H101,7,FALSE)</f>
        <v>#N/A</v>
      </c>
      <c r="J17" s="255"/>
      <c r="K17" s="255"/>
      <c r="L17" s="86">
        <v>12</v>
      </c>
      <c r="M17" s="93" t="s">
        <v>68</v>
      </c>
      <c r="N17" s="84">
        <f>SUMIF($J$4:$J$7,"Мос",$K$4:$K$7)</f>
        <v>0</v>
      </c>
      <c r="O17" s="84">
        <f ca="1">SUMIF($I$8:$J$9,"Мос",$K$6:$K$9)</f>
        <v>0</v>
      </c>
      <c r="P17" s="85">
        <f>SUMIF($J$10:$J$13,"Мос",$K$10:$K$13)</f>
        <v>0</v>
      </c>
      <c r="Q17" s="85">
        <f>SUMIF($J$14:$J$17,"Мос",$K$14:$K$17)</f>
        <v>0</v>
      </c>
      <c r="S17" s="91"/>
      <c r="T17" s="94"/>
      <c r="U17" s="89"/>
      <c r="V17" s="89"/>
      <c r="W17" s="90"/>
      <c r="X17" s="90"/>
    </row>
    <row r="18" spans="1:24" ht="24" customHeight="1" thickBot="1">
      <c r="A18" s="242" t="s">
        <v>51</v>
      </c>
      <c r="B18" s="230">
        <f>пр.хода!Z29</f>
        <v>1</v>
      </c>
      <c r="C18" s="231" t="str">
        <f>VLOOKUP(B18,пр.взв!B3:H22,2,FALSE)</f>
        <v>ОСИПЕНКО Артем Иванович</v>
      </c>
      <c r="D18" s="231" t="str">
        <f>VLOOKUP(B18,пр.взв!B3:H101,3,FALSE)</f>
        <v>27.05.88, ЗМС</v>
      </c>
      <c r="E18" s="232" t="str">
        <f>VLOOKUP(B18,пр.взв!B3:H22,4,FALSE)</f>
        <v>ЦФО</v>
      </c>
      <c r="F18" s="231" t="str">
        <f>VLOOKUP(B18,пр.взв!B3:H22,5,FALSE)</f>
        <v>Брянская, Брянск, Д</v>
      </c>
      <c r="G18" s="231">
        <f>VLOOKUP(B18,пр.взв!B3:H22,6,FALSE)</f>
        <v>0</v>
      </c>
      <c r="H18" s="237" t="str">
        <f>VLOOKUP(B18,пр.взв!B3:H103,7,FALSE)</f>
        <v>Портнов С.В. Зубов Р.П.</v>
      </c>
      <c r="L18" s="95"/>
      <c r="M18" s="96"/>
      <c r="N18" s="97">
        <f>SUM(N6:N17)</f>
        <v>1</v>
      </c>
      <c r="O18" s="97">
        <f ca="1">SUM(O6:O17)</f>
        <v>0</v>
      </c>
      <c r="P18" s="97">
        <f>SUM(P6:P17)</f>
        <v>0</v>
      </c>
      <c r="Q18" s="97">
        <f>SUM(Q6:Q17)</f>
        <v>0</v>
      </c>
      <c r="S18" s="95"/>
      <c r="T18" s="96"/>
      <c r="U18" s="97">
        <f>SUM(U6:U17)</f>
        <v>6</v>
      </c>
      <c r="V18" s="97">
        <f ca="1">SUM(V6:V17)</f>
        <v>6</v>
      </c>
      <c r="W18" s="97">
        <f>SUM(W6:W17)</f>
        <v>12</v>
      </c>
      <c r="X18" s="97">
        <f>SUM(X6:X17)</f>
        <v>12</v>
      </c>
    </row>
    <row r="19" spans="1:24" ht="24" customHeight="1">
      <c r="A19" s="242" t="s">
        <v>51</v>
      </c>
      <c r="B19" s="230">
        <f>пр.хода!Z30</f>
        <v>10</v>
      </c>
      <c r="C19" s="231" t="e">
        <f>VLOOKUP(B19,пр.взв!B3:H22,2,FALSE)</f>
        <v>#N/A</v>
      </c>
      <c r="D19" s="231" t="e">
        <f>VLOOKUP(B19,пр.взв!B3:H103,3,FALSE)</f>
        <v>#N/A</v>
      </c>
      <c r="E19" s="232" t="e">
        <f>VLOOKUP(B19,пр.взв!B3:H22,4,FALSE)</f>
        <v>#N/A</v>
      </c>
      <c r="F19" s="231" t="e">
        <f>VLOOKUP(B19,пр.взв!B3:H22,5,FALSE)</f>
        <v>#N/A</v>
      </c>
      <c r="G19" s="231" t="e">
        <f>VLOOKUP(B19,пр.взв!B3:H22,6,FALSE)</f>
        <v>#N/A</v>
      </c>
      <c r="H19" s="237" t="e">
        <f>VLOOKUP(B19,пр.взв!B3:H105,7,FALSE)</f>
        <v>#N/A</v>
      </c>
    </row>
    <row r="20" spans="1:24" ht="24" customHeight="1">
      <c r="A20" s="242" t="s">
        <v>51</v>
      </c>
      <c r="B20" s="230">
        <f>пр.хода!Z31</f>
        <v>11</v>
      </c>
      <c r="C20" s="231" t="e">
        <f>VLOOKUP(B20,пр.взв!B3:H22,2,FALSE)</f>
        <v>#N/A</v>
      </c>
      <c r="D20" s="231" t="e">
        <f>VLOOKUP(B20,пр.взв!B3:H105,3,FALSE)</f>
        <v>#N/A</v>
      </c>
      <c r="E20" s="232" t="e">
        <f>VLOOKUP(B20,пр.взв!B3:H22,4,FALSE)</f>
        <v>#N/A</v>
      </c>
      <c r="F20" s="231" t="e">
        <f>VLOOKUP(B20,пр.взв!B3:H22,5,FALSE)</f>
        <v>#N/A</v>
      </c>
      <c r="G20" s="231" t="e">
        <f>VLOOKUP(B20,пр.взв!B3:H22,6,FALSE)</f>
        <v>#N/A</v>
      </c>
      <c r="H20" s="237" t="e">
        <f>VLOOKUP(B20,пр.взв!B3:H107,7,FALSE)</f>
        <v>#N/A</v>
      </c>
    </row>
    <row r="21" spans="1:24" ht="24" customHeight="1" thickBot="1">
      <c r="A21" s="243" t="s">
        <v>51</v>
      </c>
      <c r="B21" s="238">
        <f>пр.хода!Z32</f>
        <v>12</v>
      </c>
      <c r="C21" s="228" t="e">
        <f>VLOOKUP(B21,пр.взв!B3:H22,2,FALSE)</f>
        <v>#N/A</v>
      </c>
      <c r="D21" s="228" t="e">
        <f>VLOOKUP(B21,пр.взв!B3:H107,3,FALSE)</f>
        <v>#N/A</v>
      </c>
      <c r="E21" s="239" t="e">
        <f>VLOOKUP(B21,пр.взв!B3:H22,4,FALSE)</f>
        <v>#N/A</v>
      </c>
      <c r="F21" s="228" t="e">
        <f>VLOOKUP(B21,пр.взв!B3:H22,5,FALSE)</f>
        <v>#N/A</v>
      </c>
      <c r="G21" s="228" t="e">
        <f>VLOOKUP(B21,пр.взв!B3:H22,6,FALSE)</f>
        <v>#N/A</v>
      </c>
      <c r="H21" s="229" t="e">
        <f>VLOOKUP(B21,пр.взв!B3:H109,7,FALSE)</f>
        <v>#N/A</v>
      </c>
    </row>
    <row r="22" spans="1:24" ht="12.75" customHeight="1"/>
    <row r="24" spans="1:24" ht="12.75" customHeight="1">
      <c r="A24" s="54" t="str">
        <f>пр.хода!A38</f>
        <v>Гл. судья, судья ВК</v>
      </c>
      <c r="B24" s="55"/>
      <c r="C24" s="55"/>
      <c r="D24" s="3"/>
      <c r="E24" s="3"/>
      <c r="F24" s="3"/>
      <c r="G24" s="56" t="str">
        <f>пр.хода!J38</f>
        <v>А.Д.Валиуллов</v>
      </c>
    </row>
    <row r="25" spans="1:24" ht="15">
      <c r="A25" s="55"/>
      <c r="B25" s="55"/>
      <c r="C25" s="55"/>
      <c r="D25" s="3"/>
      <c r="E25" s="3"/>
      <c r="F25" s="3"/>
      <c r="G25" s="72" t="str">
        <f>пр.хода!N38</f>
        <v>/Татарстан/</v>
      </c>
    </row>
    <row r="26" spans="1:24" ht="12.75" customHeight="1">
      <c r="A26" s="55"/>
      <c r="B26" s="55"/>
      <c r="C26" s="55"/>
      <c r="D26" s="3"/>
      <c r="E26" s="3"/>
      <c r="F26" s="3"/>
      <c r="G26" s="3"/>
    </row>
    <row r="27" spans="1:24" ht="15.6">
      <c r="A27" s="54" t="str">
        <f>пр.хода!A40</f>
        <v>Гл. секретарь, судья ВК</v>
      </c>
      <c r="B27" s="55"/>
      <c r="C27" s="55"/>
      <c r="D27" s="3"/>
      <c r="E27" s="3"/>
      <c r="F27" s="3"/>
      <c r="G27" s="73" t="str">
        <f>пр.хода!J40</f>
        <v>В.И.Рожков</v>
      </c>
    </row>
    <row r="28" spans="1:24" ht="12.75" customHeight="1">
      <c r="A28" s="55"/>
      <c r="B28" s="55"/>
      <c r="C28" s="55"/>
      <c r="D28" s="3"/>
      <c r="E28" s="3"/>
      <c r="F28" s="3"/>
      <c r="G28" s="182" t="str">
        <f>пр.хода!N40</f>
        <v>/Саратовская/</v>
      </c>
      <c r="H28" s="3"/>
    </row>
    <row r="30" spans="1:24" ht="12.75" customHeight="1"/>
    <row r="32" spans="1:24" ht="12.75" customHeight="1"/>
    <row r="34" ht="12.75" customHeight="1"/>
  </sheetData>
  <mergeCells count="39"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J8:J9"/>
    <mergeCell ref="K8:K9"/>
    <mergeCell ref="J10:J11"/>
    <mergeCell ref="K10:K11"/>
    <mergeCell ref="J6:J7"/>
    <mergeCell ref="K6:K7"/>
    <mergeCell ref="J12:J13"/>
    <mergeCell ref="K12:K13"/>
    <mergeCell ref="J14:J15"/>
    <mergeCell ref="K14:K15"/>
    <mergeCell ref="J16:J17"/>
    <mergeCell ref="K16:K17"/>
    <mergeCell ref="N4:Q4"/>
    <mergeCell ref="S4:S5"/>
    <mergeCell ref="T4:T5"/>
    <mergeCell ref="U4:X4"/>
    <mergeCell ref="J4:J5"/>
    <mergeCell ref="K4:K5"/>
    <mergeCell ref="L4:L5"/>
    <mergeCell ref="M4:M5"/>
    <mergeCell ref="AL4:AO4"/>
    <mergeCell ref="T2:X2"/>
    <mergeCell ref="AC4:AC5"/>
    <mergeCell ref="AD4:AD5"/>
    <mergeCell ref="AE4:AH4"/>
    <mergeCell ref="AJ4:AJ5"/>
    <mergeCell ref="AK4:AK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3.2"/>
  <cols>
    <col min="1" max="1" width="4.6640625" customWidth="1"/>
    <col min="2" max="2" width="15.5546875" customWidth="1"/>
    <col min="3" max="3" width="8.33203125" customWidth="1"/>
    <col min="5" max="5" width="4.6640625" customWidth="1"/>
    <col min="6" max="6" width="16.109375" customWidth="1"/>
    <col min="7" max="7" width="4.6640625" customWidth="1"/>
    <col min="8" max="8" width="14.5546875" customWidth="1"/>
    <col min="9" max="9" width="4.6640625" customWidth="1"/>
    <col min="11" max="11" width="7.6640625" customWidth="1"/>
    <col min="12" max="12" width="7.33203125" customWidth="1"/>
    <col min="13" max="13" width="4.6640625" customWidth="1"/>
    <col min="15" max="15" width="4.6640625" customWidth="1"/>
    <col min="17" max="17" width="4.6640625" customWidth="1"/>
    <col min="19" max="19" width="7.33203125" customWidth="1"/>
    <col min="20" max="20" width="12.88671875" customWidth="1"/>
    <col min="21" max="21" width="4.6640625" customWidth="1"/>
  </cols>
  <sheetData>
    <row r="1" spans="1:19" ht="33" customHeight="1">
      <c r="A1" s="476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39"/>
      <c r="M1" s="39"/>
      <c r="N1" s="39"/>
      <c r="O1" s="39"/>
      <c r="P1" s="39"/>
    </row>
    <row r="2" spans="1:19" ht="12.75" customHeight="1">
      <c r="A2" s="477" t="str">
        <f>пр.взв!A3</f>
        <v>26-29.08.2022г.                                              г.Казань</v>
      </c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0"/>
      <c r="M2" s="40"/>
      <c r="N2" s="40"/>
      <c r="O2" s="40"/>
      <c r="P2" s="40"/>
      <c r="S2" s="7"/>
    </row>
    <row r="3" spans="1:19" ht="15.6">
      <c r="A3" s="41"/>
      <c r="B3" s="41"/>
      <c r="C3" s="41"/>
      <c r="D3" s="41"/>
      <c r="E3" s="41"/>
      <c r="F3" s="57" t="str">
        <f>HYPERLINK(пр.взв!D4)</f>
        <v>В.к. 98+ кг.</v>
      </c>
      <c r="G3" s="41"/>
      <c r="H3" s="41"/>
      <c r="I3" s="41"/>
      <c r="J3" s="41"/>
      <c r="K3" s="41"/>
      <c r="L3" s="41"/>
    </row>
    <row r="4" spans="1:19" ht="16.2" thickBot="1">
      <c r="A4" s="478" t="s">
        <v>0</v>
      </c>
      <c r="B4" s="478"/>
      <c r="C4" s="3"/>
    </row>
    <row r="5" spans="1:19" ht="12.75" customHeight="1" thickBot="1">
      <c r="A5" s="475">
        <v>1</v>
      </c>
      <c r="B5" s="461" t="str">
        <f>VLOOKUP(A5,пр.взв!B5:C22,2,FALSE)</f>
        <v>ОСИПЕНКО Артем Иванович</v>
      </c>
      <c r="C5" s="473" t="str">
        <f>VLOOKUP(A5,пр.взв!B5:F22,3,FALSE)</f>
        <v>27.05.88, ЗМС</v>
      </c>
      <c r="D5" s="461" t="str">
        <f>VLOOKUP(A5,пр.взв!B5:F22,4,FALSE)</f>
        <v>ЦФО</v>
      </c>
      <c r="E5" s="9"/>
      <c r="F5" s="10"/>
      <c r="G5" s="10"/>
      <c r="H5" s="10"/>
      <c r="I5" s="10"/>
      <c r="J5" s="10"/>
      <c r="K5" s="78"/>
      <c r="L5" s="10"/>
      <c r="M5" s="11"/>
    </row>
    <row r="6" spans="1:19" ht="12.75" customHeight="1">
      <c r="A6" s="463"/>
      <c r="B6" s="472"/>
      <c r="C6" s="474"/>
      <c r="D6" s="472"/>
      <c r="E6" s="76"/>
      <c r="F6" s="12"/>
      <c r="G6" s="12"/>
      <c r="H6" s="10"/>
      <c r="I6" s="10"/>
      <c r="J6" s="10"/>
      <c r="K6" s="10"/>
      <c r="L6" s="10"/>
      <c r="M6" s="11"/>
    </row>
    <row r="7" spans="1:19" ht="12.75" customHeight="1" thickBot="1">
      <c r="A7" s="463">
        <v>9</v>
      </c>
      <c r="B7" s="466" t="str">
        <f>VLOOKUP(A7,пр.взв!B7:C22,2,FALSE)</f>
        <v xml:space="preserve">АКОПЯН  Вардкез  Овакимович </v>
      </c>
      <c r="C7" s="468" t="str">
        <f>VLOOKUP(A7,пр.взв!B5:F22,3,FALSE)</f>
        <v>19.01.99, МСМК</v>
      </c>
      <c r="D7" s="462" t="str">
        <f>VLOOKUP(A7,пр.взв!B1:G22,5,FALSE)</f>
        <v>Адыгея, Майкоп , ВС</v>
      </c>
      <c r="E7" s="77"/>
      <c r="F7" s="16"/>
      <c r="G7" s="12"/>
      <c r="H7" s="10"/>
      <c r="I7" s="10"/>
      <c r="J7" s="10"/>
      <c r="K7" s="10"/>
      <c r="L7" s="10"/>
      <c r="M7" s="11"/>
    </row>
    <row r="8" spans="1:19" ht="12.75" customHeight="1" thickBot="1">
      <c r="A8" s="464"/>
      <c r="B8" s="467"/>
      <c r="C8" s="469"/>
      <c r="D8" s="467"/>
      <c r="E8" s="14"/>
      <c r="F8" s="17"/>
      <c r="G8" s="15"/>
      <c r="H8" s="10"/>
      <c r="I8" s="10"/>
      <c r="J8" s="38"/>
      <c r="K8" s="38"/>
      <c r="L8" s="38"/>
      <c r="M8" s="11"/>
    </row>
    <row r="9" spans="1:19" ht="12.75" customHeight="1" thickBot="1">
      <c r="A9" s="475">
        <v>5</v>
      </c>
      <c r="B9" s="461" t="str">
        <f>VLOOKUP(A9,пр.взв!B9:C22,2,FALSE)</f>
        <v xml:space="preserve">ДАВУДОВ  Вацилов Гаджиясулович </v>
      </c>
      <c r="C9" s="473" t="str">
        <f>VLOOKUP(A9,пр.взв!B5:E22,3,FALSE)</f>
        <v>29.03.95, МС</v>
      </c>
      <c r="D9" s="461" t="str">
        <f>VLOOKUP(A9,пр.взв!B3:G22,5,FALSE)</f>
        <v>Дагестан, Махачкала, МС</v>
      </c>
      <c r="E9" s="9"/>
      <c r="F9" s="17"/>
      <c r="G9" s="13"/>
      <c r="H9" s="22"/>
      <c r="I9" s="10"/>
      <c r="J9" s="38"/>
      <c r="K9" s="38"/>
      <c r="L9" s="38"/>
      <c r="M9" s="11"/>
    </row>
    <row r="10" spans="1:19" ht="12.75" customHeight="1">
      <c r="A10" s="463"/>
      <c r="B10" s="472"/>
      <c r="C10" s="474"/>
      <c r="D10" s="472"/>
      <c r="E10" s="76"/>
      <c r="F10" s="20"/>
      <c r="G10" s="12"/>
      <c r="H10" s="21"/>
      <c r="I10" s="10"/>
      <c r="J10" s="10"/>
      <c r="K10" s="10"/>
      <c r="L10" s="10"/>
      <c r="M10" s="11"/>
    </row>
    <row r="11" spans="1:19" ht="12.75" customHeight="1" thickBot="1">
      <c r="A11" s="463">
        <v>13</v>
      </c>
      <c r="B11" s="466" t="e">
        <f>VLOOKUP(A11,пр.взв!B5:C22,2,FALSE)</f>
        <v>#N/A</v>
      </c>
      <c r="C11" s="468" t="e">
        <f>VLOOKUP(A11,пр.взв!B5:E22,3,FALSE)</f>
        <v>#N/A</v>
      </c>
      <c r="D11" s="462" t="e">
        <f>VLOOKUP(A11,пр.взв!B5:G22,5,FALSE)</f>
        <v>#N/A</v>
      </c>
      <c r="E11" s="77"/>
      <c r="F11" s="12"/>
      <c r="G11" s="12"/>
      <c r="H11" s="21"/>
      <c r="I11" s="24"/>
      <c r="J11" s="25"/>
      <c r="K11" s="25"/>
      <c r="L11" s="10"/>
      <c r="M11" s="11"/>
    </row>
    <row r="12" spans="1:19" ht="12.75" customHeight="1" thickBot="1">
      <c r="A12" s="464"/>
      <c r="B12" s="467"/>
      <c r="C12" s="469"/>
      <c r="D12" s="467"/>
      <c r="E12" s="14"/>
      <c r="F12" s="471"/>
      <c r="G12" s="471"/>
      <c r="H12" s="21"/>
      <c r="I12" s="15"/>
      <c r="J12" s="10"/>
      <c r="K12" s="10"/>
      <c r="L12" s="10"/>
    </row>
    <row r="13" spans="1:19" ht="12.75" customHeight="1" thickBot="1">
      <c r="A13" s="475">
        <v>3</v>
      </c>
      <c r="B13" s="461" t="str">
        <f>VLOOKUP(A13,пр.взв!B5:C22,2,FALSE)</f>
        <v>ПОЗНАХИРКО Глеб Игоревич</v>
      </c>
      <c r="C13" s="473" t="str">
        <f>VLOOKUP(A13,пр.взв!B5:E22,3,FALSE)</f>
        <v>20.04.99, МСМК</v>
      </c>
      <c r="D13" s="461" t="str">
        <f>VLOOKUP(A13,пр.взв!B7:G22,5,FALSE)</f>
        <v>Свердловская, Верхняя Пышма, Д</v>
      </c>
      <c r="E13" s="9"/>
      <c r="F13" s="12"/>
      <c r="G13" s="12"/>
      <c r="H13" s="21"/>
      <c r="I13" s="13"/>
      <c r="J13" s="37"/>
      <c r="K13" s="22"/>
      <c r="L13" s="10"/>
    </row>
    <row r="14" spans="1:19" ht="12.75" customHeight="1">
      <c r="A14" s="463"/>
      <c r="B14" s="472"/>
      <c r="C14" s="474"/>
      <c r="D14" s="472"/>
      <c r="E14" s="76"/>
      <c r="F14" s="12"/>
      <c r="G14" s="12"/>
      <c r="H14" s="21"/>
      <c r="I14" s="10"/>
      <c r="J14" s="10"/>
      <c r="K14" s="21"/>
      <c r="L14" s="10"/>
      <c r="M14" s="11"/>
    </row>
    <row r="15" spans="1:19" ht="12.75" customHeight="1" thickBot="1">
      <c r="A15" s="463">
        <v>11</v>
      </c>
      <c r="B15" s="466" t="e">
        <f>VLOOKUP(A15,пр.взв!B15:C22,2,FALSE)</f>
        <v>#N/A</v>
      </c>
      <c r="C15" s="468" t="e">
        <f>VLOOKUP(A15,пр.взв!B5:E22,3,FALSE)</f>
        <v>#N/A</v>
      </c>
      <c r="D15" s="462" t="e">
        <f>VLOOKUP(A15,пр.взв!B9:G22,5,FALSE)</f>
        <v>#N/A</v>
      </c>
      <c r="E15" s="77"/>
      <c r="F15" s="16"/>
      <c r="G15" s="12"/>
      <c r="H15" s="21"/>
      <c r="I15" s="10"/>
      <c r="J15" s="10"/>
      <c r="K15" s="21"/>
      <c r="L15" s="10"/>
      <c r="M15" s="11"/>
    </row>
    <row r="16" spans="1:19" ht="12.75" customHeight="1" thickBot="1">
      <c r="A16" s="464"/>
      <c r="B16" s="467"/>
      <c r="C16" s="469"/>
      <c r="D16" s="467"/>
      <c r="E16" s="14"/>
      <c r="F16" s="17"/>
      <c r="G16" s="15"/>
      <c r="H16" s="23"/>
      <c r="I16" s="10"/>
      <c r="J16" s="10"/>
      <c r="K16" s="21"/>
      <c r="L16" s="10"/>
      <c r="M16" s="11"/>
    </row>
    <row r="17" spans="1:13" ht="12.75" customHeight="1" thickBot="1">
      <c r="A17" s="475">
        <v>7</v>
      </c>
      <c r="B17" s="461" t="str">
        <f>VLOOKUP(A17,пр.взв!B9:C22,2,FALSE)</f>
        <v>ШАВОЛИН Иван Алексеевич</v>
      </c>
      <c r="C17" s="473" t="str">
        <f>VLOOKUP(A17,пр.взв!B5:E22,3,FALSE)</f>
        <v>29.09.01, МС</v>
      </c>
      <c r="D17" s="461" t="str">
        <f>VLOOKUP(A17,пр.взв!B11:G22,5,FALSE)</f>
        <v>Кемеровская, Новокузнецк</v>
      </c>
      <c r="E17" s="9"/>
      <c r="F17" s="18"/>
      <c r="G17" s="13"/>
      <c r="H17" s="8"/>
      <c r="I17" s="8"/>
      <c r="J17" s="8"/>
      <c r="K17" s="36"/>
      <c r="L17" s="8"/>
      <c r="M17" s="11"/>
    </row>
    <row r="18" spans="1:13" ht="12.75" customHeight="1">
      <c r="A18" s="463"/>
      <c r="B18" s="472"/>
      <c r="C18" s="474"/>
      <c r="D18" s="472"/>
      <c r="E18" s="76"/>
      <c r="F18" s="19"/>
      <c r="G18" s="14"/>
      <c r="H18" s="10"/>
      <c r="I18" s="10"/>
      <c r="J18" s="10"/>
      <c r="K18" s="21"/>
      <c r="L18" s="10"/>
      <c r="M18" s="11"/>
    </row>
    <row r="19" spans="1:13" ht="12.75" customHeight="1" thickBot="1">
      <c r="A19" s="463">
        <v>15</v>
      </c>
      <c r="B19" s="466" t="e">
        <f>VLOOKUP(A19,пр.взв!B19:C22,2,FALSE)</f>
        <v>#N/A</v>
      </c>
      <c r="C19" s="468" t="e">
        <f>VLOOKUP(A19,пр.взв!B5:E22,3,FALSE)</f>
        <v>#N/A</v>
      </c>
      <c r="D19" s="462" t="e">
        <f>VLOOKUP(A19,пр.взв!B13:G22,5,FALSE)</f>
        <v>#N/A</v>
      </c>
      <c r="E19" s="77"/>
      <c r="F19" s="14"/>
      <c r="G19" s="14"/>
      <c r="H19" s="10"/>
      <c r="I19" s="10"/>
      <c r="J19" s="10"/>
      <c r="K19" s="21"/>
      <c r="L19" s="10"/>
      <c r="M19" s="11"/>
    </row>
    <row r="20" spans="1:13" ht="12.75" customHeight="1" thickBot="1">
      <c r="A20" s="464"/>
      <c r="B20" s="467"/>
      <c r="C20" s="469"/>
      <c r="D20" s="467"/>
      <c r="E20" s="14"/>
      <c r="F20" s="9"/>
      <c r="G20" s="9"/>
      <c r="H20" s="10"/>
      <c r="I20" s="10"/>
      <c r="J20" s="10"/>
      <c r="K20" s="21"/>
      <c r="L20" s="10"/>
      <c r="M20" s="10"/>
    </row>
    <row r="21" spans="1:13" ht="16.2" thickBot="1">
      <c r="A21" s="35" t="s">
        <v>1</v>
      </c>
      <c r="C21" s="5"/>
      <c r="K21" s="15"/>
      <c r="M21" s="6"/>
    </row>
    <row r="22" spans="1:13" ht="16.2" thickBot="1">
      <c r="A22" s="475">
        <v>2</v>
      </c>
      <c r="B22" s="461" t="str">
        <f>VLOOKUP(A22,пр.взв!B7:E22,2,FALSE)</f>
        <v>БРАЧЕВ Антон Анатольевич</v>
      </c>
      <c r="C22" s="473" t="str">
        <f>VLOOKUP(A22,пр.взв!B7:E22,3,FALSE)</f>
        <v>10.12.90, МС</v>
      </c>
      <c r="D22" s="461" t="str">
        <f>пр.взв!F9</f>
        <v>Свердловская, Верхняя Пышма, Д</v>
      </c>
      <c r="E22" s="9"/>
      <c r="F22" s="10"/>
      <c r="G22" s="10"/>
      <c r="H22" s="10"/>
      <c r="I22" s="10"/>
      <c r="K22" s="13"/>
    </row>
    <row r="23" spans="1:13" ht="15.6">
      <c r="A23" s="463"/>
      <c r="B23" s="472"/>
      <c r="C23" s="474"/>
      <c r="D23" s="462"/>
      <c r="E23" s="76"/>
      <c r="F23" s="12"/>
      <c r="G23" s="12"/>
      <c r="H23" s="10"/>
      <c r="I23" s="10"/>
      <c r="K23" s="27"/>
    </row>
    <row r="24" spans="1:13" ht="16.2" thickBot="1">
      <c r="A24" s="463">
        <v>10</v>
      </c>
      <c r="B24" s="466" t="e">
        <f>VLOOKUP(A24,пр.взв!B7:E22,2,FALSE)</f>
        <v>#N/A</v>
      </c>
      <c r="C24" s="468" t="e">
        <f>VLOOKUP(A24,пр.взв!B7:E22,3,FALSE)</f>
        <v>#N/A</v>
      </c>
      <c r="D24" s="462" t="e">
        <f>VLOOKUP(A24,пр.взв!B8:G22,5,FALSE)</f>
        <v>#N/A</v>
      </c>
      <c r="E24" s="77"/>
      <c r="F24" s="16"/>
      <c r="G24" s="12"/>
      <c r="H24" s="10"/>
      <c r="I24" s="10"/>
      <c r="K24" s="27"/>
    </row>
    <row r="25" spans="1:13" ht="16.2" thickBot="1">
      <c r="A25" s="464"/>
      <c r="B25" s="467"/>
      <c r="C25" s="469"/>
      <c r="D25" s="470"/>
      <c r="E25" s="14"/>
      <c r="F25" s="17"/>
      <c r="G25" s="15"/>
      <c r="H25" s="10"/>
      <c r="I25" s="10"/>
      <c r="K25" s="27"/>
    </row>
    <row r="26" spans="1:13" ht="16.2" thickBot="1">
      <c r="A26" s="475">
        <v>6</v>
      </c>
      <c r="B26" s="461" t="str">
        <f>VLOOKUP(A26,пр.взв!B7:E22,2,FALSE)</f>
        <v>СААКЯН Паруйр Рубикович</v>
      </c>
      <c r="C26" s="473" t="str">
        <f>VLOOKUP(A26,пр.взв!B7:E22,3,FALSE)</f>
        <v>24.07.94, МС</v>
      </c>
      <c r="D26" s="461" t="str">
        <f>VLOOKUP(A26,пр.взв!B2:G22,5,FALSE)</f>
        <v>Красноярский, Красноярск</v>
      </c>
      <c r="E26" s="9"/>
      <c r="F26" s="17"/>
      <c r="G26" s="13"/>
      <c r="H26" s="22"/>
      <c r="I26" s="10"/>
      <c r="K26" s="27"/>
    </row>
    <row r="27" spans="1:13" ht="15.6">
      <c r="A27" s="463"/>
      <c r="B27" s="472"/>
      <c r="C27" s="474"/>
      <c r="D27" s="462"/>
      <c r="E27" s="76"/>
      <c r="F27" s="20"/>
      <c r="G27" s="12"/>
      <c r="H27" s="21"/>
      <c r="I27" s="10"/>
      <c r="K27" s="27"/>
    </row>
    <row r="28" spans="1:13" ht="16.2" thickBot="1">
      <c r="A28" s="463">
        <v>14</v>
      </c>
      <c r="B28" s="466" t="e">
        <f>VLOOKUP(A28,пр.взв!B7:E22,2,FALSE)</f>
        <v>#N/A</v>
      </c>
      <c r="C28" s="468" t="e">
        <f>VLOOKUP(A28,пр.взв!B7:E22,3,FALSE)</f>
        <v>#N/A</v>
      </c>
      <c r="D28" s="462" t="e">
        <f>VLOOKUP(A28,пр.взв!B4:G22,5,FALSE)</f>
        <v>#N/A</v>
      </c>
      <c r="E28" s="77"/>
      <c r="F28" s="12"/>
      <c r="G28" s="12"/>
      <c r="H28" s="21"/>
      <c r="I28" s="24"/>
      <c r="K28" s="27"/>
    </row>
    <row r="29" spans="1:13" ht="16.2" thickBot="1">
      <c r="A29" s="464"/>
      <c r="B29" s="467"/>
      <c r="C29" s="469"/>
      <c r="D29" s="470"/>
      <c r="E29" s="14"/>
      <c r="F29" s="471"/>
      <c r="G29" s="471"/>
      <c r="H29" s="21"/>
      <c r="I29" s="15"/>
      <c r="J29" s="2"/>
      <c r="K29" s="26"/>
    </row>
    <row r="30" spans="1:13" ht="16.2" thickBot="1">
      <c r="A30" s="475">
        <v>4</v>
      </c>
      <c r="B30" s="461" t="str">
        <f>VLOOKUP(A30,пр.взв!B7:E22,2,FALSE)</f>
        <v xml:space="preserve">КУЧУМОВ Александр  Николаевич </v>
      </c>
      <c r="C30" s="473" t="str">
        <f>VLOOKUP(A30,пр.взв!B7:E22,3,FALSE)</f>
        <v>06.11.90, МСМК</v>
      </c>
      <c r="D30" s="461" t="str">
        <f>VLOOKUP(A30,пр.взв!B6:G22,5,FALSE)</f>
        <v>Москва, Москва, Д</v>
      </c>
      <c r="E30" s="9"/>
      <c r="F30" s="12"/>
      <c r="G30" s="12"/>
      <c r="H30" s="21"/>
      <c r="I30" s="13"/>
    </row>
    <row r="31" spans="1:13" ht="15.6">
      <c r="A31" s="463"/>
      <c r="B31" s="472"/>
      <c r="C31" s="474"/>
      <c r="D31" s="462"/>
      <c r="E31" s="76"/>
      <c r="F31" s="12"/>
      <c r="G31" s="12"/>
      <c r="H31" s="21"/>
      <c r="I31" s="10"/>
    </row>
    <row r="32" spans="1:13" ht="16.2" thickBot="1">
      <c r="A32" s="463">
        <v>12</v>
      </c>
      <c r="B32" s="466" t="e">
        <f>VLOOKUP(A32,пр.взв!B7:E22,2,FALSE)</f>
        <v>#N/A</v>
      </c>
      <c r="C32" s="468" t="e">
        <f>VLOOKUP(A32,пр.взв!B7:E22,3,FALSE)</f>
        <v>#N/A</v>
      </c>
      <c r="D32" s="462" t="e">
        <f>VLOOKUP(A32,пр.взв!B8:G22,5,FALSE)</f>
        <v>#N/A</v>
      </c>
      <c r="E32" s="77"/>
      <c r="F32" s="16"/>
      <c r="G32" s="12"/>
      <c r="H32" s="21"/>
      <c r="I32" s="10"/>
    </row>
    <row r="33" spans="1:11" ht="16.2" thickBot="1">
      <c r="A33" s="464"/>
      <c r="B33" s="467"/>
      <c r="C33" s="469"/>
      <c r="D33" s="470"/>
      <c r="E33" s="14"/>
      <c r="F33" s="17"/>
      <c r="G33" s="15"/>
      <c r="H33" s="23"/>
      <c r="I33" s="10"/>
    </row>
    <row r="34" spans="1:11" ht="16.2" thickBot="1">
      <c r="A34" s="475">
        <v>8</v>
      </c>
      <c r="B34" s="461" t="str">
        <f>VLOOKUP(A34,пр.взв!B7:E22,2,FALSE)</f>
        <v>МИНАКОВ Дмитрий Викторович</v>
      </c>
      <c r="C34" s="473" t="str">
        <f>VLOOKUP(A34,пр.взв!B7:E22,3,FALSE)</f>
        <v>14.09.87, МСМК</v>
      </c>
      <c r="D34" s="461" t="str">
        <f>VLOOKUP(A34,пр.взв!B10:G22,5,FALSE)</f>
        <v>Брянская, Брянск, Д</v>
      </c>
      <c r="E34" s="9"/>
      <c r="F34" s="18"/>
      <c r="G34" s="13"/>
      <c r="H34" s="8"/>
      <c r="I34" s="8"/>
    </row>
    <row r="35" spans="1:11" ht="15.6">
      <c r="A35" s="463"/>
      <c r="B35" s="472"/>
      <c r="C35" s="474"/>
      <c r="D35" s="462"/>
      <c r="E35" s="76"/>
      <c r="F35" s="19"/>
      <c r="G35" s="14"/>
      <c r="H35" s="10"/>
      <c r="I35" s="10"/>
    </row>
    <row r="36" spans="1:11" ht="16.2" thickBot="1">
      <c r="A36" s="463">
        <v>16</v>
      </c>
      <c r="B36" s="466" t="e">
        <f>VLOOKUP(A36,пр.взв!B7:E22,2,FALSE)</f>
        <v>#N/A</v>
      </c>
      <c r="C36" s="468" t="e">
        <f>VLOOKUP(A36,пр.взв!B7:E22,3,FALSE)</f>
        <v>#N/A</v>
      </c>
      <c r="D36" s="462" t="e">
        <f>VLOOKUP(A36,пр.взв!B12:G22,5,FALSE)</f>
        <v>#N/A</v>
      </c>
      <c r="E36" s="77"/>
      <c r="F36" s="14"/>
      <c r="G36" s="14"/>
      <c r="H36" s="10"/>
      <c r="I36" s="10"/>
    </row>
    <row r="37" spans="1:11" ht="16.2" thickBot="1">
      <c r="A37" s="464"/>
      <c r="B37" s="467"/>
      <c r="C37" s="469"/>
      <c r="D37" s="470"/>
      <c r="E37" s="14"/>
      <c r="F37" s="9"/>
      <c r="G37" s="9"/>
      <c r="H37" s="10"/>
      <c r="I37" s="10"/>
    </row>
    <row r="38" spans="1:11" ht="8.25" customHeight="1"/>
    <row r="39" spans="1:11">
      <c r="B39" s="28"/>
      <c r="C39" s="29"/>
      <c r="D39" s="465" t="s">
        <v>2</v>
      </c>
      <c r="E39" s="28"/>
      <c r="F39" s="28"/>
      <c r="G39" s="28"/>
      <c r="H39" s="28"/>
      <c r="I39" s="28"/>
    </row>
    <row r="40" spans="1:11" ht="12" customHeight="1">
      <c r="B40" s="52"/>
      <c r="C40" s="28"/>
      <c r="D40" s="465"/>
      <c r="E40" s="28"/>
      <c r="F40" s="28"/>
      <c r="G40" s="28"/>
      <c r="H40" s="28"/>
      <c r="I40" s="28"/>
    </row>
    <row r="41" spans="1:11" ht="12" customHeight="1">
      <c r="B41" s="28"/>
      <c r="C41" s="28"/>
      <c r="E41" s="28"/>
      <c r="F41" s="28"/>
      <c r="G41" s="28"/>
      <c r="H41" s="28"/>
      <c r="I41" s="28"/>
      <c r="J41" s="28"/>
    </row>
    <row r="42" spans="1:11" ht="12" customHeight="1">
      <c r="B42" s="28"/>
      <c r="C42" s="28"/>
      <c r="E42" s="4"/>
      <c r="F42" s="32"/>
      <c r="G42" s="28"/>
      <c r="H42" s="28"/>
      <c r="I42" s="28"/>
      <c r="J42" s="28"/>
      <c r="K42" s="28"/>
    </row>
    <row r="43" spans="1:11" ht="12" customHeight="1">
      <c r="B43" s="28"/>
      <c r="C43" s="28"/>
      <c r="E43" s="2"/>
      <c r="F43" s="31"/>
      <c r="G43" s="30"/>
      <c r="H43" s="32"/>
      <c r="I43" s="28"/>
      <c r="J43" s="28"/>
      <c r="K43" s="28"/>
    </row>
    <row r="44" spans="1:11" ht="12" customHeight="1">
      <c r="B44" s="52"/>
      <c r="C44" s="28"/>
      <c r="F44" s="28"/>
      <c r="G44" s="28"/>
      <c r="H44" s="34"/>
      <c r="I44" s="28"/>
      <c r="J44" s="28"/>
      <c r="K44" s="28"/>
    </row>
    <row r="45" spans="1:11" ht="12" customHeight="1" thickBot="1">
      <c r="B45" s="28"/>
      <c r="C45" s="28"/>
      <c r="F45" s="28"/>
      <c r="G45" s="28"/>
      <c r="H45" s="34"/>
      <c r="I45" s="30"/>
      <c r="J45" s="32"/>
      <c r="K45" s="28"/>
    </row>
    <row r="46" spans="1:11" ht="12" customHeight="1">
      <c r="B46" s="28"/>
      <c r="C46" s="28"/>
      <c r="E46" s="4"/>
      <c r="F46" s="32"/>
      <c r="G46" s="33"/>
      <c r="H46" s="31"/>
      <c r="I46" s="28"/>
      <c r="J46" s="34"/>
      <c r="K46" s="15"/>
    </row>
    <row r="47" spans="1:11" ht="12" customHeight="1" thickBot="1">
      <c r="B47" s="28"/>
      <c r="C47" s="28"/>
      <c r="E47" s="2"/>
      <c r="F47" s="31"/>
      <c r="G47" s="28"/>
      <c r="H47" s="28"/>
      <c r="I47" s="28"/>
      <c r="J47" s="34"/>
      <c r="K47" s="13"/>
    </row>
    <row r="48" spans="1:11" ht="12" customHeight="1">
      <c r="B48" s="28"/>
      <c r="C48" s="28"/>
      <c r="D48" s="465" t="s">
        <v>3</v>
      </c>
      <c r="F48" s="28"/>
      <c r="G48" s="28"/>
      <c r="H48" s="28"/>
      <c r="I48" s="33"/>
      <c r="J48" s="31"/>
      <c r="K48" s="28"/>
    </row>
    <row r="49" spans="2:12" ht="12" customHeight="1">
      <c r="B49" s="52"/>
      <c r="C49" s="28"/>
      <c r="D49" s="465"/>
      <c r="F49" s="28"/>
      <c r="G49" s="28"/>
      <c r="H49" s="28"/>
      <c r="I49" s="28"/>
      <c r="J49" s="28"/>
    </row>
    <row r="50" spans="2:12" ht="15.75" customHeight="1">
      <c r="B50" s="28"/>
      <c r="C50" s="28"/>
      <c r="F50" s="28"/>
      <c r="G50" s="28"/>
      <c r="H50" s="28"/>
      <c r="I50" s="28"/>
      <c r="J50" s="28"/>
      <c r="K50" s="28"/>
      <c r="L50" s="9"/>
    </row>
    <row r="51" spans="2:12" ht="15.75" customHeight="1">
      <c r="B51" s="28"/>
      <c r="C51" s="28"/>
      <c r="E51" s="4"/>
      <c r="F51" s="32"/>
      <c r="G51" s="28"/>
      <c r="H51" s="28"/>
      <c r="I51" s="28"/>
      <c r="J51" s="28"/>
      <c r="K51" s="28"/>
      <c r="L51" s="14"/>
    </row>
    <row r="52" spans="2:12" ht="12" customHeight="1">
      <c r="B52" s="28"/>
      <c r="C52" s="28"/>
      <c r="E52" s="2"/>
      <c r="F52" s="31"/>
      <c r="G52" s="30"/>
      <c r="H52" s="32"/>
      <c r="I52" s="28"/>
      <c r="J52" s="28"/>
      <c r="K52" s="28"/>
    </row>
    <row r="53" spans="2:12" ht="12" customHeight="1">
      <c r="B53" s="52"/>
      <c r="C53" s="28"/>
      <c r="D53" s="28"/>
      <c r="F53" s="28"/>
      <c r="G53" s="28"/>
      <c r="H53" s="34"/>
      <c r="I53" s="28"/>
      <c r="J53" s="28"/>
      <c r="K53" s="28"/>
    </row>
    <row r="54" spans="2:12" ht="12" customHeight="1" thickBot="1">
      <c r="B54" s="28"/>
      <c r="C54" s="28"/>
      <c r="F54" s="28"/>
      <c r="G54" s="28"/>
      <c r="H54" s="34"/>
      <c r="I54" s="30"/>
      <c r="J54" s="32"/>
      <c r="K54" s="28"/>
    </row>
    <row r="55" spans="2:12" ht="12" customHeight="1">
      <c r="B55" s="28"/>
      <c r="C55" s="28"/>
      <c r="E55" s="4"/>
      <c r="F55" s="32"/>
      <c r="G55" s="33"/>
      <c r="H55" s="31"/>
      <c r="I55" s="28"/>
      <c r="J55" s="34"/>
      <c r="K55" s="15"/>
    </row>
    <row r="56" spans="2:12" ht="12" customHeight="1" thickBot="1">
      <c r="B56" s="28"/>
      <c r="C56" s="28"/>
      <c r="E56" s="2"/>
      <c r="F56" s="31"/>
      <c r="G56" s="28"/>
      <c r="H56" s="28"/>
      <c r="I56" s="28"/>
      <c r="J56" s="34"/>
      <c r="K56" s="13"/>
    </row>
    <row r="57" spans="2:12" ht="15.6">
      <c r="B57" s="28"/>
      <c r="C57" s="28"/>
      <c r="F57" s="28"/>
      <c r="G57" s="28"/>
      <c r="H57" s="28"/>
      <c r="I57" s="33"/>
      <c r="J57" s="31"/>
      <c r="K57" s="9"/>
    </row>
    <row r="58" spans="2:12" ht="15.6">
      <c r="I58" s="14"/>
    </row>
    <row r="59" spans="2:12">
      <c r="I59" s="28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5"/>
  </sheetPr>
  <dimension ref="A1:J44"/>
  <sheetViews>
    <sheetView workbookViewId="0">
      <selection activeCell="L10" sqref="L10"/>
    </sheetView>
  </sheetViews>
  <sheetFormatPr defaultRowHeight="13.2"/>
  <cols>
    <col min="2" max="2" width="11.6640625" customWidth="1"/>
    <col min="3" max="3" width="10.44140625" customWidth="1"/>
    <col min="8" max="8" width="15.44140625" customWidth="1"/>
  </cols>
  <sheetData>
    <row r="1" spans="1:10" ht="32.25" customHeight="1" thickBot="1">
      <c r="A1" s="497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98"/>
      <c r="C1" s="498"/>
      <c r="D1" s="498"/>
      <c r="E1" s="498"/>
      <c r="F1" s="498"/>
      <c r="G1" s="498"/>
      <c r="H1" s="499"/>
    </row>
    <row r="2" spans="1:10">
      <c r="A2" s="500" t="str">
        <f>пр.взв!A3</f>
        <v>26-29.08.2022г.                                              г.Казань</v>
      </c>
      <c r="B2" s="500"/>
      <c r="C2" s="500"/>
      <c r="D2" s="500"/>
      <c r="E2" s="500"/>
      <c r="F2" s="500"/>
      <c r="G2" s="500"/>
      <c r="H2" s="500"/>
    </row>
    <row r="3" spans="1:10" ht="18" thickBot="1">
      <c r="A3" s="501" t="s">
        <v>27</v>
      </c>
      <c r="B3" s="501"/>
      <c r="C3" s="501"/>
      <c r="D3" s="501"/>
      <c r="E3" s="501"/>
      <c r="F3" s="501"/>
      <c r="G3" s="501"/>
      <c r="H3" s="501"/>
    </row>
    <row r="4" spans="1:10" ht="18" thickBot="1">
      <c r="B4" s="60"/>
      <c r="C4" s="61"/>
      <c r="D4" s="502" t="str">
        <f>HYPERLINK(пр.взв!D4)</f>
        <v>В.к. 98+ кг.</v>
      </c>
      <c r="E4" s="503"/>
      <c r="F4" s="504"/>
      <c r="G4" s="61"/>
      <c r="H4" s="61"/>
    </row>
    <row r="5" spans="1:10" ht="18" thickBot="1">
      <c r="A5" s="61"/>
      <c r="B5" s="61"/>
      <c r="C5" s="61"/>
      <c r="D5" s="61"/>
      <c r="E5" s="61"/>
      <c r="F5" s="61"/>
      <c r="G5" s="61"/>
      <c r="H5" s="61"/>
    </row>
    <row r="6" spans="1:10" ht="17.399999999999999">
      <c r="A6" s="505" t="s">
        <v>28</v>
      </c>
      <c r="B6" s="488" t="e">
        <f>VLOOKUP(J6,пр.взв!B7:G22,2,FALSE)</f>
        <v>#N/A</v>
      </c>
      <c r="C6" s="488"/>
      <c r="D6" s="488"/>
      <c r="E6" s="488"/>
      <c r="F6" s="488"/>
      <c r="G6" s="488"/>
      <c r="H6" s="490" t="e">
        <f>VLOOKUP(J6,пр.взв!B7:G22,3,FALSE)</f>
        <v>#N/A</v>
      </c>
      <c r="I6" s="61"/>
      <c r="J6" s="59">
        <f>пр.хода!H8</f>
        <v>0</v>
      </c>
    </row>
    <row r="7" spans="1:10" ht="17.399999999999999">
      <c r="A7" s="506"/>
      <c r="B7" s="489"/>
      <c r="C7" s="489"/>
      <c r="D7" s="489"/>
      <c r="E7" s="489"/>
      <c r="F7" s="489"/>
      <c r="G7" s="489"/>
      <c r="H7" s="491"/>
      <c r="I7" s="61"/>
      <c r="J7" s="59"/>
    </row>
    <row r="8" spans="1:10" ht="17.399999999999999">
      <c r="A8" s="506"/>
      <c r="B8" s="495" t="e">
        <f>VLOOKUP(J6,пр.взв!B7:G22,4,FALSE)</f>
        <v>#N/A</v>
      </c>
      <c r="C8" s="495"/>
      <c r="D8" s="495" t="e">
        <f>VLOOKUP(J6,пр.взв!B7:G22,5,FALSE)</f>
        <v>#N/A</v>
      </c>
      <c r="E8" s="495"/>
      <c r="F8" s="495"/>
      <c r="G8" s="495"/>
      <c r="H8" s="496"/>
      <c r="I8" s="61"/>
      <c r="J8" s="59"/>
    </row>
    <row r="9" spans="1:10" ht="18" thickBot="1">
      <c r="A9" s="507"/>
      <c r="B9" s="483"/>
      <c r="C9" s="483"/>
      <c r="D9" s="483"/>
      <c r="E9" s="483"/>
      <c r="F9" s="483"/>
      <c r="G9" s="483"/>
      <c r="H9" s="484"/>
      <c r="I9" s="61"/>
      <c r="J9" s="59"/>
    </row>
    <row r="10" spans="1:10" ht="18" thickBot="1">
      <c r="A10" s="61"/>
      <c r="B10" s="61"/>
      <c r="C10" s="61"/>
      <c r="D10" s="61"/>
      <c r="E10" s="61"/>
      <c r="F10" s="61"/>
      <c r="G10" s="61"/>
      <c r="H10" s="61"/>
      <c r="I10" s="61"/>
      <c r="J10" s="59"/>
    </row>
    <row r="11" spans="1:10" ht="18" customHeight="1">
      <c r="A11" s="492" t="s">
        <v>29</v>
      </c>
      <c r="B11" s="488" t="e">
        <f>VLOOKUP(J11,пр.взв!B2:G22,2,FALSE)</f>
        <v>#N/A</v>
      </c>
      <c r="C11" s="488"/>
      <c r="D11" s="488"/>
      <c r="E11" s="488"/>
      <c r="F11" s="488"/>
      <c r="G11" s="488"/>
      <c r="H11" s="490" t="e">
        <f>VLOOKUP(J11,пр.взв!B2:G22,3,FALSE)</f>
        <v>#N/A</v>
      </c>
      <c r="I11" s="61"/>
      <c r="J11" s="59" t="str">
        <f>пр.хода!H20</f>
        <v/>
      </c>
    </row>
    <row r="12" spans="1:10" ht="18" customHeight="1">
      <c r="A12" s="493"/>
      <c r="B12" s="489"/>
      <c r="C12" s="489"/>
      <c r="D12" s="489"/>
      <c r="E12" s="489"/>
      <c r="F12" s="489"/>
      <c r="G12" s="489"/>
      <c r="H12" s="491"/>
      <c r="I12" s="61"/>
      <c r="J12" s="59"/>
    </row>
    <row r="13" spans="1:10" ht="17.399999999999999">
      <c r="A13" s="493"/>
      <c r="B13" s="495" t="e">
        <f>VLOOKUP(J11,пр.взв!B2:G22,4,FALSE)</f>
        <v>#N/A</v>
      </c>
      <c r="C13" s="495"/>
      <c r="D13" s="495" t="e">
        <f>VLOOKUP(J11,пр.взв!B2:G22,5,FALSE)</f>
        <v>#N/A</v>
      </c>
      <c r="E13" s="495"/>
      <c r="F13" s="495"/>
      <c r="G13" s="495"/>
      <c r="H13" s="496"/>
      <c r="I13" s="61"/>
      <c r="J13" s="59"/>
    </row>
    <row r="14" spans="1:10" ht="18" thickBot="1">
      <c r="A14" s="494"/>
      <c r="B14" s="483"/>
      <c r="C14" s="483"/>
      <c r="D14" s="483"/>
      <c r="E14" s="483"/>
      <c r="F14" s="483"/>
      <c r="G14" s="483"/>
      <c r="H14" s="484"/>
      <c r="I14" s="61"/>
      <c r="J14" s="59"/>
    </row>
    <row r="15" spans="1:10" ht="18" thickBot="1">
      <c r="A15" s="61"/>
      <c r="B15" s="61"/>
      <c r="C15" s="61"/>
      <c r="D15" s="61"/>
      <c r="E15" s="61"/>
      <c r="F15" s="61"/>
      <c r="G15" s="61"/>
      <c r="H15" s="61"/>
      <c r="I15" s="61"/>
      <c r="J15" s="59"/>
    </row>
    <row r="16" spans="1:10" ht="18" customHeight="1">
      <c r="A16" s="485" t="s">
        <v>30</v>
      </c>
      <c r="B16" s="488" t="e">
        <f>VLOOKUP(J16,пр.взв!B4:G33,2,FALSE)</f>
        <v>#N/A</v>
      </c>
      <c r="C16" s="488"/>
      <c r="D16" s="488"/>
      <c r="E16" s="488"/>
      <c r="F16" s="488"/>
      <c r="G16" s="488"/>
      <c r="H16" s="490" t="e">
        <f>VLOOKUP(J16,пр.взв!B4:G43,3,FALSE)</f>
        <v>#N/A</v>
      </c>
      <c r="I16" s="61"/>
      <c r="J16" s="59">
        <f>пр.хода!E32</f>
        <v>0</v>
      </c>
    </row>
    <row r="17" spans="1:10" ht="18" customHeight="1">
      <c r="A17" s="486"/>
      <c r="B17" s="489"/>
      <c r="C17" s="489"/>
      <c r="D17" s="489"/>
      <c r="E17" s="489"/>
      <c r="F17" s="489"/>
      <c r="G17" s="489"/>
      <c r="H17" s="491"/>
      <c r="I17" s="61"/>
      <c r="J17" s="59"/>
    </row>
    <row r="18" spans="1:10" ht="17.399999999999999">
      <c r="A18" s="486"/>
      <c r="B18" s="495" t="e">
        <f>VLOOKUP(J16,пр.взв!B7:G22,4,FALSE)</f>
        <v>#N/A</v>
      </c>
      <c r="C18" s="495"/>
      <c r="D18" s="495" t="e">
        <f>VLOOKUP(J16,пр.взв!B7:G22,5,FALSE)</f>
        <v>#N/A</v>
      </c>
      <c r="E18" s="495"/>
      <c r="F18" s="495"/>
      <c r="G18" s="495"/>
      <c r="H18" s="496"/>
      <c r="I18" s="61"/>
      <c r="J18" s="59"/>
    </row>
    <row r="19" spans="1:10" ht="18" thickBot="1">
      <c r="A19" s="487"/>
      <c r="B19" s="483"/>
      <c r="C19" s="483"/>
      <c r="D19" s="483"/>
      <c r="E19" s="483"/>
      <c r="F19" s="483"/>
      <c r="G19" s="483"/>
      <c r="H19" s="484"/>
      <c r="I19" s="61"/>
      <c r="J19" s="59"/>
    </row>
    <row r="20" spans="1:10" ht="18" thickBot="1">
      <c r="A20" s="61"/>
      <c r="B20" s="61"/>
      <c r="C20" s="61"/>
      <c r="D20" s="61"/>
      <c r="E20" s="61"/>
      <c r="F20" s="61"/>
      <c r="G20" s="61"/>
      <c r="H20" s="61"/>
      <c r="I20" s="61"/>
      <c r="J20" s="59"/>
    </row>
    <row r="21" spans="1:10" ht="18" customHeight="1">
      <c r="A21" s="485" t="s">
        <v>30</v>
      </c>
      <c r="B21" s="488" t="e">
        <f>VLOOKUP(J21,пр.взв!B2:G22,2,FALSE)</f>
        <v>#N/A</v>
      </c>
      <c r="C21" s="488"/>
      <c r="D21" s="488"/>
      <c r="E21" s="488"/>
      <c r="F21" s="488"/>
      <c r="G21" s="488"/>
      <c r="H21" s="490" t="e">
        <f>VLOOKUP(J21,пр.взв!B3:G38,3,FALSE)</f>
        <v>#N/A</v>
      </c>
      <c r="I21" s="61"/>
      <c r="J21" s="59">
        <f>пр.хода!Q32</f>
        <v>0</v>
      </c>
    </row>
    <row r="22" spans="1:10" ht="18" customHeight="1">
      <c r="A22" s="486"/>
      <c r="B22" s="489"/>
      <c r="C22" s="489"/>
      <c r="D22" s="489"/>
      <c r="E22" s="489"/>
      <c r="F22" s="489"/>
      <c r="G22" s="489"/>
      <c r="H22" s="491"/>
      <c r="I22" s="61"/>
      <c r="J22" s="59"/>
    </row>
    <row r="23" spans="1:10" ht="17.399999999999999">
      <c r="A23" s="486"/>
      <c r="B23" s="495" t="e">
        <f>VLOOKUP(J21,пр.взв!B6:G22,4,FALSE)</f>
        <v>#N/A</v>
      </c>
      <c r="C23" s="495"/>
      <c r="D23" s="495" t="e">
        <f>VLOOKUP(J21,пр.взв!B6:G22,5,FALSE)</f>
        <v>#N/A</v>
      </c>
      <c r="E23" s="495"/>
      <c r="F23" s="495"/>
      <c r="G23" s="495"/>
      <c r="H23" s="496"/>
      <c r="I23" s="61"/>
    </row>
    <row r="24" spans="1:10" ht="18" thickBot="1">
      <c r="A24" s="487"/>
      <c r="B24" s="483"/>
      <c r="C24" s="483"/>
      <c r="D24" s="483"/>
      <c r="E24" s="483"/>
      <c r="F24" s="483"/>
      <c r="G24" s="483"/>
      <c r="H24" s="484"/>
      <c r="I24" s="61"/>
    </row>
    <row r="25" spans="1:10" ht="17.399999999999999">
      <c r="A25" s="61"/>
      <c r="B25" s="61"/>
      <c r="C25" s="61"/>
      <c r="D25" s="61"/>
      <c r="E25" s="61"/>
      <c r="F25" s="61"/>
      <c r="G25" s="61"/>
      <c r="H25" s="61"/>
    </row>
    <row r="26" spans="1:10" ht="17.399999999999999">
      <c r="A26" s="61" t="s">
        <v>45</v>
      </c>
      <c r="B26" s="61"/>
      <c r="C26" s="61"/>
      <c r="D26" s="61"/>
      <c r="E26" s="61"/>
      <c r="F26" s="61"/>
      <c r="G26" s="61"/>
      <c r="H26" s="61"/>
    </row>
    <row r="27" spans="1:10" ht="13.8" thickBot="1"/>
    <row r="28" spans="1:10">
      <c r="A28" s="479" t="e">
        <f>VLOOKUP(J28,пр.взв!B7:H22,7,FALSE)</f>
        <v>#N/A</v>
      </c>
      <c r="B28" s="480"/>
      <c r="C28" s="480"/>
      <c r="D28" s="480"/>
      <c r="E28" s="480"/>
      <c r="F28" s="480"/>
      <c r="G28" s="480"/>
      <c r="H28" s="481"/>
      <c r="J28">
        <f>пр.хода!H8</f>
        <v>0</v>
      </c>
    </row>
    <row r="29" spans="1:10" ht="13.8" thickBot="1">
      <c r="A29" s="482"/>
      <c r="B29" s="483"/>
      <c r="C29" s="483"/>
      <c r="D29" s="483"/>
      <c r="E29" s="483"/>
      <c r="F29" s="483"/>
      <c r="G29" s="483"/>
      <c r="H29" s="484"/>
    </row>
    <row r="32" spans="1:10" hidden="1"/>
    <row r="36" spans="1:8" ht="17.399999999999999">
      <c r="A36" s="61" t="s">
        <v>31</v>
      </c>
      <c r="B36" s="61"/>
      <c r="C36" s="61"/>
      <c r="D36" s="61"/>
      <c r="E36" s="61"/>
      <c r="F36" s="61"/>
      <c r="G36" s="61"/>
      <c r="H36" s="61"/>
    </row>
    <row r="37" spans="1:8" ht="17.399999999999999">
      <c r="A37" s="61"/>
      <c r="B37" s="61"/>
      <c r="C37" s="61"/>
      <c r="D37" s="61"/>
      <c r="E37" s="61"/>
      <c r="F37" s="61"/>
      <c r="G37" s="61"/>
      <c r="H37" s="61"/>
    </row>
    <row r="38" spans="1:8" ht="17.399999999999999">
      <c r="A38" s="61"/>
      <c r="B38" s="61"/>
      <c r="C38" s="61"/>
      <c r="D38" s="61"/>
      <c r="E38" s="61"/>
      <c r="F38" s="61"/>
      <c r="G38" s="61"/>
      <c r="H38" s="61"/>
    </row>
    <row r="39" spans="1:8" ht="17.399999999999999">
      <c r="A39" s="62"/>
      <c r="B39" s="62"/>
      <c r="C39" s="62"/>
      <c r="D39" s="62"/>
      <c r="E39" s="62"/>
      <c r="F39" s="62"/>
      <c r="G39" s="62"/>
      <c r="H39" s="62"/>
    </row>
    <row r="40" spans="1:8" ht="17.399999999999999">
      <c r="A40" s="61"/>
      <c r="B40" s="61"/>
      <c r="C40" s="61"/>
      <c r="D40" s="61"/>
      <c r="E40" s="61"/>
      <c r="F40" s="61"/>
      <c r="G40" s="61"/>
      <c r="H40" s="61"/>
    </row>
    <row r="41" spans="1:8" ht="17.399999999999999">
      <c r="A41" s="62"/>
      <c r="B41" s="62"/>
      <c r="C41" s="62"/>
      <c r="D41" s="62"/>
      <c r="E41" s="62"/>
      <c r="F41" s="62"/>
      <c r="G41" s="62"/>
      <c r="H41" s="62"/>
    </row>
    <row r="42" spans="1:8" ht="17.399999999999999">
      <c r="A42" s="63"/>
      <c r="B42" s="63"/>
      <c r="C42" s="63"/>
      <c r="D42" s="63"/>
      <c r="E42" s="63"/>
      <c r="F42" s="63"/>
      <c r="G42" s="63"/>
      <c r="H42" s="63"/>
    </row>
    <row r="43" spans="1:8" ht="17.399999999999999">
      <c r="A43" s="62"/>
      <c r="B43" s="62"/>
      <c r="C43" s="62"/>
      <c r="D43" s="62"/>
      <c r="E43" s="62"/>
      <c r="F43" s="62"/>
      <c r="G43" s="62"/>
      <c r="H43" s="62"/>
    </row>
    <row r="44" spans="1:8" ht="17.399999999999999">
      <c r="A44" s="63"/>
      <c r="B44" s="63"/>
      <c r="C44" s="63"/>
      <c r="D44" s="63"/>
      <c r="E44" s="63"/>
      <c r="F44" s="63"/>
      <c r="G44" s="63"/>
      <c r="H44" s="63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Валерий Рожков</cp:lastModifiedBy>
  <cp:lastPrinted>2022-08-26T15:55:08Z</cp:lastPrinted>
  <dcterms:created xsi:type="dcterms:W3CDTF">1996-10-08T23:32:33Z</dcterms:created>
  <dcterms:modified xsi:type="dcterms:W3CDTF">2022-08-26T15:55:48Z</dcterms:modified>
</cp:coreProperties>
</file>