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G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F11" i="1"/>
  <c r="J16" i="1" s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C11" i="1" l="1"/>
  <c r="D11" i="1"/>
  <c r="H11" i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<sst xmlns="http://schemas.openxmlformats.org/spreadsheetml/2006/main" count="232" uniqueCount="106">
  <si>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</si>
  <si>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</si>
  <si>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</si>
  <si>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</si>
  <si>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</si>
  <si>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</si>
  <si>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</si>
  <si>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</si>
  <si>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</si>
  <si>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</si>
  <si>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</si>
  <si>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</si>
  <si>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</si>
  <si>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</si>
  <si>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</si>
  <si>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</si>
  <si>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</si>
  <si>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</si>
  <si>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</si>
  <si>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</si>
  <si>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</si>
  <si>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</si>
  <si>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</si>
  <si>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</si>
  <si>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</si>
  <si>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</si>
  <si>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</si>
  <si>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</si>
  <si>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</si>
  <si>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</si>
  <si>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</si>
  <si>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</si>
  <si>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</si>
  <si>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</si>
  <si>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</si>
  <si>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</si>
  <si>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</si>
  <si>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</si>
  <si>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</si>
  <si>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</si>
  <si>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</si>
  <si>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</si>
  <si>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</si>
  <si>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</si>
  <si>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</si>
  <si>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</si>
  <si>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</si>
  <si>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</si>
  <si>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</si>
  <si>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</si>
  <si>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</si>
  <si>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</si>
  <si>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</si>
  <si>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</si>
  <si>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</si>
  <si>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</si>
  <si>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</si>
  <si>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</si>
  <si>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</si>
  <si>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</si>
  <si>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</si>
  <si>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</si>
  <si>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</si>
  <si>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</si>
  <si>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</si>
  <si>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</si>
  <si>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</si>
  <si>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</si>
  <si>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</si>
  <si>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</si>
  <si>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</si>
  <si>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</si>
  <si>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</si>
  <si>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</si>
  <si>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</si>
  <si>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</si>
  <si>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</si>
  <si>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</si>
  <si>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</si>
  <si>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</si>
  <si>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</si>
  <si>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</si>
  <si>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</si>
  <si>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</si>
  <si>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</si>
  <si>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</si>
  <si>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 xml:space="preserve">ЛИЩЕНКО Тамара Владимировна </t>
  </si>
  <si>
    <t>26.08.98, МС</t>
  </si>
  <si>
    <t>СПБ</t>
  </si>
  <si>
    <t>Санкт - Петербург , МС</t>
  </si>
  <si>
    <t>Мишин ДА, Ведерникова ЕВ</t>
  </si>
  <si>
    <t xml:space="preserve">ЛЯНКА Алина  Николаевна </t>
  </si>
  <si>
    <t>06.05.96, МС</t>
  </si>
  <si>
    <t>МОС</t>
  </si>
  <si>
    <t>Москва</t>
  </si>
  <si>
    <t>Насыров Е.Г</t>
  </si>
  <si>
    <t>ФОМИЧЕВА Евгения Антонович</t>
  </si>
  <si>
    <t>18.09.00, КМС</t>
  </si>
  <si>
    <t>ПФО</t>
  </si>
  <si>
    <t>Пермский, Пермь, МО</t>
  </si>
  <si>
    <t>Дураков С.Н.</t>
  </si>
  <si>
    <t>ЗАДВОРНОВА Ксения Валерьевна</t>
  </si>
  <si>
    <t>29.12.98, КМС</t>
  </si>
  <si>
    <t>Татарстан, Казань, ЮР</t>
  </si>
  <si>
    <t>Нефедов А.А., Иванов В.А.</t>
  </si>
  <si>
    <t>В.к.  72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</si>
</sst>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0" borderId="87" xfId="1" applyFont="1" applyBorder="1" applyAlignment="1" applyProtection="1">
      <alignment horizontal="left" vertical="center" wrapText="1"/>
    </xf>
    <xf numFmtId="0" fontId="44" fillId="0" borderId="87" xfId="1" applyFont="1" applyBorder="1" applyAlignment="1" applyProtection="1">
      <alignment horizontal="center" vertical="center" wrapText="1"/>
    </xf>
    <xf numFmtId="0" fontId="44" fillId="0" borderId="3" xfId="1" applyFont="1" applyBorder="1" applyAlignment="1" applyProtection="1">
      <alignment horizontal="left" vertical="center" wrapText="1"/>
    </xf>
    <xf numFmtId="0" fontId="44" fillId="0" borderId="3" xfId="1" applyFont="1" applyBorder="1" applyAlignment="1" applyProtection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M11" sqref="AM11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105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КМС</v>
      </c>
      <c r="R6" s="189" t="str">
        <f>N8</f>
        <v>МС</v>
      </c>
      <c r="S6" s="190" t="str">
        <f>N9</f>
        <v/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КМС</v>
      </c>
      <c r="AA6" s="119" t="str">
        <f t="shared" si="0"/>
        <v>МС</v>
      </c>
      <c r="AB6" s="191" t="str">
        <f t="shared" si="0"/>
        <v/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86</v>
      </c>
      <c r="D7" s="195" t="s">
        <v>87</v>
      </c>
      <c r="E7" s="196" t="s">
        <v>88</v>
      </c>
      <c r="F7" s="195" t="s">
        <v>89</v>
      </c>
      <c r="G7" s="197"/>
      <c r="H7" s="198" t="s">
        <v>90</v>
      </c>
      <c r="I7" s="32"/>
      <c r="J7" s="199">
        <v>1</v>
      </c>
      <c r="K7" s="184" t="str">
        <f>IFERROR(RIGHT(D7,LEN(D7)-FIND("*",SUBSTITUTE(D7," ","*",LEN(D7)-LEN(SUBSTITUTE(D7," ",""))))),D7)</f>
        <v>МС</v>
      </c>
      <c r="L7" s="184" t="str">
        <f>IFERROR(LEFT(F7,FIND(",",F7)-1),F7)</f>
        <v xml:space="preserve">Санкт - Петербург </v>
      </c>
      <c r="M7" s="200" t="str">
        <f t="array" ref="M7">IFERROR(INDEX(субъект,MATCH(SUM(COUNTIF(M$6:M6,субъект)),COUNTIF(субъект,"&lt;"&amp;субъект),0)),"")</f>
        <v>Москва</v>
      </c>
      <c r="N7" s="200" t="str">
        <f t="array" ref="N7">IFERROR(INDEX(разряд,MATCH(SUM(COUNTIF(N$6:N6,разряд)),COUNTIF(разряд,"&lt;"&amp;разряд),0)),"")</f>
        <v>КМС</v>
      </c>
      <c r="O7" s="201">
        <v>1</v>
      </c>
      <c r="P7" s="120" t="str">
        <f t="shared" ref="P7:P14" si="1">M7</f>
        <v>Москва</v>
      </c>
      <c r="Q7" s="202">
        <f t="shared" ref="Q7:Q14" si="2">SUMIFS($J$7:$J$30,$L$7:$L$30,P7,$K$7:$K$30,Q$6)</f>
        <v>0</v>
      </c>
      <c r="R7" s="202">
        <f t="shared" ref="R7:R14" si="3">SUMIFS($J$7:$J$30,$L$7:$L$30,P7,$K$7:$K$30,R$6)</f>
        <v>1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Москва</v>
      </c>
      <c r="Z7" s="150" t="str">
        <f>IF(Q7=0," ",Q7)</f>
        <v xml:space="preserve"> </v>
      </c>
      <c r="AA7" s="150">
        <f>IF(R7=0," ",R7)</f>
        <v>1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4</v>
      </c>
      <c r="AI7" s="240"/>
    </row>
    <row r="8" spans="1:35" ht="24" customHeight="1" thickBot="1">
      <c r="A8" s="192" t="s">
        <v>53</v>
      </c>
      <c r="B8" s="193">
        <v>2</v>
      </c>
      <c r="C8" s="194" t="s">
        <v>91</v>
      </c>
      <c r="D8" s="195" t="s">
        <v>92</v>
      </c>
      <c r="E8" s="196" t="s">
        <v>93</v>
      </c>
      <c r="F8" s="195" t="s">
        <v>94</v>
      </c>
      <c r="G8" s="197"/>
      <c r="H8" s="198" t="s">
        <v>95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МС</v>
      </c>
      <c r="L8" s="184" t="str">
        <f t="shared" ref="L8:L14" si="11">IFERROR(LEFT(F8,FIND(",",F8)-1),F8)</f>
        <v>Москва</v>
      </c>
      <c r="M8" s="200" t="str">
        <f t="array" ref="M8">IFERROR(INDEX(субъект,MATCH(SUM(COUNTIF(M$6:M7,субъект)),COUNTIF(субъект,"&lt;"&amp;субъект),0)),"")</f>
        <v>Пермский</v>
      </c>
      <c r="N8" s="200" t="str">
        <f t="array" ref="N8">IFERROR(INDEX(разряд,MATCH(SUM(COUNTIF(N$6:N7,разряд)),COUNTIF(разряд,"&lt;"&amp;разряд),0)),"")</f>
        <v>МС</v>
      </c>
      <c r="O8" s="201">
        <v>2</v>
      </c>
      <c r="P8" s="120" t="str">
        <f t="shared" si="1"/>
        <v>Пермский</v>
      </c>
      <c r="Q8" s="202">
        <f t="shared" si="2"/>
        <v>1</v>
      </c>
      <c r="R8" s="202">
        <f t="shared" si="3"/>
        <v>0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Пермский</v>
      </c>
      <c r="Z8" s="118">
        <f>IF($Y$8=$Y$7," ",IF(Q8=0," ",Q8))</f>
        <v>1</v>
      </c>
      <c r="AA8" s="118" t="str">
        <f>IF($Y$8=$Y$7," ",IF(R8=0," ",R8))</f>
        <v xml:space="preserve"> 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101</v>
      </c>
      <c r="D9" s="195" t="s">
        <v>102</v>
      </c>
      <c r="E9" s="196" t="s">
        <v>98</v>
      </c>
      <c r="F9" s="195" t="s">
        <v>103</v>
      </c>
      <c r="G9" s="197"/>
      <c r="H9" s="198" t="s">
        <v>104</v>
      </c>
      <c r="I9" s="32"/>
      <c r="J9" s="199">
        <v>1</v>
      </c>
      <c r="K9" s="184" t="str">
        <f t="shared" si="10"/>
        <v>КМС</v>
      </c>
      <c r="L9" s="184" t="str">
        <f t="shared" si="11"/>
        <v>Татарстан</v>
      </c>
      <c r="M9" s="200" t="str">
        <f t="array" ref="M9">IFERROR(INDEX(субъект,MATCH(SUM(COUNTIF(M$6:M8,субъект)),COUNTIF(субъект,"&lt;"&amp;субъект),0)),"")</f>
        <v xml:space="preserve">Санкт - Петербург </v>
      </c>
      <c r="N9" s="200" t="str">
        <f t="array" ref="N9">IFERROR(INDEX(разряд,MATCH(SUM(COUNTIF(N$6:N8,разряд)),COUNTIF(разряд,"&lt;"&amp;разряд),0)),"")</f>
        <v/>
      </c>
      <c r="O9" s="201">
        <v>3</v>
      </c>
      <c r="P9" s="120" t="str">
        <f t="shared" si="1"/>
        <v xml:space="preserve">Санкт - Петербург </v>
      </c>
      <c r="Q9" s="202">
        <f t="shared" si="2"/>
        <v>0</v>
      </c>
      <c r="R9" s="202">
        <f t="shared" si="3"/>
        <v>1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 xml:space="preserve">Санкт - Петербург </v>
      </c>
      <c r="Z9" s="118" t="str">
        <f>IF(OR($Y9=$Y7,$Y9=$Y8)," ",IF(Q9=0," ",Q9))</f>
        <v xml:space="preserve"> </v>
      </c>
      <c r="AA9" s="118">
        <f>IF(OR($Y9=$Y7,$Y9=$Y8)," ",IF(R9=0," ",R9))</f>
        <v>1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96</v>
      </c>
      <c r="D10" s="195" t="s">
        <v>97</v>
      </c>
      <c r="E10" s="196" t="s">
        <v>98</v>
      </c>
      <c r="F10" s="195" t="s">
        <v>99</v>
      </c>
      <c r="G10" s="197"/>
      <c r="H10" s="198" t="s">
        <v>100</v>
      </c>
      <c r="I10" s="32"/>
      <c r="J10" s="199">
        <v>1</v>
      </c>
      <c r="K10" s="184" t="str">
        <f t="shared" si="10"/>
        <v>КМС</v>
      </c>
      <c r="L10" s="184" t="str">
        <f t="shared" si="11"/>
        <v>Пермский</v>
      </c>
      <c r="M10" s="200" t="str">
        <f t="array" ref="M10">IFERROR(INDEX(субъект,MATCH(SUM(COUNTIF(M$6:M9,субъект)),COUNTIF(субъект,"&lt;"&amp;субъект),0)),"")</f>
        <v>Татарстан</v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>Татарстан</v>
      </c>
      <c r="Q10" s="202">
        <f t="shared" si="2"/>
        <v>1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Татарстан</v>
      </c>
      <c r="Z10" s="118">
        <f>IF(OR($Y10=$Y8,$Y10=$Y9,$Y10=$Y7)," ",IF(Q10=0," ",Q10))</f>
        <v>1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/>
      <c r="D11" s="195"/>
      <c r="E11" s="196"/>
      <c r="F11" s="195"/>
      <c r="G11" s="197"/>
      <c r="H11" s="198"/>
      <c r="I11" s="32"/>
      <c r="J11" s="199">
        <v>1</v>
      </c>
      <c r="K11" s="184">
        <f t="shared" si="10"/>
        <v>0</v>
      </c>
      <c r="L11" s="184">
        <f t="shared" si="11"/>
        <v>0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/>
      <c r="D12" s="195"/>
      <c r="E12" s="194"/>
      <c r="F12" s="195"/>
      <c r="G12" s="194"/>
      <c r="H12" s="198"/>
      <c r="I12" s="32"/>
      <c r="J12" s="199">
        <v>1</v>
      </c>
      <c r="K12" s="184">
        <f t="shared" si="10"/>
        <v>0</v>
      </c>
      <c r="L12" s="184">
        <f t="shared" si="11"/>
        <v>0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1333500</xdr:colOff>
                    <xdr:row>5</xdr:row>
                    <xdr:rowOff>0</xdr:rowOff>
                  </from>
                  <to>
                    <xdr:col>5</xdr:col>
                    <xdr:colOff>1581150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1</xdr:col>
                    <xdr:colOff>542925</xdr:colOff>
                    <xdr:row>3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79" t="s">
        <v>24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X1" s="116"/>
      <c r="Y1" s="116"/>
      <c r="Z1" s="116"/>
      <c r="AA1" s="116"/>
    </row>
    <row r="2" spans="1:28" ht="26.25" customHeight="1" thickBot="1">
      <c r="A2" s="88"/>
      <c r="B2" s="88"/>
      <c r="C2" s="280" t="s">
        <v>23</v>
      </c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4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6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7" t="str">
        <f>пр.взв!A3</f>
        <v>26-29.08.2022г.                                              г.Казань</v>
      </c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2" t="str">
        <f>HYPERLINK(пр.взв!D4)</f>
        <v>В.к.  72  кг.</v>
      </c>
      <c r="I5" s="313"/>
      <c r="J5" s="313"/>
      <c r="K5" s="313"/>
      <c r="L5" s="313"/>
      <c r="M5" s="313"/>
      <c r="N5" s="314"/>
      <c r="O5" s="304" t="str">
        <f>W5&amp;" "&amp;AB5</f>
        <v>4 участников</v>
      </c>
      <c r="P5" s="305"/>
      <c r="Q5" s="306"/>
      <c r="R5" s="159"/>
      <c r="S5" s="88"/>
      <c r="T5" s="88"/>
      <c r="U5" s="88"/>
      <c r="W5">
        <f>пр.взв!AH7</f>
        <v>4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7" t="s">
        <v>0</v>
      </c>
      <c r="B7" s="287"/>
      <c r="C7" s="88"/>
      <c r="D7" s="88"/>
      <c r="E7" s="80"/>
      <c r="F7" s="80"/>
      <c r="G7" s="80"/>
      <c r="H7" s="80"/>
      <c r="I7" s="315" t="s">
        <v>18</v>
      </c>
      <c r="J7" s="315"/>
      <c r="K7" s="315"/>
      <c r="L7" s="315"/>
      <c r="M7" s="315"/>
      <c r="N7" s="80"/>
      <c r="O7" s="80"/>
      <c r="P7" s="80"/>
      <c r="Q7" s="65"/>
      <c r="R7" s="26"/>
      <c r="S7" s="89"/>
      <c r="T7" s="283" t="s">
        <v>1</v>
      </c>
      <c r="U7" s="283"/>
      <c r="X7" s="116"/>
      <c r="Y7" s="116"/>
      <c r="Z7" s="116"/>
      <c r="AA7" s="116"/>
    </row>
    <row r="8" spans="1:28" ht="12.75" customHeight="1" thickBot="1">
      <c r="A8" s="255">
        <v>1</v>
      </c>
      <c r="B8" s="285" t="str">
        <f>IFERROR(VLOOKUP(пр.хода!A8,пр.взв!$B$7:$H$14,2,0),"")</f>
        <v xml:space="preserve">ЛИЩЕНКО Тамара Владимировна </v>
      </c>
      <c r="C8" s="256" t="str">
        <f>IFERROR(VLOOKUP(A8,пр.взв!$B$7:$H$14,3,0),"")</f>
        <v>26.08.98, МС</v>
      </c>
      <c r="D8" s="256" t="str">
        <f>IFERROR(VLOOKUP(A8,пр.взв!$B$7:$H$14,5,0),"")</f>
        <v>Санкт - Петербург , МС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5" t="str">
        <f>IFERROR(VLOOKUP(U8,пр.взв!$B$7:$H$14,2,0),"")</f>
        <v xml:space="preserve">ЛЯНКА Алина  Николаевна </v>
      </c>
      <c r="S8" s="256" t="str">
        <f>IFERROR(VLOOKUP(U8,пр.взв!$B$7:$H$14,3,0),"")</f>
        <v>06.05.96, МС</v>
      </c>
      <c r="T8" s="256" t="str">
        <f>IFERROR(VLOOKUP(U8,пр.взв!$B$7:$H$14,5,0),"")</f>
        <v>Москва</v>
      </c>
      <c r="U8" s="277">
        <v>2</v>
      </c>
      <c r="X8" s="116"/>
      <c r="Y8" s="116"/>
      <c r="Z8" s="116"/>
      <c r="AA8" s="116"/>
    </row>
    <row r="9" spans="1:28" ht="12.75" customHeight="1">
      <c r="A9" s="254"/>
      <c r="B9" s="286"/>
      <c r="C9" s="284"/>
      <c r="D9" s="284"/>
      <c r="E9" s="66">
        <v>1</v>
      </c>
      <c r="F9" s="80"/>
      <c r="G9" s="81"/>
      <c r="H9" s="53"/>
      <c r="I9" s="288" t="str">
        <f>IFERROR(VLOOKUP(H9,пр.взв!$B$7:$H$14,2,0),"")</f>
        <v/>
      </c>
      <c r="J9" s="289"/>
      <c r="K9" s="289"/>
      <c r="L9" s="289"/>
      <c r="M9" s="290"/>
      <c r="N9" s="80"/>
      <c r="O9" s="80"/>
      <c r="P9" s="80"/>
      <c r="Q9" s="66">
        <v>2</v>
      </c>
      <c r="R9" s="286"/>
      <c r="S9" s="284"/>
      <c r="T9" s="284"/>
      <c r="U9" s="281"/>
      <c r="X9" s="116"/>
      <c r="Y9" s="116"/>
      <c r="Z9" s="116"/>
      <c r="AA9" s="116"/>
    </row>
    <row r="10" spans="1:28" ht="12.75" customHeight="1" thickBot="1">
      <c r="A10" s="253">
        <v>5</v>
      </c>
      <c r="B10" s="464">
        <f>IFERROR(VLOOKUP(пр.хода!A10,пр.взв!$B$7:$H$14,2,0),"")</f>
        <v>0</v>
      </c>
      <c r="C10" s="465">
        <f>IFERROR(VLOOKUP(A10,пр.взв!$B$7:$H$14,3,0),"")</f>
        <v>0</v>
      </c>
      <c r="D10" s="465">
        <f>IFERROR(VLOOKUP(A10,пр.взв!$B$7:$H$14,5,0),"")</f>
        <v>0</v>
      </c>
      <c r="E10" s="72"/>
      <c r="F10" s="82"/>
      <c r="G10" s="83"/>
      <c r="H10" s="84"/>
      <c r="I10" s="291"/>
      <c r="J10" s="292"/>
      <c r="K10" s="292"/>
      <c r="L10" s="292"/>
      <c r="M10" s="293"/>
      <c r="N10" s="80"/>
      <c r="O10" s="85"/>
      <c r="P10" s="82"/>
      <c r="Q10" s="72"/>
      <c r="R10" s="464">
        <f>IFERROR(VLOOKUP(U10,пр.взв!$B$7:$H$14,2,0),"")</f>
        <v>0</v>
      </c>
      <c r="S10" s="465">
        <f>IFERROR(VLOOKUP(U10,пр.взв!$B$7:$H$14,3,0),"")</f>
        <v>0</v>
      </c>
      <c r="T10" s="465">
        <f>IFERROR(VLOOKUP(U10,пр.взв!$B$7:$H$14,5,0),"")</f>
        <v>0</v>
      </c>
      <c r="U10" s="277">
        <v>6</v>
      </c>
      <c r="X10" s="116"/>
      <c r="Y10" s="116"/>
      <c r="Z10" s="116"/>
      <c r="AA10" s="116"/>
    </row>
    <row r="11" spans="1:28" ht="12.75" customHeight="1" thickBot="1">
      <c r="A11" s="254"/>
      <c r="B11" s="466"/>
      <c r="C11" s="467"/>
      <c r="D11" s="467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466"/>
      <c r="S11" s="467"/>
      <c r="T11" s="467"/>
      <c r="U11" s="281"/>
      <c r="X11" s="116"/>
      <c r="Y11" s="116"/>
      <c r="Z11" s="116"/>
      <c r="AA11" s="116"/>
    </row>
    <row r="12" spans="1:28" ht="12.75" customHeight="1" thickBot="1">
      <c r="A12" s="255">
        <v>3</v>
      </c>
      <c r="B12" s="272" t="str">
        <f>IFERROR(VLOOKUP(пр.хода!A12,пр.взв!$B$7:$H$14,2,0),"")</f>
        <v>ЗАДВОРНОВА Ксения Валерьевна</v>
      </c>
      <c r="C12" s="268" t="str">
        <f>IFERROR(VLOOKUP(A12,пр.взв!$B$7:$H$14,3,0),"")</f>
        <v>29.12.98, КМС</v>
      </c>
      <c r="D12" s="268" t="str">
        <f>IFERROR(VLOOKUP(A12,пр.взв!$B$7:$H$14,5,0),"")</f>
        <v>Татарстан, Казань, ЮР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2" t="str">
        <f>IFERROR(VLOOKUP(U12,пр.взв!$B$7:$H$14,2,0),"")</f>
        <v>ФОМИЧЕВА Евгения Антонович</v>
      </c>
      <c r="S12" s="268" t="str">
        <f>IFERROR(VLOOKUP(U12,пр.взв!$B$7:$H$14,3,0),"")</f>
        <v>18.09.00, КМС</v>
      </c>
      <c r="T12" s="268" t="str">
        <f>IFERROR(VLOOKUP(U12,пр.взв!$B$7:$H$14,5,0),"")</f>
        <v>Пермский, Пермь, МО</v>
      </c>
      <c r="U12" s="282">
        <v>4</v>
      </c>
      <c r="X12" s="116"/>
      <c r="Y12" s="116"/>
      <c r="Z12" s="116"/>
      <c r="AA12" s="116"/>
    </row>
    <row r="13" spans="1:28" ht="12.75" customHeight="1" thickBot="1">
      <c r="A13" s="254"/>
      <c r="B13" s="273"/>
      <c r="C13" s="269"/>
      <c r="D13" s="269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3"/>
      <c r="S13" s="269"/>
      <c r="T13" s="269"/>
      <c r="U13" s="281"/>
      <c r="X13" s="116"/>
      <c r="Y13" s="116"/>
      <c r="Z13" s="116"/>
      <c r="AA13" s="116"/>
    </row>
    <row r="14" spans="1:28" ht="12.75" customHeight="1" thickBot="1">
      <c r="A14" s="253">
        <v>7</v>
      </c>
      <c r="B14" s="464">
        <f>IFERROR(VLOOKUP(пр.хода!A14,пр.взв!$B$7:$H$14,2,0),"")</f>
        <v>0</v>
      </c>
      <c r="C14" s="465">
        <f>IFERROR(VLOOKUP(A14,пр.взв!$B$7:$H$14,3,0),"")</f>
        <v>0</v>
      </c>
      <c r="D14" s="465">
        <f>IFERROR(VLOOKUP(A14,пр.взв!$B$7:$H$14,5,0),"")</f>
        <v>0</v>
      </c>
      <c r="E14" s="72"/>
      <c r="F14" s="80"/>
      <c r="G14" s="81"/>
      <c r="H14" s="53" t="str">
        <f>Y25</f>
        <v/>
      </c>
      <c r="I14" s="298" t="str">
        <f>IFERROR(VLOOKUP(H14,пр.взв!$B$7:$H$14,2,0),"")</f>
        <v/>
      </c>
      <c r="J14" s="299"/>
      <c r="K14" s="299"/>
      <c r="L14" s="299"/>
      <c r="M14" s="300"/>
      <c r="N14" s="80"/>
      <c r="O14" s="80"/>
      <c r="P14" s="80"/>
      <c r="Q14" s="72"/>
      <c r="R14" s="464">
        <f>IFERROR(VLOOKUP(U14,пр.взв!$B$7:$H$14,2,0),"")</f>
        <v>0</v>
      </c>
      <c r="S14" s="465">
        <f>IFERROR(VLOOKUP(U14,пр.взв!$B$7:$H$14,3,0),"")</f>
        <v>0</v>
      </c>
      <c r="T14" s="465">
        <f>IFERROR(VLOOKUP(U14,пр.взв!$B$7:$H$14,5,0),"")</f>
        <v>0</v>
      </c>
      <c r="U14" s="277">
        <v>8</v>
      </c>
      <c r="X14" s="116"/>
      <c r="Y14" s="116"/>
      <c r="Z14" s="116"/>
      <c r="AA14" s="116"/>
    </row>
    <row r="15" spans="1:28" ht="12.75" customHeight="1" thickBot="1">
      <c r="A15" s="275"/>
      <c r="B15" s="466"/>
      <c r="C15" s="467"/>
      <c r="D15" s="467"/>
      <c r="E15" s="80"/>
      <c r="F15" s="80"/>
      <c r="G15" s="81"/>
      <c r="H15" s="84"/>
      <c r="I15" s="301"/>
      <c r="J15" s="302"/>
      <c r="K15" s="302"/>
      <c r="L15" s="302"/>
      <c r="M15" s="303"/>
      <c r="N15" s="80"/>
      <c r="O15" s="80"/>
      <c r="P15" s="80"/>
      <c r="Q15" s="80"/>
      <c r="R15" s="466"/>
      <c r="S15" s="467"/>
      <c r="T15" s="467"/>
      <c r="U15" s="278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4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6" t="s">
        <v>3</v>
      </c>
      <c r="X17" s="116"/>
      <c r="Y17" s="116"/>
      <c r="Z17" s="116"/>
      <c r="AA17" s="116"/>
    </row>
    <row r="18" spans="1:27" ht="12.75" customHeight="1">
      <c r="A18" s="274"/>
      <c r="B18" s="88"/>
      <c r="C18" s="88"/>
      <c r="D18" s="88"/>
      <c r="E18" s="88"/>
      <c r="F18" s="88"/>
      <c r="G18" s="311" t="s">
        <v>25</v>
      </c>
      <c r="H18" s="311"/>
      <c r="I18" s="311"/>
      <c r="J18" s="311"/>
      <c r="K18" s="311"/>
      <c r="L18" s="311"/>
      <c r="M18" s="311"/>
      <c r="N18" s="311"/>
      <c r="O18" s="311"/>
      <c r="P18" s="88"/>
      <c r="Q18" s="88"/>
      <c r="R18" s="89"/>
      <c r="S18" s="89"/>
      <c r="T18" s="89"/>
      <c r="U18" s="276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>
        <f>Y21</f>
        <v>5</v>
      </c>
      <c r="B21" s="268">
        <f>IFERROR(VLOOKUP(A21,пр.взв!$B$7:$H$14,2,0),"")</f>
        <v>0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4">
        <f>IFERROR(VLOOKUP(U21,пр.взв!$B$7:$H$14,2,0),"")</f>
        <v>0</v>
      </c>
      <c r="T21" s="265"/>
      <c r="U21" s="69">
        <f>Y22</f>
        <v>6</v>
      </c>
      <c r="V21" s="88"/>
      <c r="X21" s="111"/>
      <c r="Y21" s="112">
        <f>IF(A10=""," ",IF(E9=""," ",IF(E9=A8,A10,IF(E9=A10,A8,"Х"))))</f>
        <v>5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69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7"/>
      <c r="T22" s="308"/>
      <c r="U22" s="69"/>
      <c r="V22" s="88"/>
      <c r="X22" s="111"/>
      <c r="Y22" s="112">
        <f>IF(U10=""," ",IF(Q9=""," ",IF(Q9=U8,U10,IF(Q9=U10,U8,"Х"))))</f>
        <v>6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7</v>
      </c>
      <c r="B23" s="270">
        <f>IFERROR(VLOOKUP(A23,пр.взв!$B$7:$H$14,2,0),"")</f>
        <v>0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09">
        <f>IFERROR(VLOOKUP(U23,пр.взв!$B$7:$H$14,2,0),"")</f>
        <v>0</v>
      </c>
      <c r="T23" s="310"/>
      <c r="U23" s="69">
        <f>Y24</f>
        <v>8</v>
      </c>
      <c r="V23" s="88"/>
      <c r="X23" s="111"/>
      <c r="Y23" s="112">
        <f>IF(A14=""," ",IF(E13=""," ",IF(E13=A12,A14,IF(E13=A14,A12,"Х"))))</f>
        <v>7</v>
      </c>
      <c r="Z23" s="113">
        <f>IF(A23="","",IF(A23=C22,A21,A23))</f>
        <v>7</v>
      </c>
      <c r="AA23" s="111"/>
    </row>
    <row r="24" spans="1:27" ht="13.5" thickBot="1">
      <c r="A24" s="90"/>
      <c r="B24" s="271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6"/>
      <c r="T24" s="267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/>
      <c r="F25" s="259" t="str">
        <f>IFERROR(VLOOKUP(E25,пр.взв!$B$7:$H$14,2,0),"")</f>
        <v/>
      </c>
      <c r="G25" s="259"/>
      <c r="H25" s="259"/>
      <c r="I25" s="260"/>
      <c r="J25" s="88"/>
      <c r="K25" s="88"/>
      <c r="L25" s="88"/>
      <c r="M25" s="258" t="str">
        <f>IFERROR(VLOOKUP(Q25,пр.взв!$B$7:$H$14,2,0),"")</f>
        <v/>
      </c>
      <c r="N25" s="259"/>
      <c r="O25" s="259"/>
      <c r="P25" s="260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1"/>
      <c r="G26" s="262"/>
      <c r="H26" s="262"/>
      <c r="I26" s="263"/>
      <c r="J26" s="8"/>
      <c r="K26" s="8"/>
      <c r="L26" s="8"/>
      <c r="M26" s="261"/>
      <c r="N26" s="262"/>
      <c r="O26" s="262"/>
      <c r="P26" s="263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4" t="str">
        <f>IFERROR(VLOOKUP(B27,пр.взв!$B$7:$H$14,2,0),"")</f>
        <v/>
      </c>
      <c r="D27" s="265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6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6"/>
      <c r="D28" s="267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7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69" t="s">
        <v>32</v>
      </c>
      <c r="C1" s="369"/>
      <c r="D1" s="369"/>
      <c r="E1" s="369"/>
      <c r="F1" s="369"/>
      <c r="G1" s="369"/>
      <c r="H1" s="369"/>
      <c r="I1" s="369"/>
      <c r="J1" s="369"/>
      <c r="L1" s="369" t="s">
        <v>32</v>
      </c>
      <c r="M1" s="369"/>
      <c r="N1" s="369"/>
      <c r="O1" s="369"/>
      <c r="P1" s="369"/>
      <c r="Q1" s="369"/>
      <c r="R1" s="369"/>
      <c r="S1" s="369"/>
      <c r="T1" s="369"/>
    </row>
    <row r="2" spans="1:20" ht="15.75" customHeight="1">
      <c r="B2" s="231">
        <v>0</v>
      </c>
      <c r="C2" s="232" t="s">
        <v>84</v>
      </c>
      <c r="D2" s="232"/>
      <c r="E2" s="334" t="str">
        <f>пр.взв!D4</f>
        <v>В.к.  72  кг.</v>
      </c>
      <c r="F2" s="334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4" t="str">
        <f>E2</f>
        <v>В.к.  72  кг.</v>
      </c>
      <c r="P2" s="334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3" t="s">
        <v>38</v>
      </c>
      <c r="B4" s="345" t="s">
        <v>4</v>
      </c>
      <c r="C4" s="328" t="s">
        <v>5</v>
      </c>
      <c r="D4" s="320" t="s">
        <v>13</v>
      </c>
      <c r="E4" s="322" t="s">
        <v>14</v>
      </c>
      <c r="F4" s="323"/>
      <c r="G4" s="328" t="s">
        <v>15</v>
      </c>
      <c r="H4" s="330" t="s">
        <v>34</v>
      </c>
      <c r="I4" s="332" t="s">
        <v>16</v>
      </c>
      <c r="J4" s="341" t="s">
        <v>17</v>
      </c>
      <c r="K4" s="343" t="s">
        <v>38</v>
      </c>
      <c r="L4" s="345" t="s">
        <v>4</v>
      </c>
      <c r="M4" s="328" t="s">
        <v>5</v>
      </c>
      <c r="N4" s="320" t="s">
        <v>13</v>
      </c>
      <c r="O4" s="322" t="s">
        <v>14</v>
      </c>
      <c r="P4" s="323"/>
      <c r="Q4" s="328" t="s">
        <v>15</v>
      </c>
      <c r="R4" s="330" t="s">
        <v>34</v>
      </c>
      <c r="S4" s="332" t="s">
        <v>16</v>
      </c>
      <c r="T4" s="341" t="s">
        <v>17</v>
      </c>
    </row>
    <row r="5" spans="1:20" ht="13.5" customHeight="1" thickBot="1">
      <c r="A5" s="344"/>
      <c r="B5" s="346" t="s">
        <v>29</v>
      </c>
      <c r="C5" s="329"/>
      <c r="D5" s="321"/>
      <c r="E5" s="324"/>
      <c r="F5" s="325"/>
      <c r="G5" s="329"/>
      <c r="H5" s="331"/>
      <c r="I5" s="333"/>
      <c r="J5" s="342" t="s">
        <v>30</v>
      </c>
      <c r="K5" s="344"/>
      <c r="L5" s="346" t="s">
        <v>29</v>
      </c>
      <c r="M5" s="329"/>
      <c r="N5" s="321"/>
      <c r="O5" s="324"/>
      <c r="P5" s="325"/>
      <c r="Q5" s="329"/>
      <c r="R5" s="331"/>
      <c r="S5" s="333"/>
      <c r="T5" s="342" t="s">
        <v>30</v>
      </c>
    </row>
    <row r="6" spans="1:20">
      <c r="A6" s="347">
        <v>1</v>
      </c>
      <c r="B6" s="364">
        <v>1</v>
      </c>
      <c r="C6" s="367" t="str">
        <f>IFERROR(VLOOKUP(B6,пр.взв!$B$7:$H$14,2,0),"")</f>
        <v xml:space="preserve">ЛИЩЕНКО Тамара Владимировна </v>
      </c>
      <c r="D6" s="363" t="str">
        <f>IFERROR(VLOOKUP(B6,пр.взв!$B$7:$H$14,3,0),"")</f>
        <v>26.08.98, МС</v>
      </c>
      <c r="E6" s="316" t="str">
        <f>IFERROR(VLOOKUP(B6,пр.взв!$B$7:$H$14,4,0),"")</f>
        <v>СПБ</v>
      </c>
      <c r="F6" s="363" t="str">
        <f>IFERROR(VLOOKUP(B6,пр.взв!$B$7:$H$14,5,0),"")</f>
        <v>Санкт - Петербург , МС</v>
      </c>
      <c r="G6" s="354"/>
      <c r="H6" s="356"/>
      <c r="I6" s="335"/>
      <c r="J6" s="320"/>
      <c r="K6" s="347">
        <v>3</v>
      </c>
      <c r="L6" s="364">
        <v>2</v>
      </c>
      <c r="M6" s="367" t="str">
        <f>IFERROR(VLOOKUP(L6,пр.взв!$B$7:$H$14,2,0),"")</f>
        <v xml:space="preserve">ЛЯНКА Алина  Николаевна </v>
      </c>
      <c r="N6" s="363" t="str">
        <f>IFERROR(VLOOKUP(L6,пр.взв!$B$7:$H$14,3,0),"")</f>
        <v>06.05.96, МС</v>
      </c>
      <c r="O6" s="316" t="str">
        <f>IFERROR(VLOOKUP(L6,пр.взв!$B$7:$H$14,4,0),"")</f>
        <v>МОС</v>
      </c>
      <c r="P6" s="363" t="str">
        <f>IFERROR(VLOOKUP(L6,пр.взв!$B$7:$H$14,5,0),"")</f>
        <v>Москва</v>
      </c>
      <c r="Q6" s="354"/>
      <c r="R6" s="356"/>
      <c r="S6" s="335"/>
      <c r="T6" s="320"/>
    </row>
    <row r="7" spans="1:20">
      <c r="A7" s="348"/>
      <c r="B7" s="365"/>
      <c r="C7" s="368"/>
      <c r="D7" s="355"/>
      <c r="E7" s="317"/>
      <c r="F7" s="355"/>
      <c r="G7" s="355"/>
      <c r="H7" s="355"/>
      <c r="I7" s="336"/>
      <c r="J7" s="245"/>
      <c r="K7" s="348"/>
      <c r="L7" s="365"/>
      <c r="M7" s="368"/>
      <c r="N7" s="355"/>
      <c r="O7" s="317"/>
      <c r="P7" s="355"/>
      <c r="Q7" s="355"/>
      <c r="R7" s="355"/>
      <c r="S7" s="336"/>
      <c r="T7" s="245"/>
    </row>
    <row r="8" spans="1:20">
      <c r="A8" s="348"/>
      <c r="B8" s="365">
        <v>5</v>
      </c>
      <c r="C8" s="326">
        <f>IFERROR(VLOOKUP(B8,пр.взв!$B$7:$H$14,2,0),"")</f>
        <v>0</v>
      </c>
      <c r="D8" s="318">
        <f>IFERROR(VLOOKUP(B8,пр.взв!$B$7:$H$14,3,0),"")</f>
        <v>0</v>
      </c>
      <c r="E8" s="318">
        <f>IFERROR(VLOOKUP(B8,пр.взв!$B$7:$H$14,4,0),"")</f>
        <v>0</v>
      </c>
      <c r="F8" s="318">
        <f>IFERROR(VLOOKUP(B8,пр.взв!$B$7:$H$14,5,0),"")</f>
        <v>0</v>
      </c>
      <c r="G8" s="339"/>
      <c r="H8" s="339"/>
      <c r="I8" s="246"/>
      <c r="J8" s="246"/>
      <c r="K8" s="348"/>
      <c r="L8" s="365">
        <v>6</v>
      </c>
      <c r="M8" s="326">
        <f>IFERROR(VLOOKUP(L8,пр.взв!$B$7:$H$14,2,0),"")</f>
        <v>0</v>
      </c>
      <c r="N8" s="318">
        <f>IFERROR(VLOOKUP(L8,пр.взв!$B$7:$H$14,3,0),"")</f>
        <v>0</v>
      </c>
      <c r="O8" s="318">
        <f>IFERROR(VLOOKUP(L8,пр.взв!$B$7:$H$14,4,0),"")</f>
        <v>0</v>
      </c>
      <c r="P8" s="318">
        <f>IFERROR(VLOOKUP(L8,пр.взв!$B$7:$H$14,5,0),"")</f>
        <v>0</v>
      </c>
      <c r="Q8" s="339"/>
      <c r="R8" s="339"/>
      <c r="S8" s="246"/>
      <c r="T8" s="246"/>
    </row>
    <row r="9" spans="1:20" ht="12.95" customHeight="1" thickBot="1">
      <c r="A9" s="349"/>
      <c r="B9" s="366"/>
      <c r="C9" s="327"/>
      <c r="D9" s="319"/>
      <c r="E9" s="319"/>
      <c r="F9" s="319"/>
      <c r="G9" s="340"/>
      <c r="H9" s="340"/>
      <c r="I9" s="333"/>
      <c r="J9" s="333"/>
      <c r="K9" s="349"/>
      <c r="L9" s="366"/>
      <c r="M9" s="327"/>
      <c r="N9" s="319"/>
      <c r="O9" s="319"/>
      <c r="P9" s="319"/>
      <c r="Q9" s="340"/>
      <c r="R9" s="340"/>
      <c r="S9" s="333"/>
      <c r="T9" s="333"/>
    </row>
    <row r="10" spans="1:20">
      <c r="A10" s="347">
        <v>2</v>
      </c>
      <c r="B10" s="364">
        <v>3</v>
      </c>
      <c r="C10" s="352" t="str">
        <f>IFERROR(VLOOKUP(B10,пр.взв!$B$7:$H$14,2,0),"")</f>
        <v>ЗАДВОРНОВА Ксения Валерьевна</v>
      </c>
      <c r="D10" s="316" t="str">
        <f>IFERROR(VLOOKUP(B10,пр.взв!$B$7:$H$14,3,0),"")</f>
        <v>29.12.98, КМС</v>
      </c>
      <c r="E10" s="316" t="str">
        <f>IFERROR(VLOOKUP(B10,пр.взв!$B$7:$H$14,4,0),"")</f>
        <v>ПФО</v>
      </c>
      <c r="F10" s="316" t="str">
        <f>IFERROR(VLOOKUP(B10,пр.взв!$B$7:$H$14,5,0),"")</f>
        <v>Татарстан, Казань, ЮР</v>
      </c>
      <c r="G10" s="354"/>
      <c r="H10" s="356"/>
      <c r="I10" s="335"/>
      <c r="J10" s="363"/>
      <c r="K10" s="347">
        <v>4</v>
      </c>
      <c r="L10" s="364">
        <v>4</v>
      </c>
      <c r="M10" s="352" t="str">
        <f>IFERROR(VLOOKUP(L10,пр.взв!$B$7:$H$14,2,0),"")</f>
        <v>ФОМИЧЕВА Евгения Антонович</v>
      </c>
      <c r="N10" s="316" t="str">
        <f>IFERROR(VLOOKUP(L10,пр.взв!$B$7:$H$14,3,0),"")</f>
        <v>18.09.00, КМС</v>
      </c>
      <c r="O10" s="316" t="str">
        <f>IFERROR(VLOOKUP(L10,пр.взв!$B$7:$H$14,4,0),"")</f>
        <v>ПФО</v>
      </c>
      <c r="P10" s="316" t="str">
        <f>IFERROR(VLOOKUP(L10,пр.взв!$B$7:$H$14,5,0),"")</f>
        <v>Пермский, Пермь, МО</v>
      </c>
      <c r="Q10" s="354"/>
      <c r="R10" s="356"/>
      <c r="S10" s="335"/>
      <c r="T10" s="363"/>
    </row>
    <row r="11" spans="1:20" ht="12.6" customHeight="1">
      <c r="A11" s="348"/>
      <c r="B11" s="365"/>
      <c r="C11" s="353"/>
      <c r="D11" s="317"/>
      <c r="E11" s="317"/>
      <c r="F11" s="317"/>
      <c r="G11" s="355"/>
      <c r="H11" s="355"/>
      <c r="I11" s="336"/>
      <c r="J11" s="245"/>
      <c r="K11" s="348"/>
      <c r="L11" s="365"/>
      <c r="M11" s="353"/>
      <c r="N11" s="317"/>
      <c r="O11" s="317"/>
      <c r="P11" s="317"/>
      <c r="Q11" s="355"/>
      <c r="R11" s="355"/>
      <c r="S11" s="336"/>
      <c r="T11" s="245"/>
    </row>
    <row r="12" spans="1:20">
      <c r="A12" s="348"/>
      <c r="B12" s="365">
        <v>7</v>
      </c>
      <c r="C12" s="326">
        <f>IFERROR(VLOOKUP(B12,пр.взв!$B$7:$H$14,2,0),"")</f>
        <v>0</v>
      </c>
      <c r="D12" s="318">
        <f>IFERROR(VLOOKUP(B12,пр.взв!$B$7:$H$14,3,0),"")</f>
        <v>0</v>
      </c>
      <c r="E12" s="318">
        <f>IFERROR(VLOOKUP(B12,пр.взв!$B$7:$H$14,4,0),"")</f>
        <v>0</v>
      </c>
      <c r="F12" s="318">
        <f>IFERROR(VLOOKUP(B12,пр.взв!$B$7:$H$14,5,0),"")</f>
        <v>0</v>
      </c>
      <c r="G12" s="339"/>
      <c r="H12" s="339"/>
      <c r="I12" s="246"/>
      <c r="J12" s="246"/>
      <c r="K12" s="348"/>
      <c r="L12" s="365">
        <v>8</v>
      </c>
      <c r="M12" s="326">
        <f>IFERROR(VLOOKUP(L12,пр.взв!$B$7:$H$14,2,0),"")</f>
        <v>0</v>
      </c>
      <c r="N12" s="318">
        <f>IFERROR(VLOOKUP(L12,пр.взв!$B$7:$H$14,3,0),"")</f>
        <v>0</v>
      </c>
      <c r="O12" s="318">
        <f>IFERROR(VLOOKUP(L12,пр.взв!$B$7:$H$14,4,0),"")</f>
        <v>0</v>
      </c>
      <c r="P12" s="318">
        <f>IFERROR(VLOOKUP(L12,пр.взв!$B$7:$H$14,5,0),"")</f>
        <v>0</v>
      </c>
      <c r="Q12" s="339"/>
      <c r="R12" s="339"/>
      <c r="S12" s="246"/>
      <c r="T12" s="246"/>
    </row>
    <row r="13" spans="1:20" ht="12.95" customHeight="1" thickBot="1">
      <c r="A13" s="349"/>
      <c r="B13" s="366"/>
      <c r="C13" s="327"/>
      <c r="D13" s="319"/>
      <c r="E13" s="319"/>
      <c r="F13" s="319"/>
      <c r="G13" s="340"/>
      <c r="H13" s="340"/>
      <c r="I13" s="333"/>
      <c r="J13" s="333"/>
      <c r="K13" s="349"/>
      <c r="L13" s="366"/>
      <c r="M13" s="327"/>
      <c r="N13" s="319"/>
      <c r="O13" s="319"/>
      <c r="P13" s="319"/>
      <c r="Q13" s="340"/>
      <c r="R13" s="340"/>
      <c r="S13" s="333"/>
      <c r="T13" s="333"/>
    </row>
    <row r="14" spans="1:20" ht="15.75">
      <c r="B14" s="231">
        <f>B2</f>
        <v>0</v>
      </c>
      <c r="C14" s="232" t="s">
        <v>84</v>
      </c>
      <c r="D14" s="232"/>
      <c r="E14" s="334" t="str">
        <f>E2</f>
        <v>В.к.  72  кг.</v>
      </c>
      <c r="F14" s="334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4" t="str">
        <f>O2</f>
        <v>В.к.  72  кг.</v>
      </c>
      <c r="P14" s="334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3" t="s">
        <v>38</v>
      </c>
      <c r="B16" s="345" t="s">
        <v>4</v>
      </c>
      <c r="C16" s="328" t="s">
        <v>5</v>
      </c>
      <c r="D16" s="320" t="s">
        <v>13</v>
      </c>
      <c r="E16" s="322" t="s">
        <v>14</v>
      </c>
      <c r="F16" s="323"/>
      <c r="G16" s="328" t="s">
        <v>15</v>
      </c>
      <c r="H16" s="330" t="s">
        <v>34</v>
      </c>
      <c r="I16" s="332" t="s">
        <v>16</v>
      </c>
      <c r="J16" s="341" t="s">
        <v>17</v>
      </c>
      <c r="K16" s="343" t="s">
        <v>38</v>
      </c>
      <c r="L16" s="345" t="s">
        <v>4</v>
      </c>
      <c r="M16" s="328" t="s">
        <v>5</v>
      </c>
      <c r="N16" s="320" t="s">
        <v>13</v>
      </c>
      <c r="O16" s="322" t="s">
        <v>14</v>
      </c>
      <c r="P16" s="323"/>
      <c r="Q16" s="328" t="s">
        <v>15</v>
      </c>
      <c r="R16" s="330" t="s">
        <v>34</v>
      </c>
      <c r="S16" s="332" t="s">
        <v>16</v>
      </c>
      <c r="T16" s="341" t="s">
        <v>17</v>
      </c>
    </row>
    <row r="17" spans="1:20" ht="13.5" customHeight="1" thickBot="1">
      <c r="A17" s="344"/>
      <c r="B17" s="346" t="s">
        <v>29</v>
      </c>
      <c r="C17" s="329"/>
      <c r="D17" s="321"/>
      <c r="E17" s="324"/>
      <c r="F17" s="325"/>
      <c r="G17" s="329"/>
      <c r="H17" s="331"/>
      <c r="I17" s="333"/>
      <c r="J17" s="342" t="s">
        <v>30</v>
      </c>
      <c r="K17" s="344"/>
      <c r="L17" s="346" t="s">
        <v>29</v>
      </c>
      <c r="M17" s="329"/>
      <c r="N17" s="321"/>
      <c r="O17" s="324"/>
      <c r="P17" s="325"/>
      <c r="Q17" s="329"/>
      <c r="R17" s="331"/>
      <c r="S17" s="333"/>
      <c r="T17" s="342" t="s">
        <v>30</v>
      </c>
    </row>
    <row r="18" spans="1:20">
      <c r="A18" s="358">
        <v>1</v>
      </c>
      <c r="B18" s="361">
        <f>пр.хода!E9</f>
        <v>1</v>
      </c>
      <c r="C18" s="352" t="str">
        <f>IFERROR(VLOOKUP(B18,пр.взв!$B$7:$H$14,2,0),"")</f>
        <v xml:space="preserve">ЛИЩЕНКО Тамара Владимировна </v>
      </c>
      <c r="D18" s="316" t="str">
        <f>IFERROR(VLOOKUP(B18,пр.взв!$B$7:$H$14,3,0),"")</f>
        <v>26.08.98, МС</v>
      </c>
      <c r="E18" s="316" t="str">
        <f>IFERROR(VLOOKUP(B18,пр.взв!$B$7:$H$14,4,0),"")</f>
        <v>СПБ</v>
      </c>
      <c r="F18" s="316" t="str">
        <f>IFERROR(VLOOKUP(B18,пр.взв!$B$7:$H$14,5,0),"")</f>
        <v>Санкт - Петербург , МС</v>
      </c>
      <c r="G18" s="354"/>
      <c r="H18" s="356"/>
      <c r="I18" s="335"/>
      <c r="J18" s="320"/>
      <c r="K18" s="358">
        <v>2</v>
      </c>
      <c r="L18" s="361">
        <f>пр.хода!Q9</f>
        <v>2</v>
      </c>
      <c r="M18" s="352" t="str">
        <f>IFERROR(VLOOKUP(L18,пр.взв!$B$7:$H$14,2,0),"")</f>
        <v xml:space="preserve">ЛЯНКА Алина  Николаевна </v>
      </c>
      <c r="N18" s="316" t="str">
        <f>IFERROR(VLOOKUP(L18,пр.взв!$B$7:$H$14,3,0),"")</f>
        <v>06.05.96, МС</v>
      </c>
      <c r="O18" s="316" t="str">
        <f>IFERROR(VLOOKUP(L18,пр.взв!$B$7:$H$14,4,0),"")</f>
        <v>МОС</v>
      </c>
      <c r="P18" s="316" t="str">
        <f>IFERROR(VLOOKUP(L18,пр.взв!$B$7:$H$14,5,0),"")</f>
        <v>Москва</v>
      </c>
      <c r="Q18" s="354"/>
      <c r="R18" s="356"/>
      <c r="S18" s="335"/>
      <c r="T18" s="320"/>
    </row>
    <row r="19" spans="1:20" ht="12.6" customHeight="1">
      <c r="A19" s="359"/>
      <c r="B19" s="351"/>
      <c r="C19" s="353"/>
      <c r="D19" s="317"/>
      <c r="E19" s="317"/>
      <c r="F19" s="317"/>
      <c r="G19" s="355"/>
      <c r="H19" s="355"/>
      <c r="I19" s="336"/>
      <c r="J19" s="245"/>
      <c r="K19" s="359"/>
      <c r="L19" s="351"/>
      <c r="M19" s="353"/>
      <c r="N19" s="317"/>
      <c r="O19" s="317"/>
      <c r="P19" s="317"/>
      <c r="Q19" s="355"/>
      <c r="R19" s="355"/>
      <c r="S19" s="336"/>
      <c r="T19" s="245"/>
    </row>
    <row r="20" spans="1:20">
      <c r="A20" s="359"/>
      <c r="B20" s="362">
        <f>пр.хода!E13</f>
        <v>3</v>
      </c>
      <c r="C20" s="326" t="str">
        <f>IFERROR(VLOOKUP(B20,пр.взв!$B$7:$H$14,2,0),"")</f>
        <v>ЗАДВОРНОВА Ксения Валерьевна</v>
      </c>
      <c r="D20" s="318" t="str">
        <f>IFERROR(VLOOKUP(B20,пр.взв!$B$7:$H$14,3,0),"")</f>
        <v>29.12.98, КМС</v>
      </c>
      <c r="E20" s="318" t="str">
        <f>IFERROR(VLOOKUP(B20,пр.взв!$B$7:$H$14,4,0),"")</f>
        <v>ПФО</v>
      </c>
      <c r="F20" s="318" t="str">
        <f>IFERROR(VLOOKUP(B20,пр.взв!$B$7:$H$14,5,0),"")</f>
        <v>Татарстан, Казань, ЮР</v>
      </c>
      <c r="G20" s="339"/>
      <c r="H20" s="339"/>
      <c r="I20" s="246"/>
      <c r="J20" s="246"/>
      <c r="K20" s="359"/>
      <c r="L20" s="362">
        <f>пр.хода!Q13</f>
        <v>4</v>
      </c>
      <c r="M20" s="326" t="str">
        <f>IFERROR(VLOOKUP(L20,пр.взв!$B$7:$H$14,2,0),"")</f>
        <v>ФОМИЧЕВА Евгения Антонович</v>
      </c>
      <c r="N20" s="318" t="str">
        <f>IFERROR(VLOOKUP(L20,пр.взв!$B$7:$H$14,3,0),"")</f>
        <v>18.09.00, КМС</v>
      </c>
      <c r="O20" s="318" t="str">
        <f>IFERROR(VLOOKUP(L20,пр.взв!$B$7:$H$14,4,0),"")</f>
        <v>ПФО</v>
      </c>
      <c r="P20" s="318" t="str">
        <f>IFERROR(VLOOKUP(L20,пр.взв!$B$7:$H$14,5,0),"")</f>
        <v>Пермский, Пермь, МО</v>
      </c>
      <c r="Q20" s="339"/>
      <c r="R20" s="339"/>
      <c r="S20" s="246"/>
      <c r="T20" s="246"/>
    </row>
    <row r="21" spans="1:20" ht="12.95" customHeight="1" thickBot="1">
      <c r="A21" s="360"/>
      <c r="B21" s="338"/>
      <c r="C21" s="327"/>
      <c r="D21" s="319"/>
      <c r="E21" s="319"/>
      <c r="F21" s="319"/>
      <c r="G21" s="340"/>
      <c r="H21" s="340"/>
      <c r="I21" s="333"/>
      <c r="J21" s="333"/>
      <c r="K21" s="360"/>
      <c r="L21" s="338"/>
      <c r="M21" s="327"/>
      <c r="N21" s="319"/>
      <c r="O21" s="319"/>
      <c r="P21" s="319"/>
      <c r="Q21" s="340"/>
      <c r="R21" s="340"/>
      <c r="S21" s="333"/>
      <c r="T21" s="333"/>
    </row>
    <row r="22" spans="1:20" ht="15.75">
      <c r="B22" s="231">
        <f>B14</f>
        <v>0</v>
      </c>
      <c r="C22" s="232" t="s">
        <v>84</v>
      </c>
      <c r="D22" s="232"/>
      <c r="E22" s="334" t="str">
        <f>E14</f>
        <v>В.к.  72  кг.</v>
      </c>
      <c r="F22" s="334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4" t="str">
        <f>O14</f>
        <v>В.к.  72  кг.</v>
      </c>
      <c r="P22" s="334"/>
      <c r="Q22" s="232"/>
      <c r="R22" s="232"/>
      <c r="S22" s="232"/>
      <c r="T22" s="232"/>
    </row>
    <row r="23" spans="1:20" ht="15">
      <c r="A23" s="357" t="s">
        <v>36</v>
      </c>
      <c r="B23" s="357"/>
      <c r="C23" s="357"/>
      <c r="D23" s="357"/>
      <c r="E23" s="357"/>
      <c r="F23" s="357"/>
      <c r="G23" s="357"/>
      <c r="H23" s="357"/>
      <c r="I23" s="357"/>
      <c r="J23" s="357"/>
      <c r="K23" s="357" t="s">
        <v>37</v>
      </c>
      <c r="L23" s="357"/>
      <c r="M23" s="357"/>
      <c r="N23" s="357"/>
      <c r="O23" s="357"/>
      <c r="P23" s="357"/>
      <c r="Q23" s="357"/>
      <c r="R23" s="357"/>
      <c r="S23" s="357"/>
      <c r="T23" s="357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3" t="s">
        <v>38</v>
      </c>
      <c r="B25" s="345" t="s">
        <v>4</v>
      </c>
      <c r="C25" s="328" t="s">
        <v>5</v>
      </c>
      <c r="D25" s="320" t="s">
        <v>13</v>
      </c>
      <c r="E25" s="322" t="s">
        <v>14</v>
      </c>
      <c r="F25" s="323"/>
      <c r="G25" s="328" t="s">
        <v>15</v>
      </c>
      <c r="H25" s="330" t="s">
        <v>34</v>
      </c>
      <c r="I25" s="332" t="s">
        <v>16</v>
      </c>
      <c r="J25" s="341" t="s">
        <v>17</v>
      </c>
      <c r="K25" s="343" t="s">
        <v>38</v>
      </c>
      <c r="L25" s="345" t="s">
        <v>4</v>
      </c>
      <c r="M25" s="328" t="s">
        <v>5</v>
      </c>
      <c r="N25" s="320" t="s">
        <v>13</v>
      </c>
      <c r="O25" s="322" t="s">
        <v>14</v>
      </c>
      <c r="P25" s="323"/>
      <c r="Q25" s="328" t="s">
        <v>15</v>
      </c>
      <c r="R25" s="330" t="s">
        <v>34</v>
      </c>
      <c r="S25" s="332" t="s">
        <v>16</v>
      </c>
      <c r="T25" s="341" t="s">
        <v>17</v>
      </c>
    </row>
    <row r="26" spans="1:20" ht="13.5" customHeight="1" thickBot="1">
      <c r="A26" s="344"/>
      <c r="B26" s="346" t="s">
        <v>29</v>
      </c>
      <c r="C26" s="329"/>
      <c r="D26" s="321"/>
      <c r="E26" s="324"/>
      <c r="F26" s="325"/>
      <c r="G26" s="329"/>
      <c r="H26" s="331"/>
      <c r="I26" s="333"/>
      <c r="J26" s="342" t="s">
        <v>30</v>
      </c>
      <c r="K26" s="344"/>
      <c r="L26" s="346" t="s">
        <v>29</v>
      </c>
      <c r="M26" s="329"/>
      <c r="N26" s="321"/>
      <c r="O26" s="324"/>
      <c r="P26" s="325"/>
      <c r="Q26" s="329"/>
      <c r="R26" s="331"/>
      <c r="S26" s="333"/>
      <c r="T26" s="342" t="s">
        <v>30</v>
      </c>
    </row>
    <row r="27" spans="1:20">
      <c r="A27" s="347">
        <v>1</v>
      </c>
      <c r="B27" s="350">
        <f>пр.хода!A21</f>
        <v>5</v>
      </c>
      <c r="C27" s="352">
        <f>IFERROR(VLOOKUP(B27,пр.взв!$B$7:$H$14,2,0),"")</f>
        <v>0</v>
      </c>
      <c r="D27" s="316">
        <f>IFERROR(VLOOKUP(B27,пр.взв!$B$7:$H$14,3,0),"")</f>
        <v>0</v>
      </c>
      <c r="E27" s="316">
        <f>IFERROR(VLOOKUP(B27,пр.взв!$B$7:$H$14,4,0),"")</f>
        <v>0</v>
      </c>
      <c r="F27" s="316">
        <f>IFERROR(VLOOKUP(B27,пр.взв!$B$7:$H$14,5,0),"")</f>
        <v>0</v>
      </c>
      <c r="G27" s="354"/>
      <c r="H27" s="356"/>
      <c r="I27" s="335"/>
      <c r="J27" s="320"/>
      <c r="K27" s="347">
        <v>2</v>
      </c>
      <c r="L27" s="350">
        <f>пр.хода!U21</f>
        <v>6</v>
      </c>
      <c r="M27" s="352">
        <f>IFERROR(VLOOKUP(L27,пр.взв!$B$7:$H$14,2,0),"")</f>
        <v>0</v>
      </c>
      <c r="N27" s="316">
        <f>IFERROR(VLOOKUP(L27,пр.взв!$B$7:$H$14,3,0),"")</f>
        <v>0</v>
      </c>
      <c r="O27" s="316">
        <f>IFERROR(VLOOKUP(L27,пр.взв!$B$7:$H$14,4,0),"")</f>
        <v>0</v>
      </c>
      <c r="P27" s="316">
        <f>IFERROR(VLOOKUP(L27,пр.взв!$B$7:$H$14,5,0),"")</f>
        <v>0</v>
      </c>
      <c r="Q27" s="354"/>
      <c r="R27" s="356"/>
      <c r="S27" s="335"/>
      <c r="T27" s="320"/>
    </row>
    <row r="28" spans="1:20" ht="12.6" customHeight="1">
      <c r="A28" s="348"/>
      <c r="B28" s="351"/>
      <c r="C28" s="353"/>
      <c r="D28" s="317"/>
      <c r="E28" s="317"/>
      <c r="F28" s="317"/>
      <c r="G28" s="355"/>
      <c r="H28" s="355"/>
      <c r="I28" s="336"/>
      <c r="J28" s="245"/>
      <c r="K28" s="348"/>
      <c r="L28" s="351"/>
      <c r="M28" s="353"/>
      <c r="N28" s="317"/>
      <c r="O28" s="317"/>
      <c r="P28" s="317"/>
      <c r="Q28" s="355"/>
      <c r="R28" s="355"/>
      <c r="S28" s="336"/>
      <c r="T28" s="245"/>
    </row>
    <row r="29" spans="1:20">
      <c r="A29" s="348"/>
      <c r="B29" s="337">
        <f>пр.хода!A23</f>
        <v>7</v>
      </c>
      <c r="C29" s="326">
        <f>IFERROR(VLOOKUP(B29,пр.взв!$B$7:$H$14,2,0),"")</f>
        <v>0</v>
      </c>
      <c r="D29" s="318">
        <f>IFERROR(VLOOKUP(B29,пр.взв!$B$7:$H$14,3,0),"")</f>
        <v>0</v>
      </c>
      <c r="E29" s="318">
        <f>IFERROR(VLOOKUP(B29,пр.взв!$B$7:$H$14,4,0),"")</f>
        <v>0</v>
      </c>
      <c r="F29" s="318">
        <f>IFERROR(VLOOKUP(B29,пр.взв!$B$7:$H$14,5,0),"")</f>
        <v>0</v>
      </c>
      <c r="G29" s="339"/>
      <c r="H29" s="339"/>
      <c r="I29" s="246"/>
      <c r="J29" s="246"/>
      <c r="K29" s="348"/>
      <c r="L29" s="337">
        <f>пр.хода!U23</f>
        <v>8</v>
      </c>
      <c r="M29" s="326">
        <f>IFERROR(VLOOKUP(L29,пр.взв!$B$7:$H$14,2,0),"")</f>
        <v>0</v>
      </c>
      <c r="N29" s="318">
        <f>IFERROR(VLOOKUP(L29,пр.взв!$B$7:$H$14,3,0),"")</f>
        <v>0</v>
      </c>
      <c r="O29" s="318">
        <f>IFERROR(VLOOKUP(L29,пр.взв!$B$7:$H$14,4,0),"")</f>
        <v>0</v>
      </c>
      <c r="P29" s="318">
        <f>IFERROR(VLOOKUP(L29,пр.взв!$B$7:$H$14,5,0),"")</f>
        <v>0</v>
      </c>
      <c r="Q29" s="339"/>
      <c r="R29" s="339"/>
      <c r="S29" s="246"/>
      <c r="T29" s="246"/>
    </row>
    <row r="30" spans="1:20" ht="12.95" customHeight="1" thickBot="1">
      <c r="A30" s="349"/>
      <c r="B30" s="338"/>
      <c r="C30" s="327"/>
      <c r="D30" s="319"/>
      <c r="E30" s="319"/>
      <c r="F30" s="319"/>
      <c r="G30" s="340"/>
      <c r="H30" s="340"/>
      <c r="I30" s="333"/>
      <c r="J30" s="333"/>
      <c r="K30" s="349"/>
      <c r="L30" s="338"/>
      <c r="M30" s="327"/>
      <c r="N30" s="319"/>
      <c r="O30" s="319"/>
      <c r="P30" s="319"/>
      <c r="Q30" s="340"/>
      <c r="R30" s="340"/>
      <c r="S30" s="333"/>
      <c r="T30" s="333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0" t="s">
        <v>24</v>
      </c>
      <c r="B1" s="380"/>
      <c r="C1" s="380"/>
      <c r="D1" s="380"/>
      <c r="E1" s="380"/>
      <c r="F1" s="380"/>
      <c r="G1" s="380"/>
      <c r="H1" s="380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89" t="s">
        <v>79</v>
      </c>
      <c r="C2" s="389"/>
      <c r="D2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1"/>
      <c r="F2" s="391"/>
      <c r="G2" s="391"/>
      <c r="H2" s="392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3" t="str">
        <f>пр.взв!A3</f>
        <v>26-29.08.2022г.                                              г.Казань</v>
      </c>
      <c r="C3" s="393"/>
      <c r="D3" s="393"/>
      <c r="E3" s="393"/>
      <c r="F3" s="393"/>
      <c r="G3" s="394" t="str">
        <f>пр.взв!D4</f>
        <v>В.к.  72  кг.</v>
      </c>
      <c r="H3" s="395"/>
      <c r="I3" s="122"/>
    </row>
    <row r="4" spans="1:41" ht="12.75" customHeight="1" thickBot="1">
      <c r="A4" s="376" t="s">
        <v>10</v>
      </c>
      <c r="B4" s="378" t="s">
        <v>4</v>
      </c>
      <c r="C4" s="396" t="s">
        <v>5</v>
      </c>
      <c r="D4" s="398" t="s">
        <v>6</v>
      </c>
      <c r="E4" s="400" t="s">
        <v>7</v>
      </c>
      <c r="F4" s="398"/>
      <c r="G4" s="402" t="s">
        <v>9</v>
      </c>
      <c r="H4" s="381" t="s">
        <v>8</v>
      </c>
      <c r="I4" s="122"/>
      <c r="J4" s="375" t="str">
        <f>IFERROR(LEFT(F6,FIND(",",F6)-1),F6)</f>
        <v/>
      </c>
      <c r="K4" s="370">
        <v>1</v>
      </c>
      <c r="L4" s="371" t="s">
        <v>61</v>
      </c>
      <c r="M4" s="373" t="s">
        <v>60</v>
      </c>
      <c r="N4" s="386"/>
      <c r="O4" s="387"/>
      <c r="P4" s="387"/>
      <c r="Q4" s="388"/>
      <c r="S4" s="404" t="s">
        <v>61</v>
      </c>
      <c r="T4" s="373" t="s">
        <v>60</v>
      </c>
      <c r="U4" s="383"/>
      <c r="V4" s="384"/>
      <c r="W4" s="384"/>
      <c r="X4" s="385"/>
      <c r="AC4" s="404" t="s">
        <v>61</v>
      </c>
      <c r="AD4" s="373" t="s">
        <v>60</v>
      </c>
      <c r="AE4" s="383"/>
      <c r="AF4" s="384"/>
      <c r="AG4" s="384"/>
      <c r="AH4" s="385"/>
      <c r="AJ4" s="404" t="s">
        <v>61</v>
      </c>
      <c r="AK4" s="373" t="s">
        <v>60</v>
      </c>
      <c r="AL4" s="383"/>
      <c r="AM4" s="384"/>
      <c r="AN4" s="384"/>
      <c r="AO4" s="385"/>
    </row>
    <row r="5" spans="1:41" ht="16.5" thickBot="1">
      <c r="A5" s="377"/>
      <c r="B5" s="379"/>
      <c r="C5" s="397"/>
      <c r="D5" s="399"/>
      <c r="E5" s="401"/>
      <c r="F5" s="399"/>
      <c r="G5" s="403"/>
      <c r="H5" s="382"/>
      <c r="I5" s="122"/>
      <c r="J5" s="375"/>
      <c r="K5" s="370"/>
      <c r="L5" s="372"/>
      <c r="M5" s="374"/>
      <c r="N5" s="96">
        <v>1</v>
      </c>
      <c r="O5" s="97">
        <v>2</v>
      </c>
      <c r="P5" s="97">
        <v>3</v>
      </c>
      <c r="Q5" s="98">
        <v>5</v>
      </c>
      <c r="S5" s="405"/>
      <c r="T5" s="374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5"/>
      <c r="AD5" s="374"/>
      <c r="AE5" s="132">
        <v>1</v>
      </c>
      <c r="AF5" s="133">
        <v>2</v>
      </c>
      <c r="AG5" s="133">
        <v>3</v>
      </c>
      <c r="AH5" s="134">
        <v>5</v>
      </c>
      <c r="AJ5" s="405"/>
      <c r="AK5" s="374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5" t="s">
        <v>62</v>
      </c>
      <c r="K6" s="370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5"/>
      <c r="K7" s="370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0" t="str">
        <f>IFERROR(LEFT(F7,FIND(",",F7)-1),F7)</f>
        <v/>
      </c>
      <c r="K8" s="370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0"/>
      <c r="K9" s="370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0" t="str">
        <f>IFERROR(LEFT(F8,FIND(",",F8)-1),F8)</f>
        <v/>
      </c>
      <c r="K10" s="370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0"/>
      <c r="K11" s="370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>
        <f>пр.хода!Z23</f>
        <v>7</v>
      </c>
      <c r="C12" s="220">
        <f>IFERROR(VLOOKUP(B12,пр.взв!$B$7:$H$14,2,0),"")</f>
        <v>0</v>
      </c>
      <c r="D12" s="221">
        <f>IFERROR(VLOOKUP(B12,пр.взв!$B$7:$H$14,3,0),"")</f>
        <v>0</v>
      </c>
      <c r="E12" s="217">
        <f>IFERROR(VLOOKUP(B12,пр.взв!$B$7:$H$14,4,0),"")</f>
        <v>0</v>
      </c>
      <c r="F12" s="217">
        <f>IFERROR(VLOOKUP(B12,пр.взв!$B$7:$H$14,5,0),"")</f>
        <v>0</v>
      </c>
      <c r="G12" s="217">
        <f>IFERROR(VLOOKUP(B12,пр.взв!$B$7:$H$14,6,0),"")</f>
        <v>0</v>
      </c>
      <c r="H12" s="222">
        <f>IFERROR(VLOOKUP(B12,пр.взв!$B$7:$H$14,7,0),"")</f>
        <v>0</v>
      </c>
      <c r="I12" s="122"/>
      <c r="J12" s="370" t="str">
        <f>IFERROR(LEFT(F9,FIND(",",F9)-1),F9)</f>
        <v/>
      </c>
      <c r="K12" s="370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>
        <f>IFERROR(VLOOKUP(B13,пр.взв!$B$7:$H$14,2,0),"")</f>
        <v>0</v>
      </c>
      <c r="D13" s="227">
        <f>IFERROR(VLOOKUP(B13,пр.взв!$B$7:$H$14,3,0),"")</f>
        <v>0</v>
      </c>
      <c r="E13" s="228">
        <f>IFERROR(VLOOKUP(B13,пр.взв!$B$7:$H$14,4,0),"")</f>
        <v>0</v>
      </c>
      <c r="F13" s="228">
        <f>IFERROR(VLOOKUP(B13,пр.взв!$B$7:$H$14,5,0),"")</f>
        <v>0</v>
      </c>
      <c r="G13" s="228">
        <f>IFERROR(VLOOKUP(B13,пр.взв!$B$7:$H$14,6,0),"")</f>
        <v>0</v>
      </c>
      <c r="H13" s="229">
        <f>IFERROR(VLOOKUP(B13,пр.взв!$B$7:$H$14,7,0),"")</f>
        <v>0</v>
      </c>
      <c r="I13" s="122"/>
      <c r="J13" s="370"/>
      <c r="K13" s="370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0" t="str">
        <f>IFERROR(LEFT(F10,FIND(",",F10)-1),F10)</f>
        <v/>
      </c>
      <c r="K14" s="370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0"/>
      <c r="K15" s="370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0" t="str">
        <f>IFERROR(LEFT(F11,FIND(",",F11)-1),F11)</f>
        <v/>
      </c>
      <c r="K16" s="370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0"/>
      <c r="K17" s="370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6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7"/>
      <c r="C1" s="407"/>
      <c r="D1" s="407"/>
      <c r="E1" s="407"/>
      <c r="F1" s="407"/>
      <c r="G1" s="407"/>
      <c r="H1" s="407"/>
      <c r="I1" s="407"/>
    </row>
    <row r="2" spans="1:9" ht="27.75" customHeight="1">
      <c r="D2" s="44"/>
      <c r="E2" s="44"/>
      <c r="F2" s="51" t="str">
        <f>HYPERLINK(пр.взв!D4)</f>
        <v>В.к.  72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18" t="s">
        <v>5</v>
      </c>
      <c r="D5" s="245" t="s">
        <v>13</v>
      </c>
      <c r="E5" s="420" t="s">
        <v>14</v>
      </c>
      <c r="F5" s="421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2"/>
      <c r="F6" s="423"/>
      <c r="G6" s="246"/>
      <c r="H6" s="246"/>
      <c r="I6" s="246"/>
    </row>
    <row r="7" spans="1:9">
      <c r="A7" s="415"/>
      <c r="B7" s="419">
        <f>пр.хода!C22</f>
        <v>0</v>
      </c>
      <c r="C7" s="412" t="str">
        <f>IFERROR(VLOOKUP(B7,пр.взв!$B$7:$H$14,2,0),"")</f>
        <v/>
      </c>
      <c r="D7" s="408" t="str">
        <f>IFERROR(VLOOKUP(B7,пр.взв!$B$7:$H$14,3,0),"")</f>
        <v/>
      </c>
      <c r="E7" s="416" t="str">
        <f>IFERROR(VLOOKUP(B7,пр.взв!$B$7:$H$14,4,0),"")</f>
        <v/>
      </c>
      <c r="F7" s="408" t="str">
        <f>IFERROR(VLOOKUP(B7,пр.взв!$B$7:$H$14,5,0),"")</f>
        <v/>
      </c>
      <c r="G7" s="426"/>
      <c r="H7" s="336"/>
      <c r="I7" s="245"/>
    </row>
    <row r="8" spans="1:9">
      <c r="A8" s="415"/>
      <c r="B8" s="245"/>
      <c r="C8" s="413"/>
      <c r="D8" s="409"/>
      <c r="E8" s="417"/>
      <c r="F8" s="414"/>
      <c r="G8" s="426"/>
      <c r="H8" s="336"/>
      <c r="I8" s="245"/>
    </row>
    <row r="9" spans="1:9" ht="12.6" customHeight="1">
      <c r="A9" s="410"/>
      <c r="B9" s="419" t="str">
        <f>пр.хода!B27</f>
        <v/>
      </c>
      <c r="C9" s="412" t="str">
        <f>IFERROR(VLOOKUP(B9,пр.взв!$B$7:$H$14,2,0),"")</f>
        <v/>
      </c>
      <c r="D9" s="408" t="str">
        <f>IFERROR(VLOOKUP(B9,пр.взв!$B$7:$H$14,3,0),"")</f>
        <v/>
      </c>
      <c r="E9" s="408" t="str">
        <f>IFERROR(VLOOKUP(B9,пр.взв!$B$7:$H$14,4,0),"")</f>
        <v/>
      </c>
      <c r="F9" s="408" t="str">
        <f>IFERROR(VLOOKUP(B9,пр.взв!$B$7:$H$14,5,0),"")</f>
        <v/>
      </c>
      <c r="G9" s="426"/>
      <c r="H9" s="245"/>
      <c r="I9" s="245"/>
    </row>
    <row r="10" spans="1:9" ht="12.6" customHeight="1">
      <c r="A10" s="410"/>
      <c r="B10" s="245"/>
      <c r="C10" s="413"/>
      <c r="D10" s="409"/>
      <c r="E10" s="409"/>
      <c r="F10" s="409"/>
      <c r="G10" s="426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72  кг.</v>
      </c>
    </row>
    <row r="17" spans="1:10">
      <c r="A17" s="245" t="s">
        <v>12</v>
      </c>
      <c r="B17" s="245" t="s">
        <v>4</v>
      </c>
      <c r="C17" s="418" t="s">
        <v>5</v>
      </c>
      <c r="D17" s="245" t="s">
        <v>13</v>
      </c>
      <c r="E17" s="420" t="s">
        <v>14</v>
      </c>
      <c r="F17" s="421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2"/>
      <c r="F18" s="423"/>
      <c r="G18" s="246"/>
      <c r="H18" s="246"/>
      <c r="I18" s="246"/>
    </row>
    <row r="19" spans="1:10" ht="12.75" customHeight="1">
      <c r="A19" s="415"/>
      <c r="B19" s="411">
        <f>пр.хода!R22</f>
        <v>0</v>
      </c>
      <c r="C19" s="412" t="str">
        <f>IFERROR(VLOOKUP(B19,пр.взв!$B$7:$H$14,2,0),"")</f>
        <v/>
      </c>
      <c r="D19" s="408" t="str">
        <f>IFERROR(VLOOKUP(B19,пр.взв!$B$7:$H$14,3,0),"")</f>
        <v/>
      </c>
      <c r="E19" s="416" t="str">
        <f>IFERROR(VLOOKUP(B19,пр.взв!$B$7:$H$14,4,0),"")</f>
        <v/>
      </c>
      <c r="F19" s="408" t="str">
        <f>IFERROR(VLOOKUP(B19,пр.взв!$B$7:$H$14,5,0),"")</f>
        <v/>
      </c>
      <c r="G19" s="355"/>
      <c r="H19" s="336"/>
      <c r="I19" s="245"/>
    </row>
    <row r="20" spans="1:10" ht="12.6" customHeight="1">
      <c r="A20" s="415"/>
      <c r="B20" s="245"/>
      <c r="C20" s="413"/>
      <c r="D20" s="409"/>
      <c r="E20" s="417"/>
      <c r="F20" s="414"/>
      <c r="G20" s="355"/>
      <c r="H20" s="336"/>
      <c r="I20" s="245"/>
    </row>
    <row r="21" spans="1:10" ht="12.75" customHeight="1">
      <c r="A21" s="410"/>
      <c r="B21" s="419" t="str">
        <f>пр.хода!S27</f>
        <v/>
      </c>
      <c r="C21" s="412" t="str">
        <f>IFERROR(VLOOKUP(B21,пр.взв!$B$7:$H$14,2,0),"")</f>
        <v/>
      </c>
      <c r="D21" s="408" t="str">
        <f>IFERROR(VLOOKUP(B21,пр.взв!$B$7:$H$14,3,0),"")</f>
        <v/>
      </c>
      <c r="E21" s="408" t="str">
        <f>IFERROR(VLOOKUP(B21,пр.взв!$B$7:$H$14,4,0),"")</f>
        <v/>
      </c>
      <c r="F21" s="408" t="str">
        <f>IFERROR(VLOOKUP(B21,пр.взв!$B$7:$H$14,5,0),"")</f>
        <v/>
      </c>
      <c r="G21" s="355"/>
      <c r="H21" s="245"/>
      <c r="I21" s="245"/>
    </row>
    <row r="22" spans="1:10" ht="12.6" customHeight="1">
      <c r="A22" s="410"/>
      <c r="B22" s="245"/>
      <c r="C22" s="413"/>
      <c r="D22" s="409"/>
      <c r="E22" s="409"/>
      <c r="F22" s="409"/>
      <c r="G22" s="355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72  кг.</v>
      </c>
    </row>
    <row r="30" spans="1:10">
      <c r="A30" s="245" t="s">
        <v>12</v>
      </c>
      <c r="B30" s="245" t="s">
        <v>4</v>
      </c>
      <c r="C30" s="418" t="s">
        <v>5</v>
      </c>
      <c r="D30" s="245" t="s">
        <v>13</v>
      </c>
      <c r="E30" s="420" t="s">
        <v>14</v>
      </c>
      <c r="F30" s="421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4"/>
      <c r="F31" s="425"/>
      <c r="G31" s="246"/>
      <c r="H31" s="246"/>
      <c r="I31" s="246"/>
    </row>
    <row r="32" spans="1:10" ht="12.75" customHeight="1">
      <c r="A32" s="415"/>
      <c r="B32" s="411">
        <f>пр.хода!G11</f>
        <v>0</v>
      </c>
      <c r="C32" s="412" t="str">
        <f>IFERROR(VLOOKUP(B32,пр.взв!$B$7:$H$14,2,0),"")</f>
        <v/>
      </c>
      <c r="D32" s="408" t="str">
        <f>IFERROR(VLOOKUP(B32,пр.взв!$B$7:$H$14,3,0),"")</f>
        <v/>
      </c>
      <c r="E32" s="416" t="str">
        <f>IFERROR(VLOOKUP(B32,пр.взв!$B$7:$H$14,4,0),"")</f>
        <v/>
      </c>
      <c r="F32" s="408" t="str">
        <f>IFERROR(VLOOKUP(B32,пр.взв!$B$7:$H$14,5,0),"")</f>
        <v/>
      </c>
      <c r="G32" s="355"/>
      <c r="H32" s="336"/>
      <c r="I32" s="245"/>
    </row>
    <row r="33" spans="1:9" ht="12.6" customHeight="1">
      <c r="A33" s="415"/>
      <c r="B33" s="245"/>
      <c r="C33" s="413"/>
      <c r="D33" s="409"/>
      <c r="E33" s="417"/>
      <c r="F33" s="414"/>
      <c r="G33" s="355"/>
      <c r="H33" s="336"/>
      <c r="I33" s="245"/>
    </row>
    <row r="34" spans="1:9" ht="12.75" customHeight="1">
      <c r="A34" s="410"/>
      <c r="B34" s="411">
        <f>пр.хода!O11</f>
        <v>0</v>
      </c>
      <c r="C34" s="412" t="str">
        <f>IFERROR(VLOOKUP(B34,пр.взв!$B$7:$H$14,2,0),"")</f>
        <v/>
      </c>
      <c r="D34" s="408" t="str">
        <f>IFERROR(VLOOKUP(B34,пр.взв!$B$7:$H$14,3,0),"")</f>
        <v/>
      </c>
      <c r="E34" s="408" t="str">
        <f>IFERROR(VLOOKUP(B34,пр.взв!$B$7:$H$14,4,0),"")</f>
        <v/>
      </c>
      <c r="F34" s="408" t="str">
        <f>IFERROR(VLOOKUP(B34,пр.взв!$B$7:$H$14,5,0),"")</f>
        <v/>
      </c>
      <c r="G34" s="355"/>
      <c r="H34" s="245"/>
      <c r="I34" s="245"/>
    </row>
    <row r="35" spans="1:9" ht="12.6" customHeight="1">
      <c r="A35" s="410"/>
      <c r="B35" s="245"/>
      <c r="C35" s="413"/>
      <c r="D35" s="409"/>
      <c r="E35" s="409"/>
      <c r="F35" s="409"/>
      <c r="G35" s="355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28"/>
      <c r="C1" s="428"/>
      <c r="D1" s="428"/>
      <c r="E1" s="428"/>
      <c r="F1" s="428"/>
      <c r="G1" s="428"/>
      <c r="H1" s="429"/>
    </row>
    <row r="2" spans="1:10">
      <c r="A2" s="430" t="str">
        <f>пр.взв!A3</f>
        <v>26-29.08.2022г.                                              г.Казань</v>
      </c>
      <c r="B2" s="430"/>
      <c r="C2" s="430"/>
      <c r="D2" s="430"/>
      <c r="E2" s="430"/>
      <c r="F2" s="430"/>
      <c r="G2" s="430"/>
      <c r="H2" s="430"/>
    </row>
    <row r="3" spans="1:10" ht="18.75" thickBot="1">
      <c r="A3" s="431" t="s">
        <v>45</v>
      </c>
      <c r="B3" s="431"/>
      <c r="C3" s="431"/>
      <c r="D3" s="431"/>
      <c r="E3" s="431"/>
      <c r="F3" s="431"/>
      <c r="G3" s="431"/>
      <c r="H3" s="431"/>
    </row>
    <row r="4" spans="1:10" ht="18.75" thickBot="1">
      <c r="B4" s="74"/>
      <c r="C4" s="75"/>
      <c r="D4" s="432" t="str">
        <f>пр.взв!D4</f>
        <v>В.к.  72  кг.</v>
      </c>
      <c r="E4" s="433"/>
      <c r="F4" s="434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5" t="s">
        <v>46</v>
      </c>
      <c r="B6" s="438" t="str">
        <f>IFERROR(VLOOKUP(J6,пр.взв!$B$7:$H$14,2,0),"")</f>
        <v/>
      </c>
      <c r="C6" s="438"/>
      <c r="D6" s="438"/>
      <c r="E6" s="438"/>
      <c r="F6" s="438"/>
      <c r="G6" s="438"/>
      <c r="H6" s="440" t="str">
        <f>IFERROR(VLOOKUP(J6,пр.взв!$B$7:$H$14,3,0),"")</f>
        <v/>
      </c>
      <c r="I6" s="75"/>
      <c r="J6" s="76">
        <f>Ит.пр!B6</f>
        <v>0</v>
      </c>
    </row>
    <row r="7" spans="1:10" ht="18">
      <c r="A7" s="436"/>
      <c r="B7" s="439"/>
      <c r="C7" s="439"/>
      <c r="D7" s="439"/>
      <c r="E7" s="439"/>
      <c r="F7" s="439"/>
      <c r="G7" s="439"/>
      <c r="H7" s="441"/>
      <c r="I7" s="75"/>
      <c r="J7" s="76"/>
    </row>
    <row r="8" spans="1:10" ht="18">
      <c r="A8" s="436"/>
      <c r="B8" s="442" t="str">
        <f>IFERROR(VLOOKUP(J6,пр.взв!$B$7:$H$14,4,0),"")</f>
        <v/>
      </c>
      <c r="C8" s="442"/>
      <c r="D8" s="442"/>
      <c r="E8" s="442" t="str">
        <f>IFERROR(VLOOKUP(J6,пр.взв!$B$7:$H$14,5,0),"")</f>
        <v/>
      </c>
      <c r="F8" s="442"/>
      <c r="G8" s="442"/>
      <c r="H8" s="444"/>
      <c r="I8" s="75"/>
      <c r="J8" s="76"/>
    </row>
    <row r="9" spans="1:10" ht="18.75" thickBot="1">
      <c r="A9" s="437"/>
      <c r="B9" s="443"/>
      <c r="C9" s="443"/>
      <c r="D9" s="443"/>
      <c r="E9" s="443"/>
      <c r="F9" s="443"/>
      <c r="G9" s="443"/>
      <c r="H9" s="445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0" t="s">
        <v>47</v>
      </c>
      <c r="B11" s="438" t="str">
        <f>IFERROR(VLOOKUP(J11,пр.взв!$B$7:$H$14,2,0),"")</f>
        <v/>
      </c>
      <c r="C11" s="438"/>
      <c r="D11" s="438"/>
      <c r="E11" s="438"/>
      <c r="F11" s="438"/>
      <c r="G11" s="438"/>
      <c r="H11" s="440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1"/>
      <c r="B12" s="439"/>
      <c r="C12" s="439"/>
      <c r="D12" s="439"/>
      <c r="E12" s="439"/>
      <c r="F12" s="439"/>
      <c r="G12" s="439"/>
      <c r="H12" s="441"/>
      <c r="I12" s="75"/>
      <c r="J12" s="76"/>
    </row>
    <row r="13" spans="1:10" ht="18">
      <c r="A13" s="451"/>
      <c r="B13" s="442" t="str">
        <f>IFERROR(VLOOKUP(J11,пр.взв!$B$7:$H$14,4,0),"")</f>
        <v/>
      </c>
      <c r="C13" s="442"/>
      <c r="D13" s="442"/>
      <c r="E13" s="442" t="str">
        <f>IFERROR(VLOOKUP(J11,пр.взв!$B$7:$H$14,5,0),"")</f>
        <v/>
      </c>
      <c r="F13" s="442"/>
      <c r="G13" s="442"/>
      <c r="H13" s="444"/>
      <c r="I13" s="75"/>
      <c r="J13" s="76"/>
    </row>
    <row r="14" spans="1:10" ht="18.75" thickBot="1">
      <c r="A14" s="452"/>
      <c r="B14" s="443"/>
      <c r="C14" s="443"/>
      <c r="D14" s="443"/>
      <c r="E14" s="443"/>
      <c r="F14" s="443"/>
      <c r="G14" s="443"/>
      <c r="H14" s="445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3" t="s">
        <v>48</v>
      </c>
      <c r="B16" s="438" t="str">
        <f>IFERROR(VLOOKUP(J16,пр.взв!$B$7:$H$14,2,0),"")</f>
        <v/>
      </c>
      <c r="C16" s="438"/>
      <c r="D16" s="438"/>
      <c r="E16" s="438"/>
      <c r="F16" s="438"/>
      <c r="G16" s="438"/>
      <c r="H16" s="440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4"/>
      <c r="B17" s="439"/>
      <c r="C17" s="439"/>
      <c r="D17" s="439"/>
      <c r="E17" s="439"/>
      <c r="F17" s="439"/>
      <c r="G17" s="439"/>
      <c r="H17" s="441"/>
      <c r="I17" s="75"/>
      <c r="J17" s="76"/>
    </row>
    <row r="18" spans="1:10" ht="18">
      <c r="A18" s="454"/>
      <c r="B18" s="442" t="str">
        <f>IFERROR(VLOOKUP(J16,пр.взв!$B$7:$H$14,4,0),"")</f>
        <v/>
      </c>
      <c r="C18" s="442"/>
      <c r="D18" s="442"/>
      <c r="E18" s="442" t="str">
        <f>IFERROR(VLOOKUP(J16,пр.взв!$B$7:$H$14,5,0),"")</f>
        <v/>
      </c>
      <c r="F18" s="442"/>
      <c r="G18" s="442"/>
      <c r="H18" s="444"/>
      <c r="I18" s="75"/>
      <c r="J18" s="76"/>
    </row>
    <row r="19" spans="1:10" ht="18.75" thickBot="1">
      <c r="A19" s="455"/>
      <c r="B19" s="443"/>
      <c r="C19" s="443"/>
      <c r="D19" s="443"/>
      <c r="E19" s="443"/>
      <c r="F19" s="443"/>
      <c r="G19" s="443"/>
      <c r="H19" s="445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3" t="s">
        <v>48</v>
      </c>
      <c r="B21" s="438" t="str">
        <f>IFERROR(VLOOKUP(J21,пр.взв!$B$7:$H$14,2,0),"")</f>
        <v/>
      </c>
      <c r="C21" s="438"/>
      <c r="D21" s="438"/>
      <c r="E21" s="438"/>
      <c r="F21" s="438"/>
      <c r="G21" s="438"/>
      <c r="H21" s="440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4"/>
      <c r="B22" s="439"/>
      <c r="C22" s="439"/>
      <c r="D22" s="439"/>
      <c r="E22" s="439"/>
      <c r="F22" s="439"/>
      <c r="G22" s="439"/>
      <c r="H22" s="441"/>
      <c r="I22" s="75"/>
      <c r="J22" s="76"/>
    </row>
    <row r="23" spans="1:10" ht="18">
      <c r="A23" s="454"/>
      <c r="B23" s="442" t="str">
        <f>IFERROR(VLOOKUP(J21,пр.взв!$B$7:$H$14,4,0),"")</f>
        <v/>
      </c>
      <c r="C23" s="442"/>
      <c r="D23" s="442"/>
      <c r="E23" s="442" t="str">
        <f>IFERROR(VLOOKUP(J21,пр.взв!$B$7:$H$14,5,0),"")</f>
        <v/>
      </c>
      <c r="F23" s="442"/>
      <c r="G23" s="442"/>
      <c r="H23" s="444"/>
      <c r="I23" s="75"/>
    </row>
    <row r="24" spans="1:10" ht="18.75" thickBot="1">
      <c r="A24" s="455"/>
      <c r="B24" s="443"/>
      <c r="C24" s="443"/>
      <c r="D24" s="443"/>
      <c r="E24" s="443"/>
      <c r="F24" s="443"/>
      <c r="G24" s="443"/>
      <c r="H24" s="445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6" t="str">
        <f>IFERROR(VLOOKUP(J28,пр.взв!$B$7:$H$14,7,0),"")</f>
        <v/>
      </c>
      <c r="B28" s="447"/>
      <c r="C28" s="447"/>
      <c r="D28" s="447"/>
      <c r="E28" s="447"/>
      <c r="F28" s="447"/>
      <c r="G28" s="447"/>
      <c r="H28" s="448"/>
      <c r="J28">
        <f>J6</f>
        <v>0</v>
      </c>
    </row>
    <row r="29" spans="1:10" ht="13.5" thickBot="1">
      <c r="A29" s="449"/>
      <c r="B29" s="443"/>
      <c r="C29" s="443"/>
      <c r="D29" s="443"/>
      <c r="E29" s="443"/>
      <c r="F29" s="443"/>
      <c r="G29" s="443"/>
      <c r="H29" s="445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6" t="s">
        <v>22</v>
      </c>
      <c r="D1" s="457"/>
      <c r="E1" s="457"/>
      <c r="F1" s="457"/>
      <c r="G1" s="457"/>
      <c r="H1" s="457"/>
      <c r="I1" s="457"/>
      <c r="J1" s="458"/>
    </row>
    <row r="2" spans="1:36" ht="26.25" customHeight="1" thickBot="1">
      <c r="A2" s="5"/>
      <c r="B2" s="5"/>
      <c r="C2" s="461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2"/>
      <c r="E2" s="462"/>
      <c r="F2" s="462"/>
      <c r="G2" s="462"/>
      <c r="H2" s="462"/>
      <c r="I2" s="462"/>
      <c r="J2" s="463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59" t="str">
        <f>пр.хода!C4</f>
        <v>26-29.08.2022г.                                              г.Казань</v>
      </c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72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7" t="s">
        <v>0</v>
      </c>
      <c r="B5" s="28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5">
        <v>1</v>
      </c>
      <c r="B6" s="285" t="str">
        <f>VLOOKUP('стартвый '!A6:A7,пр.взв!B6:C14,2,FALSE)</f>
        <v xml:space="preserve">ЛИЩЕНКО Тамара Владимировна </v>
      </c>
      <c r="C6" s="256" t="str">
        <f>VLOOKUP(A6,пр.взв!B6:H14,3,FALSE)</f>
        <v>26.08.98, МС</v>
      </c>
      <c r="D6" s="256" t="str">
        <f>VLOOKUP(A6,пр.взв!B6:H14,5,FALSE)</f>
        <v>Санкт - Петербург , МС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6"/>
      <c r="C7" s="284"/>
      <c r="D7" s="284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3">
        <f>VLOOKUP('стартвый '!A8:A9,пр.взв!B8:C14,2,FALSE)</f>
        <v>0</v>
      </c>
      <c r="C8" s="269">
        <f>VLOOKUP(A8,пр.взв!B6:H14,3,FALSE)</f>
        <v>0</v>
      </c>
      <c r="D8" s="269">
        <f>VLOOKUP(A8,пр.взв!B6:H14,5,FALSE)</f>
        <v>0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6"/>
      <c r="C9" s="284"/>
      <c r="D9" s="28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5">
        <v>3</v>
      </c>
      <c r="B10" s="285" t="e">
        <f>VLOOKUP('стартвый '!A10:A11,пр.взв!B10:C14,2,FALSE)</f>
        <v>#N/A</v>
      </c>
      <c r="C10" s="256" t="str">
        <f>VLOOKUP(A10,пр.взв!B6:H14,3,FALSE)</f>
        <v>29.12.98, КМС</v>
      </c>
      <c r="D10" s="256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6"/>
      <c r="C11" s="284"/>
      <c r="D11" s="28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3">
        <f>VLOOKUP('стартвый '!A12:A13,пр.взв!B12:C14,2,FALSE)</f>
        <v>0</v>
      </c>
      <c r="C12" s="269">
        <f>VLOOKUP(A12,пр.взв!B6:H14,3,FALSE)</f>
        <v>0</v>
      </c>
      <c r="D12" s="269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5"/>
      <c r="B13" s="460"/>
      <c r="C13" s="257"/>
      <c r="D13" s="257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7" t="s">
        <v>1</v>
      </c>
      <c r="B16" s="287"/>
      <c r="E16" s="17"/>
      <c r="F16" s="17"/>
      <c r="G16" s="17"/>
      <c r="H16" s="17"/>
      <c r="I16" s="39"/>
      <c r="J16" s="3"/>
    </row>
    <row r="17" spans="1:12" ht="13.5" thickBot="1">
      <c r="A17" s="255">
        <v>2</v>
      </c>
      <c r="B17" s="285" t="str">
        <f>VLOOKUP(A17,пр.взв!B7:H14,2,FALSE)</f>
        <v xml:space="preserve">ЛЯНКА Алина  Николаевна </v>
      </c>
      <c r="C17" s="256" t="str">
        <f>VLOOKUP(A17,пр.взв!B7:H14,3,FALSE)</f>
        <v>06.05.96, МС</v>
      </c>
      <c r="D17" s="256" t="str">
        <f>VLOOKUP(A17,пр.взв!B7:H14,5,FALSE)</f>
        <v>Москва</v>
      </c>
      <c r="E17" s="17"/>
      <c r="F17" s="17"/>
      <c r="G17" s="17"/>
      <c r="H17" s="17"/>
      <c r="I17" s="32"/>
      <c r="J17" s="3"/>
    </row>
    <row r="18" spans="1:12">
      <c r="A18" s="254"/>
      <c r="B18" s="286"/>
      <c r="C18" s="284"/>
      <c r="D18" s="284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3">
        <f>VLOOKUP('стартвый '!A19:A20,пр.взв!B7:H14,2,FALSE)</f>
        <v>0</v>
      </c>
      <c r="C19" s="269">
        <f>VLOOKUP(A19,пр.взв!B7:H14,3,FALSE)</f>
        <v>0</v>
      </c>
      <c r="D19" s="269">
        <f>VLOOKUP(A19,пр.взв!B7:H14,5,FALSE)</f>
        <v>0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6"/>
      <c r="C20" s="284"/>
      <c r="D20" s="284"/>
      <c r="E20" s="17"/>
      <c r="F20" s="21"/>
      <c r="G20" s="19"/>
      <c r="H20" s="25"/>
      <c r="I20" s="32"/>
      <c r="J20" s="3"/>
    </row>
    <row r="21" spans="1:12" ht="13.5" thickBot="1">
      <c r="A21" s="255">
        <v>4</v>
      </c>
      <c r="B21" s="285" t="str">
        <f>VLOOKUP('стартвый '!A21:A22,пр.взв!B7:H14,2,FALSE)</f>
        <v>ФОМИЧЕВА Евгения Антонович</v>
      </c>
      <c r="C21" s="256" t="str">
        <f>VLOOKUP(A21,пр.взв!B7:H14,3,FALSE)</f>
        <v>18.09.00, КМС</v>
      </c>
      <c r="D21" s="256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6"/>
      <c r="C22" s="284"/>
      <c r="D22" s="284"/>
      <c r="E22" s="19"/>
      <c r="F22" s="22"/>
      <c r="G22" s="23"/>
      <c r="H22" s="21"/>
    </row>
    <row r="23" spans="1:12" ht="13.5" thickBot="1">
      <c r="A23" s="253">
        <v>8</v>
      </c>
      <c r="B23" s="273">
        <f>VLOOKUP('стартвый '!A23:A24,пр.взв!B7:H14,2,FALSE)</f>
        <v>0</v>
      </c>
      <c r="C23" s="269">
        <f>VLOOKUP(A23,пр.взв!B7:H14,3,FALSE)</f>
        <v>0</v>
      </c>
      <c r="D23" s="269">
        <f>VLOOKUP(A23,пр.взв!B11:H14,5,FALSE)</f>
        <v>0</v>
      </c>
      <c r="E23" s="18"/>
      <c r="F23" s="17"/>
      <c r="G23" s="24"/>
      <c r="H23" s="21"/>
    </row>
    <row r="24" spans="1:12" ht="13.5" thickBot="1">
      <c r="A24" s="275"/>
      <c r="B24" s="460"/>
      <c r="C24" s="257"/>
      <c r="D24" s="257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2022-08-26T15:47:12Z</cp:lastPrinted>
  <dcterms:created xsi:type="dcterms:W3CDTF">1996-10-08T23:32:33Z</dcterms:created>
  <dcterms:modified xsi:type="dcterms:W3CDTF">2022-08-26T18:00:51Z</dcterms:modified>
</cp:coreProperties>
</file>