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 codeName="{4D1C537B-E38A-612A-F078-A93A15B4B7F4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79033\Desktop\Спартакиада сильнейших\веса муж\"/>
    </mc:Choice>
  </mc:AlternateContent>
  <xr:revisionPtr revIDLastSave="0" documentId="8_{0066F686-BF0A-4DF0-8185-79E6CA61F3AC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пр.взв" sheetId="2" r:id="rId1"/>
    <sheet name="пр.хода" sheetId="3" r:id="rId2"/>
    <sheet name="круги" sheetId="7" r:id="rId3"/>
    <sheet name="Ит.пр" sheetId="1" r:id="rId4"/>
    <sheet name="полуфинал" sheetId="5" r:id="rId5"/>
    <sheet name="нагр. лист" sheetId="9" r:id="rId6"/>
    <sheet name="стартвый " sheetId="4" r:id="rId7"/>
  </sheets>
  <externalReferences>
    <externalReference r:id="rId8"/>
  </externalReferences>
  <definedNames>
    <definedName name="разряд">пр.взв!$K$7:$K$14</definedName>
    <definedName name="субъект">пр.взв!$L$7:$L$14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5" i="1" l="1"/>
  <c r="G24" i="1"/>
  <c r="G22" i="1"/>
  <c r="G21" i="1"/>
  <c r="A21" i="1"/>
  <c r="B33" i="3"/>
  <c r="R33" i="3"/>
  <c r="R31" i="3"/>
  <c r="N33" i="3"/>
  <c r="N31" i="3"/>
  <c r="A3" i="2"/>
  <c r="B2" i="2"/>
  <c r="L2" i="7" l="1"/>
  <c r="E2" i="7"/>
  <c r="E14" i="7" s="1"/>
  <c r="E22" i="7" s="1"/>
  <c r="O2" i="7" l="1"/>
  <c r="O14" i="7" s="1"/>
  <c r="O22" i="7" s="1"/>
  <c r="A2" i="9" l="1"/>
  <c r="A1" i="9"/>
  <c r="B3" i="1"/>
  <c r="D2" i="1"/>
  <c r="C4" i="3"/>
  <c r="C3" i="3"/>
  <c r="L14" i="7" l="1"/>
  <c r="L22" i="7" s="1"/>
  <c r="B14" i="7"/>
  <c r="B22" i="7" s="1"/>
  <c r="E8" i="7"/>
  <c r="L14" i="2" l="1"/>
  <c r="K14" i="2"/>
  <c r="L13" i="2"/>
  <c r="K13" i="2"/>
  <c r="L12" i="2"/>
  <c r="K12" i="2"/>
  <c r="L11" i="2"/>
  <c r="K11" i="2"/>
  <c r="L10" i="2"/>
  <c r="K10" i="2"/>
  <c r="L9" i="2"/>
  <c r="K9" i="2"/>
  <c r="L8" i="2"/>
  <c r="K8" i="2"/>
  <c r="L7" i="2"/>
  <c r="K7" i="2"/>
  <c r="N7" i="2" l="1" a="1"/>
  <c r="N7" i="2" s="1"/>
  <c r="Q6" i="2" s="1"/>
  <c r="Z6" i="2" s="1"/>
  <c r="N8" i="2" l="1" a="1"/>
  <c r="N8" i="2" s="1"/>
  <c r="R6" i="2" s="1"/>
  <c r="AA6" i="2" s="1"/>
  <c r="N9" i="2" l="1" a="1"/>
  <c r="N9" i="2" s="1"/>
  <c r="S6" i="2" s="1"/>
  <c r="AB6" i="2" s="1"/>
  <c r="N10" i="2" l="1" a="1"/>
  <c r="N10" i="2" s="1"/>
  <c r="N11" i="2" s="1" a="1"/>
  <c r="N11" i="2" s="1"/>
  <c r="T6" i="2" l="1"/>
  <c r="AC6" i="2" s="1"/>
  <c r="U6" i="2"/>
  <c r="AD6" i="2" s="1"/>
  <c r="N12" i="2" a="1"/>
  <c r="N12" i="2" s="1"/>
  <c r="V6" i="2" s="1"/>
  <c r="AE6" i="2" s="1"/>
  <c r="N13" i="2" l="1" a="1"/>
  <c r="N13" i="2" s="1"/>
  <c r="W6" i="2" l="1"/>
  <c r="AF6" i="2" s="1"/>
  <c r="N14" i="2" a="1"/>
  <c r="N14" i="2" s="1"/>
  <c r="Y19" i="3" l="1"/>
  <c r="Y20" i="3"/>
  <c r="Y25" i="3"/>
  <c r="P12" i="7" l="1"/>
  <c r="O12" i="7"/>
  <c r="N12" i="7"/>
  <c r="M12" i="7"/>
  <c r="P10" i="7"/>
  <c r="O10" i="7"/>
  <c r="N10" i="7"/>
  <c r="M10" i="7"/>
  <c r="P8" i="7"/>
  <c r="O8" i="7"/>
  <c r="N8" i="7"/>
  <c r="M8" i="7"/>
  <c r="P6" i="7"/>
  <c r="O6" i="7"/>
  <c r="N6" i="7"/>
  <c r="M6" i="7"/>
  <c r="F8" i="7"/>
  <c r="F10" i="7"/>
  <c r="F12" i="7"/>
  <c r="E10" i="7"/>
  <c r="E12" i="7"/>
  <c r="D8" i="7"/>
  <c r="D10" i="7"/>
  <c r="D12" i="7"/>
  <c r="C8" i="7"/>
  <c r="C10" i="7"/>
  <c r="C12" i="7"/>
  <c r="F6" i="7"/>
  <c r="E6" i="7"/>
  <c r="D6" i="7"/>
  <c r="C6" i="7"/>
  <c r="M25" i="3" l="1"/>
  <c r="F25" i="3"/>
  <c r="T10" i="3"/>
  <c r="T12" i="3"/>
  <c r="T14" i="3"/>
  <c r="S10" i="3"/>
  <c r="S12" i="3"/>
  <c r="S14" i="3"/>
  <c r="R10" i="3"/>
  <c r="R12" i="3"/>
  <c r="R14" i="3"/>
  <c r="T8" i="3"/>
  <c r="S8" i="3"/>
  <c r="R8" i="3"/>
  <c r="I9" i="3"/>
  <c r="D10" i="3"/>
  <c r="D12" i="3"/>
  <c r="D14" i="3"/>
  <c r="C10" i="3"/>
  <c r="C12" i="3"/>
  <c r="C14" i="3"/>
  <c r="B10" i="3"/>
  <c r="B12" i="3"/>
  <c r="B14" i="3"/>
  <c r="D8" i="3"/>
  <c r="C8" i="3"/>
  <c r="B8" i="3"/>
  <c r="D4" i="9" l="1"/>
  <c r="I40" i="4"/>
  <c r="I38" i="4"/>
  <c r="K38" i="4"/>
  <c r="T12" i="1"/>
  <c r="H14" i="3"/>
  <c r="I14" i="3" s="1"/>
  <c r="B27" i="3"/>
  <c r="C27" i="3" s="1"/>
  <c r="S27" i="3"/>
  <c r="R27" i="3" s="1"/>
  <c r="Y24" i="3"/>
  <c r="U23" i="3" s="1"/>
  <c r="Y23" i="3"/>
  <c r="A23" i="3" s="1"/>
  <c r="Y22" i="3"/>
  <c r="U21" i="3" s="1"/>
  <c r="S21" i="3" s="1"/>
  <c r="Y21" i="3"/>
  <c r="A21" i="3" s="1"/>
  <c r="B21" i="3" s="1"/>
  <c r="D23" i="4"/>
  <c r="D21" i="4"/>
  <c r="D19" i="4"/>
  <c r="D17" i="4"/>
  <c r="D12" i="4"/>
  <c r="D10" i="4"/>
  <c r="D8" i="4"/>
  <c r="D6" i="4"/>
  <c r="B38" i="4"/>
  <c r="B40" i="4"/>
  <c r="A24" i="1"/>
  <c r="G3" i="1"/>
  <c r="B9" i="1"/>
  <c r="J21" i="9" s="1"/>
  <c r="B8" i="1"/>
  <c r="B6" i="1"/>
  <c r="C2" i="4"/>
  <c r="B34" i="5"/>
  <c r="B32" i="5"/>
  <c r="B7" i="5"/>
  <c r="L20" i="7"/>
  <c r="L18" i="7"/>
  <c r="B20" i="7"/>
  <c r="B18" i="7"/>
  <c r="B19" i="5"/>
  <c r="C23" i="4"/>
  <c r="C21" i="4"/>
  <c r="C19" i="4"/>
  <c r="C17" i="4"/>
  <c r="B23" i="4"/>
  <c r="B21" i="4"/>
  <c r="B19" i="4"/>
  <c r="B17" i="4"/>
  <c r="B8" i="4"/>
  <c r="B10" i="4"/>
  <c r="B12" i="4"/>
  <c r="B6" i="4"/>
  <c r="C12" i="4"/>
  <c r="C10" i="4"/>
  <c r="C8" i="4"/>
  <c r="C6" i="4"/>
  <c r="F29" i="5"/>
  <c r="F16" i="5"/>
  <c r="F2" i="5"/>
  <c r="F4" i="4"/>
  <c r="H5" i="3"/>
  <c r="Z21" i="3" l="1"/>
  <c r="B10" i="1" s="1"/>
  <c r="Z22" i="3"/>
  <c r="B11" i="1" s="1"/>
  <c r="H11" i="1" s="1"/>
  <c r="J6" i="9"/>
  <c r="E8" i="9" s="1"/>
  <c r="C6" i="1"/>
  <c r="B23" i="3"/>
  <c r="Z23" i="3"/>
  <c r="B12" i="1" s="1"/>
  <c r="C12" i="1" s="1"/>
  <c r="S23" i="3"/>
  <c r="Z24" i="3"/>
  <c r="B13" i="1" s="1"/>
  <c r="C20" i="7"/>
  <c r="E20" i="7"/>
  <c r="D20" i="7"/>
  <c r="F20" i="7"/>
  <c r="C11" i="1"/>
  <c r="E11" i="1"/>
  <c r="C34" i="5"/>
  <c r="F34" i="5"/>
  <c r="E34" i="5"/>
  <c r="D34" i="5"/>
  <c r="G6" i="1"/>
  <c r="F6" i="1"/>
  <c r="J4" i="1" s="1"/>
  <c r="E6" i="1"/>
  <c r="H6" i="1"/>
  <c r="D6" i="1"/>
  <c r="B6" i="9"/>
  <c r="B8" i="9"/>
  <c r="C19" i="5"/>
  <c r="F19" i="5"/>
  <c r="D19" i="5"/>
  <c r="E19" i="5"/>
  <c r="C32" i="5"/>
  <c r="F32" i="5"/>
  <c r="D32" i="5"/>
  <c r="E32" i="5"/>
  <c r="M20" i="7"/>
  <c r="O20" i="7"/>
  <c r="N20" i="7"/>
  <c r="P20" i="7"/>
  <c r="A1" i="5"/>
  <c r="F8" i="1"/>
  <c r="J10" i="1" s="1"/>
  <c r="G8" i="1"/>
  <c r="C8" i="1"/>
  <c r="D8" i="1"/>
  <c r="E8" i="1"/>
  <c r="H8" i="1"/>
  <c r="H10" i="1"/>
  <c r="D10" i="1"/>
  <c r="G10" i="1"/>
  <c r="E10" i="1"/>
  <c r="F10" i="1"/>
  <c r="J14" i="1" s="1"/>
  <c r="C10" i="1"/>
  <c r="M18" i="7"/>
  <c r="P18" i="7"/>
  <c r="N18" i="7"/>
  <c r="O18" i="7"/>
  <c r="L29" i="7"/>
  <c r="B21" i="9"/>
  <c r="E23" i="9"/>
  <c r="H21" i="9"/>
  <c r="B23" i="9"/>
  <c r="C18" i="7"/>
  <c r="F18" i="7"/>
  <c r="D18" i="7"/>
  <c r="E18" i="7"/>
  <c r="C7" i="5"/>
  <c r="F7" i="5"/>
  <c r="D7" i="5"/>
  <c r="E7" i="5"/>
  <c r="E9" i="1"/>
  <c r="F9" i="1"/>
  <c r="J12" i="1" s="1"/>
  <c r="V1" i="1" s="1"/>
  <c r="G9" i="1"/>
  <c r="C9" i="1"/>
  <c r="H9" i="1"/>
  <c r="D9" i="1"/>
  <c r="B3" i="4"/>
  <c r="B27" i="7"/>
  <c r="B9" i="5"/>
  <c r="J16" i="9"/>
  <c r="L27" i="7"/>
  <c r="B21" i="5"/>
  <c r="B29" i="7"/>
  <c r="B7" i="1"/>
  <c r="D11" i="1" l="1"/>
  <c r="G11" i="1"/>
  <c r="F11" i="1"/>
  <c r="J16" i="1" s="1"/>
  <c r="T2" i="1" s="1"/>
  <c r="H6" i="9"/>
  <c r="J28" i="9"/>
  <c r="A28" i="9" s="1"/>
  <c r="G12" i="1"/>
  <c r="H12" i="1"/>
  <c r="F12" i="1"/>
  <c r="E12" i="1"/>
  <c r="D12" i="1"/>
  <c r="C21" i="5"/>
  <c r="F21" i="5"/>
  <c r="E21" i="5"/>
  <c r="D21" i="5"/>
  <c r="G7" i="1"/>
  <c r="C7" i="1"/>
  <c r="D7" i="1"/>
  <c r="E7" i="1"/>
  <c r="F7" i="1"/>
  <c r="J8" i="1" s="1"/>
  <c r="H7" i="1"/>
  <c r="C9" i="5"/>
  <c r="E9" i="5"/>
  <c r="F9" i="5"/>
  <c r="D9" i="5"/>
  <c r="C29" i="7"/>
  <c r="F29" i="7"/>
  <c r="E29" i="7"/>
  <c r="D29" i="7"/>
  <c r="M27" i="7"/>
  <c r="N27" i="7"/>
  <c r="P27" i="7"/>
  <c r="O27" i="7"/>
  <c r="E13" i="1"/>
  <c r="F13" i="1"/>
  <c r="C13" i="1"/>
  <c r="H13" i="1"/>
  <c r="G13" i="1"/>
  <c r="D13" i="1"/>
  <c r="B16" i="9"/>
  <c r="E18" i="9"/>
  <c r="B18" i="9"/>
  <c r="H16" i="9"/>
  <c r="C27" i="7"/>
  <c r="F27" i="7"/>
  <c r="D27" i="7"/>
  <c r="E27" i="7"/>
  <c r="M29" i="7"/>
  <c r="P29" i="7"/>
  <c r="O29" i="7"/>
  <c r="N29" i="7"/>
  <c r="P17" i="1"/>
  <c r="P9" i="1"/>
  <c r="P7" i="1"/>
  <c r="P8" i="1"/>
  <c r="P13" i="1"/>
  <c r="P11" i="1"/>
  <c r="P10" i="1"/>
  <c r="P15" i="1"/>
  <c r="P6" i="1"/>
  <c r="P14" i="1"/>
  <c r="P16" i="1"/>
  <c r="P12" i="1"/>
  <c r="J11" i="9"/>
  <c r="N10" i="1"/>
  <c r="N8" i="1"/>
  <c r="N15" i="1"/>
  <c r="N9" i="1"/>
  <c r="N13" i="1"/>
  <c r="N11" i="1"/>
  <c r="N6" i="1"/>
  <c r="N14" i="1"/>
  <c r="N16" i="1"/>
  <c r="N7" i="1"/>
  <c r="N17" i="1"/>
  <c r="T6" i="1"/>
  <c r="N12" i="1"/>
  <c r="Q6" i="1"/>
  <c r="Q7" i="1"/>
  <c r="Q12" i="1"/>
  <c r="Q11" i="1"/>
  <c r="Q9" i="1"/>
  <c r="Q14" i="1"/>
  <c r="Q8" i="1" l="1"/>
  <c r="Q10" i="1"/>
  <c r="Q15" i="1"/>
  <c r="Q17" i="1"/>
  <c r="Q18" i="1" s="1"/>
  <c r="Q13" i="1"/>
  <c r="Q16" i="1"/>
  <c r="T9" i="1"/>
  <c r="W9" i="1" s="1"/>
  <c r="T10" i="1"/>
  <c r="V10" i="1" s="1"/>
  <c r="B11" i="9"/>
  <c r="E13" i="9"/>
  <c r="B13" i="9"/>
  <c r="H11" i="9"/>
  <c r="W6" i="1"/>
  <c r="U6" i="1"/>
  <c r="V6" i="1"/>
  <c r="X6" i="1"/>
  <c r="Z6" i="1"/>
  <c r="AB6" i="1" s="1"/>
  <c r="AD6" i="1" s="1"/>
  <c r="P18" i="1"/>
  <c r="N18" i="1"/>
  <c r="O9" i="1"/>
  <c r="O10" i="1"/>
  <c r="O12" i="1"/>
  <c r="O14" i="1"/>
  <c r="O6" i="1"/>
  <c r="O8" i="1"/>
  <c r="O16" i="1"/>
  <c r="O15" i="1"/>
  <c r="O17" i="1"/>
  <c r="O13" i="1"/>
  <c r="T7" i="1"/>
  <c r="O7" i="1"/>
  <c r="O11" i="1"/>
  <c r="T13" i="1"/>
  <c r="T8" i="1"/>
  <c r="T11" i="1"/>
  <c r="U9" i="1" l="1"/>
  <c r="X9" i="1"/>
  <c r="X10" i="1"/>
  <c r="V9" i="1"/>
  <c r="W10" i="1"/>
  <c r="U10" i="1"/>
  <c r="V11" i="1"/>
  <c r="X11" i="1"/>
  <c r="U11" i="1"/>
  <c r="W11" i="1"/>
  <c r="AK6" i="1"/>
  <c r="AE6" i="1"/>
  <c r="AH6" i="1"/>
  <c r="AG6" i="1"/>
  <c r="AF6" i="1"/>
  <c r="U8" i="1"/>
  <c r="Z8" i="1"/>
  <c r="V8" i="1"/>
  <c r="X8" i="1"/>
  <c r="W8" i="1"/>
  <c r="X7" i="1"/>
  <c r="U7" i="1"/>
  <c r="AA7" i="1" s="1"/>
  <c r="V7" i="1"/>
  <c r="Z7" i="1"/>
  <c r="Z10" i="1"/>
  <c r="W7" i="1"/>
  <c r="Z11" i="1"/>
  <c r="Z9" i="1"/>
  <c r="T1" i="1"/>
  <c r="O18" i="1"/>
  <c r="AB8" i="1" l="1"/>
  <c r="AL6" i="1"/>
  <c r="AB7" i="1"/>
  <c r="AB9" i="1"/>
  <c r="AB11" i="1"/>
  <c r="AB10" i="1"/>
  <c r="AM6" i="1"/>
  <c r="AN6" i="1"/>
  <c r="AO6" i="1"/>
  <c r="AD9" i="1" l="1"/>
  <c r="AD11" i="1"/>
  <c r="AD10" i="1"/>
  <c r="AD7" i="1"/>
  <c r="AD8" i="1"/>
  <c r="AE10" i="1" l="1"/>
  <c r="AL10" i="1" s="1"/>
  <c r="AK10" i="1"/>
  <c r="AF10" i="1"/>
  <c r="AM10" i="1" s="1"/>
  <c r="AG10" i="1"/>
  <c r="AN10" i="1" s="1"/>
  <c r="AH10" i="1"/>
  <c r="AO10" i="1" s="1"/>
  <c r="AG11" i="1"/>
  <c r="AN11" i="1" s="1"/>
  <c r="AE11" i="1"/>
  <c r="AL11" i="1" s="1"/>
  <c r="AK11" i="1"/>
  <c r="AF11" i="1"/>
  <c r="AM11" i="1" s="1"/>
  <c r="AH11" i="1"/>
  <c r="AO11" i="1" s="1"/>
  <c r="AF9" i="1"/>
  <c r="AM9" i="1" s="1"/>
  <c r="AH9" i="1"/>
  <c r="AO9" i="1" s="1"/>
  <c r="AK9" i="1"/>
  <c r="AG9" i="1"/>
  <c r="AN9" i="1" s="1"/>
  <c r="AE9" i="1"/>
  <c r="AL9" i="1" s="1"/>
  <c r="AK8" i="1"/>
  <c r="AE8" i="1"/>
  <c r="AL8" i="1" s="1"/>
  <c r="AH8" i="1"/>
  <c r="AO8" i="1" s="1"/>
  <c r="AG8" i="1"/>
  <c r="AN8" i="1" s="1"/>
  <c r="AF8" i="1"/>
  <c r="AM8" i="1" s="1"/>
  <c r="AF7" i="1"/>
  <c r="AH7" i="1"/>
  <c r="AE7" i="1"/>
  <c r="AG7" i="1"/>
  <c r="AK7" i="1"/>
  <c r="AM7" i="1" l="1"/>
  <c r="AM12" i="1" s="1"/>
  <c r="AF12" i="1"/>
  <c r="AL7" i="1"/>
  <c r="AL12" i="1" s="1"/>
  <c r="AE12" i="1"/>
  <c r="AN7" i="1"/>
  <c r="AN12" i="1" s="1"/>
  <c r="AG12" i="1"/>
  <c r="AO7" i="1"/>
  <c r="AO12" i="1" s="1"/>
  <c r="AH12" i="1"/>
  <c r="M7" i="2" a="1"/>
  <c r="M7" i="2" s="1"/>
  <c r="M8" i="2" l="1" a="1"/>
  <c r="M8" i="2" s="1"/>
  <c r="P7" i="2"/>
  <c r="S7" i="2" l="1"/>
  <c r="AB7" i="2" s="1"/>
  <c r="V7" i="2"/>
  <c r="AE7" i="2" s="1"/>
  <c r="Y7" i="2"/>
  <c r="T7" i="2"/>
  <c r="AC7" i="2" s="1"/>
  <c r="U7" i="2"/>
  <c r="AD7" i="2" s="1"/>
  <c r="Q7" i="2"/>
  <c r="Z7" i="2" s="1"/>
  <c r="W7" i="2"/>
  <c r="AF7" i="2" s="1"/>
  <c r="R7" i="2"/>
  <c r="AA7" i="2" s="1"/>
  <c r="P8" i="2"/>
  <c r="M9" i="2" a="1"/>
  <c r="M9" i="2" s="1"/>
  <c r="P9" i="2" l="1"/>
  <c r="M10" i="2" a="1"/>
  <c r="M10" i="2" s="1"/>
  <c r="S8" i="2"/>
  <c r="U8" i="2"/>
  <c r="AD8" i="2" s="1"/>
  <c r="R8" i="2"/>
  <c r="Q8" i="2"/>
  <c r="W8" i="2"/>
  <c r="AF8" i="2" s="1"/>
  <c r="T8" i="2"/>
  <c r="V8" i="2"/>
  <c r="AE8" i="2" s="1"/>
  <c r="Y8" i="2"/>
  <c r="Q9" i="2" l="1"/>
  <c r="V9" i="2"/>
  <c r="AE9" i="2" s="1"/>
  <c r="S9" i="2"/>
  <c r="R9" i="2"/>
  <c r="Y9" i="2"/>
  <c r="U9" i="2"/>
  <c r="AD9" i="2" s="1"/>
  <c r="W9" i="2"/>
  <c r="AF9" i="2" s="1"/>
  <c r="T9" i="2"/>
  <c r="AB8" i="2"/>
  <c r="AA8" i="2"/>
  <c r="AC8" i="2"/>
  <c r="Z8" i="2"/>
  <c r="P10" i="2"/>
  <c r="M11" i="2" a="1"/>
  <c r="M11" i="2" s="1"/>
  <c r="P11" i="2" s="1"/>
  <c r="M12" i="2" l="1" a="1"/>
  <c r="M12" i="2" s="1"/>
  <c r="Q11" i="2"/>
  <c r="T11" i="2"/>
  <c r="V11" i="2"/>
  <c r="AE11" i="2" s="1"/>
  <c r="S11" i="2"/>
  <c r="W11" i="2"/>
  <c r="AF11" i="2" s="1"/>
  <c r="Y11" i="2"/>
  <c r="U11" i="2"/>
  <c r="AD11" i="2" s="1"/>
  <c r="R11" i="2"/>
  <c r="T10" i="2"/>
  <c r="Q10" i="2"/>
  <c r="W10" i="2"/>
  <c r="AF10" i="2" s="1"/>
  <c r="S10" i="2"/>
  <c r="R10" i="2"/>
  <c r="U10" i="2"/>
  <c r="AD10" i="2" s="1"/>
  <c r="Y10" i="2"/>
  <c r="V10" i="2"/>
  <c r="AE10" i="2" s="1"/>
  <c r="Z9" i="2"/>
  <c r="AC9" i="2"/>
  <c r="AA9" i="2"/>
  <c r="AB9" i="2"/>
  <c r="AB11" i="2" l="1"/>
  <c r="AC11" i="2"/>
  <c r="AA11" i="2"/>
  <c r="Z11" i="2"/>
  <c r="AC10" i="2"/>
  <c r="Z10" i="2"/>
  <c r="AB10" i="2"/>
  <c r="AA10" i="2"/>
  <c r="P12" i="2"/>
  <c r="M13" i="2" a="1"/>
  <c r="M13" i="2" s="1"/>
  <c r="P13" i="2" s="1"/>
  <c r="R13" i="2" l="1"/>
  <c r="V13" i="2"/>
  <c r="AE13" i="2" s="1"/>
  <c r="Q13" i="2"/>
  <c r="Y13" i="2"/>
  <c r="S13" i="2"/>
  <c r="T13" i="2"/>
  <c r="U13" i="2"/>
  <c r="AD13" i="2" s="1"/>
  <c r="W13" i="2"/>
  <c r="AF13" i="2" s="1"/>
  <c r="R12" i="2"/>
  <c r="Y12" i="2"/>
  <c r="W12" i="2"/>
  <c r="AF12" i="2" s="1"/>
  <c r="V12" i="2"/>
  <c r="AE12" i="2" s="1"/>
  <c r="Q12" i="2"/>
  <c r="T12" i="2"/>
  <c r="S12" i="2"/>
  <c r="U12" i="2"/>
  <c r="AD12" i="2" s="1"/>
  <c r="M14" i="2" a="1"/>
  <c r="M14" i="2" s="1"/>
  <c r="P14" i="2" s="1"/>
  <c r="AC13" i="2" l="1"/>
  <c r="AB13" i="2"/>
  <c r="Z13" i="2"/>
  <c r="AA13" i="2"/>
  <c r="Z12" i="2"/>
  <c r="AB12" i="2"/>
  <c r="AC12" i="2"/>
  <c r="AA12" i="2"/>
  <c r="S14" i="2"/>
  <c r="Q14" i="2"/>
  <c r="Y14" i="2"/>
  <c r="R14" i="2"/>
  <c r="T14" i="2"/>
  <c r="U14" i="2"/>
  <c r="AD14" i="2" s="1"/>
  <c r="V14" i="2"/>
  <c r="AE14" i="2" s="1"/>
  <c r="W14" i="2"/>
  <c r="AF14" i="2" s="1"/>
  <c r="Z14" i="2" l="1"/>
  <c r="AC14" i="2"/>
  <c r="AA14" i="2"/>
  <c r="AB14" i="2"/>
  <c r="AH7" i="2" l="1"/>
  <c r="W5" i="3" s="1"/>
  <c r="O5" i="3" s="1"/>
</calcChain>
</file>

<file path=xl/sharedStrings.xml><?xml version="1.0" encoding="utf-8"?>
<sst xmlns="http://schemas.openxmlformats.org/spreadsheetml/2006/main" count="242" uniqueCount="116">
  <si>
    <t>А</t>
  </si>
  <si>
    <t>Б</t>
  </si>
  <si>
    <t>А1</t>
  </si>
  <si>
    <t>Б1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</si>
  <si>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</si>
  <si>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</si>
  <si>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</si>
  <si>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</si>
  <si>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</si>
  <si>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</si>
  <si>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 xml:space="preserve"> место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</si>
  <si>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</si>
  <si>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</si>
  <si>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</si>
  <si>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</si>
  <si>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</si>
  <si>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</si>
  <si>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</si>
  <si>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ФИНАЛ</t>
  </si>
  <si>
    <t>Руководитель ковра</t>
  </si>
  <si>
    <t>ВСТРЕЧА 2</t>
  </si>
  <si>
    <t>ЗА 3 МЕСТО</t>
  </si>
  <si>
    <t xml:space="preserve">ПРОТОКОЛ ХОДА СОРЕВНОВАНИЙ       </t>
  </si>
  <si>
    <t xml:space="preserve">ПРОТОКОЛ ХОДА СОРЕВНОВАНИЙ        </t>
  </si>
  <si>
    <t>ВСЕРОССИЙСКАЯ ФЕДЕРАЦИЯ САМБО</t>
  </si>
  <si>
    <t>УТЕШИТЕЛЬНЫЕ ВСТРЕЧИ</t>
  </si>
  <si>
    <t>1 место</t>
  </si>
  <si>
    <t>2 место</t>
  </si>
  <si>
    <t>A</t>
  </si>
  <si>
    <t>№ j</t>
  </si>
  <si>
    <t>tame</t>
  </si>
  <si>
    <t>1/4</t>
  </si>
  <si>
    <t>ВСТРЕЧИ ПО КРУГАМ</t>
  </si>
  <si>
    <t xml:space="preserve"> (Круг)</t>
  </si>
  <si>
    <t>Очки</t>
  </si>
  <si>
    <t>Полуфинал</t>
  </si>
  <si>
    <t xml:space="preserve"> (Утешительные встречи)</t>
  </si>
  <si>
    <t>(Утешительные встречи)</t>
  </si>
  <si>
    <t>№ встр</t>
  </si>
  <si>
    <t>3 место</t>
  </si>
  <si>
    <t>7-8</t>
  </si>
  <si>
    <t>гл.судья:</t>
  </si>
  <si>
    <t>гл.секретарь:</t>
  </si>
  <si>
    <t>судьи:</t>
  </si>
  <si>
    <t>врач:</t>
  </si>
  <si>
    <t>НАГРАДНОЙ ЛИСТ</t>
  </si>
  <si>
    <t>I м</t>
  </si>
  <si>
    <t>II м</t>
  </si>
  <si>
    <t>III м</t>
  </si>
  <si>
    <t>Тренер победителя:</t>
  </si>
  <si>
    <t>Награждение проводят:</t>
  </si>
  <si>
    <t>5-6</t>
  </si>
  <si>
    <t>1</t>
  </si>
  <si>
    <t>2</t>
  </si>
  <si>
    <t>3</t>
  </si>
  <si>
    <t>4</t>
  </si>
  <si>
    <t>5</t>
  </si>
  <si>
    <t>6</t>
  </si>
  <si>
    <t>7</t>
  </si>
  <si>
    <t>8</t>
  </si>
  <si>
    <t>Субъект</t>
  </si>
  <si>
    <t>№пп</t>
  </si>
  <si>
    <t>СМИТ</t>
  </si>
  <si>
    <t>УТЕШ</t>
  </si>
  <si>
    <t>М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</si>
  <si>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</si>
  <si>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</si>
  <si>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</si>
  <si>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</si>
  <si>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</si>
  <si>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</si>
  <si>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</si>
  <si>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</si>
  <si>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</si>
  <si>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</si>
  <si>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</si>
  <si>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Мос</t>
  </si>
  <si>
    <t>Мандатка</t>
  </si>
  <si>
    <t>Субъект, город.</t>
  </si>
  <si>
    <t xml:space="preserve">ИТОГОВЫЙ ПРОТОКОЛ                                              </t>
  </si>
  <si>
    <t>/Г-Алтайск/</t>
  </si>
  <si>
    <t xml:space="preserve">ПРОТОКОЛ ВЗВЕШИВАНИЯ </t>
  </si>
  <si>
    <t>№ п/п</t>
  </si>
  <si>
    <t>участников</t>
  </si>
  <si>
    <t>ковер</t>
  </si>
  <si>
    <t>Гл. судья, судья ВК</t>
  </si>
  <si>
    <t xml:space="preserve">ШАМСУТДИНОВ  Дамир Фаргатович </t>
  </si>
  <si>
    <t>01.07.02, МС</t>
  </si>
  <si>
    <t>УФО</t>
  </si>
  <si>
    <t>Свердловская, Верхняя Пышма, МФКиС</t>
  </si>
  <si>
    <t>Лоншаков.Ю.Б., Бекетов В.В.</t>
  </si>
  <si>
    <t xml:space="preserve">ТЛИШЕВ  Харун  Аминович </t>
  </si>
  <si>
    <t>15.11,99, МСМК</t>
  </si>
  <si>
    <t>ЮФО</t>
  </si>
  <si>
    <t>Краснодарский, Армавир , ВС</t>
  </si>
  <si>
    <t>Псеунов М.А</t>
  </si>
  <si>
    <t xml:space="preserve">ХЕРТЕК Саян  Калдар-оолович </t>
  </si>
  <si>
    <t>05.09.87, ЗМС</t>
  </si>
  <si>
    <t>МОС</t>
  </si>
  <si>
    <t>Москва, Москва, Д</t>
  </si>
  <si>
    <t>Павлов Д.А. Юхарев С.С.</t>
  </si>
  <si>
    <t>КОЗЛОВ Роман Витальевич</t>
  </si>
  <si>
    <t>04.05.90, МСМК</t>
  </si>
  <si>
    <t>ЦФО</t>
  </si>
  <si>
    <t>Рязанская, Рязань, Д</t>
  </si>
  <si>
    <t>Серёгин С. М.</t>
  </si>
  <si>
    <t xml:space="preserve">КУЮКОВ Элбек Владимирович </t>
  </si>
  <si>
    <t>13.05.95, МС</t>
  </si>
  <si>
    <t>СФО</t>
  </si>
  <si>
    <t>Новосибирская, Новосибирск , МС</t>
  </si>
  <si>
    <t>Орлов А.А.</t>
  </si>
  <si>
    <t>АТКУНОВ Аймерген  Сергеевич</t>
  </si>
  <si>
    <t>14.04.89. МСМК</t>
  </si>
  <si>
    <t>Свердловская, Верхняя Пышма, Д</t>
  </si>
  <si>
    <t>Стенников В.Г, Бекетов ВВ</t>
  </si>
  <si>
    <t>В.к.  58   кг.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</si>
</sst>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44">
    <font>
      <sz val="10"/>
      <name val="Arial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2"/>
      <name val="Arial Narrow"/>
      <family val="2"/>
      <charset val="204"/>
    </font>
    <font>
      <sz val="12"/>
      <name val="Arial"/>
      <family val="2"/>
      <charset val="204"/>
    </font>
    <font>
      <b/>
      <i/>
      <sz val="12"/>
      <name val="Arial"/>
      <family val="2"/>
      <charset val="204"/>
    </font>
    <font>
      <sz val="14"/>
      <color indexed="10"/>
      <name val="CyrillicOld"/>
    </font>
    <font>
      <sz val="10"/>
      <color indexed="10"/>
      <name val="Arial Narrow"/>
      <family val="2"/>
      <charset val="204"/>
    </font>
    <font>
      <sz val="10"/>
      <color indexed="10"/>
      <name val="Arial"/>
      <family val="2"/>
      <charset val="204"/>
    </font>
    <font>
      <b/>
      <sz val="10"/>
      <color indexed="10"/>
      <name val="Arial Narrow"/>
      <family val="2"/>
      <charset val="204"/>
    </font>
    <font>
      <sz val="12"/>
      <name val="Arial Narrow"/>
      <family val="2"/>
      <charset val="204"/>
    </font>
    <font>
      <sz val="12"/>
      <color indexed="10"/>
      <name val="Arial Narrow"/>
      <family val="2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1"/>
      <name val="Arial"/>
      <family val="2"/>
      <charset val="204"/>
    </font>
    <font>
      <b/>
      <sz val="8"/>
      <name val="Arial Narrow"/>
      <family val="2"/>
      <charset val="204"/>
    </font>
    <font>
      <b/>
      <sz val="11"/>
      <name val="Arial"/>
      <family val="2"/>
      <charset val="204"/>
    </font>
    <font>
      <b/>
      <i/>
      <sz val="10"/>
      <name val="Arial"/>
      <family val="2"/>
      <charset val="204"/>
    </font>
    <font>
      <i/>
      <sz val="12"/>
      <name val="Arial"/>
      <family val="2"/>
      <charset val="204"/>
    </font>
    <font>
      <sz val="14"/>
      <name val="CyrillicOld"/>
    </font>
    <font>
      <sz val="12"/>
      <color theme="0"/>
      <name val="Arial Narrow"/>
      <family val="2"/>
      <charset val="204"/>
    </font>
    <font>
      <sz val="10"/>
      <color rgb="FFFF0000"/>
      <name val="Arial"/>
      <family val="2"/>
      <charset val="204"/>
    </font>
    <font>
      <b/>
      <sz val="12"/>
      <color rgb="FFFF0000"/>
      <name val="Arial"/>
      <family val="2"/>
      <charset val="204"/>
    </font>
    <font>
      <i/>
      <sz val="11"/>
      <name val="Arial"/>
      <family val="2"/>
      <charset val="204"/>
    </font>
    <font>
      <b/>
      <i/>
      <sz val="14"/>
      <name val="Arial Narrow"/>
      <family val="2"/>
      <charset val="204"/>
    </font>
    <font>
      <b/>
      <i/>
      <sz val="11"/>
      <name val="Arial Narrow"/>
      <family val="2"/>
      <charset val="204"/>
    </font>
    <font>
      <sz val="10"/>
      <color rgb="FF000000"/>
      <name val="Arial"/>
      <family val="2"/>
      <charset val="204"/>
    </font>
    <font>
      <b/>
      <i/>
      <sz val="16"/>
      <name val="Arial Narrow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17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 style="thin">
        <color indexed="64"/>
      </bottom>
      <diagonal/>
    </border>
    <border>
      <left style="medium">
        <color indexed="17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8" fillId="0" borderId="0"/>
    <xf numFmtId="164" fontId="1" fillId="0" borderId="0" applyFont="0" applyFill="0" applyBorder="0" applyAlignment="0" applyProtection="0"/>
  </cellStyleXfs>
  <cellXfs count="427">
    <xf numFmtId="0" fontId="0" fillId="0" borderId="0" xfId="0"/>
    <xf numFmtId="0" fontId="0" fillId="0" borderId="1" xfId="0" applyBorder="1"/>
    <xf numFmtId="0" fontId="1" fillId="0" borderId="0" xfId="1" applyFont="1" applyAlignment="1" applyProtection="1"/>
    <xf numFmtId="0" fontId="1" fillId="0" borderId="0" xfId="0" applyFont="1"/>
    <xf numFmtId="0" fontId="0" fillId="0" borderId="2" xfId="0" applyBorder="1"/>
    <xf numFmtId="0" fontId="0" fillId="0" borderId="0" xfId="0" applyAlignment="1">
      <alignment horizontal="left"/>
    </xf>
    <xf numFmtId="0" fontId="4" fillId="0" borderId="0" xfId="0" applyFont="1"/>
    <xf numFmtId="0" fontId="6" fillId="0" borderId="0" xfId="0" applyFont="1" applyAlignment="1">
      <alignment horizontal="center" vertical="center" wrapText="1"/>
    </xf>
    <xf numFmtId="0" fontId="4" fillId="0" borderId="0" xfId="1" applyFont="1" applyFill="1" applyBorder="1" applyAlignment="1" applyProtection="1">
      <alignment horizontal="left"/>
    </xf>
    <xf numFmtId="0" fontId="4" fillId="0" borderId="0" xfId="1" applyFont="1" applyBorder="1" applyAlignment="1" applyProtection="1"/>
    <xf numFmtId="0" fontId="9" fillId="0" borderId="0" xfId="1" applyFont="1" applyBorder="1" applyAlignment="1" applyProtection="1"/>
    <xf numFmtId="0" fontId="4" fillId="0" borderId="1" xfId="0" applyFont="1" applyBorder="1"/>
    <xf numFmtId="0" fontId="9" fillId="0" borderId="0" xfId="1" applyFont="1" applyAlignment="1" applyProtection="1"/>
    <xf numFmtId="49" fontId="0" fillId="0" borderId="0" xfId="0" applyNumberFormat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0" fillId="0" borderId="6" xfId="0" applyBorder="1"/>
    <xf numFmtId="49" fontId="2" fillId="0" borderId="7" xfId="0" applyNumberFormat="1" applyFont="1" applyBorder="1" applyAlignment="1">
      <alignment vertical="center" wrapText="1"/>
    </xf>
    <xf numFmtId="0" fontId="6" fillId="0" borderId="0" xfId="1" applyFont="1" applyBorder="1" applyAlignment="1" applyProtection="1">
      <alignment vertical="center" wrapText="1"/>
    </xf>
    <xf numFmtId="0" fontId="6" fillId="0" borderId="0" xfId="0" applyFont="1" applyAlignment="1">
      <alignment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5" xfId="0" applyBorder="1"/>
    <xf numFmtId="0" fontId="0" fillId="0" borderId="11" xfId="0" applyBorder="1"/>
    <xf numFmtId="0" fontId="8" fillId="0" borderId="0" xfId="1" applyNumberFormat="1" applyFont="1" applyAlignment="1" applyProtection="1">
      <alignment vertical="center" wrapText="1"/>
    </xf>
    <xf numFmtId="49" fontId="0" fillId="0" borderId="6" xfId="0" applyNumberFormat="1" applyBorder="1" applyAlignment="1">
      <alignment horizontal="center" vertical="center"/>
    </xf>
    <xf numFmtId="0" fontId="4" fillId="0" borderId="0" xfId="1" applyFont="1" applyBorder="1" applyAlignment="1" applyProtection="1">
      <alignment vertical="center" wrapText="1"/>
    </xf>
    <xf numFmtId="49" fontId="4" fillId="0" borderId="12" xfId="0" applyNumberFormat="1" applyFon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" xfId="1" applyFont="1" applyBorder="1" applyAlignment="1" applyProtection="1"/>
    <xf numFmtId="49" fontId="0" fillId="0" borderId="0" xfId="0" applyNumberForma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4" xfId="0" applyBorder="1"/>
    <xf numFmtId="0" fontId="4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4" fillId="0" borderId="0" xfId="1" applyFont="1" applyBorder="1" applyAlignment="1" applyProtection="1">
      <alignment horizontal="center"/>
    </xf>
    <xf numFmtId="0" fontId="12" fillId="0" borderId="0" xfId="0" applyFont="1"/>
    <xf numFmtId="0" fontId="1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1" applyFont="1" applyBorder="1" applyAlignment="1" applyProtection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7" fillId="0" borderId="7" xfId="0" applyNumberFormat="1" applyFont="1" applyBorder="1" applyAlignment="1">
      <alignment vertical="center"/>
    </xf>
    <xf numFmtId="0" fontId="7" fillId="0" borderId="7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2" fillId="0" borderId="0" xfId="1" applyNumberFormat="1" applyFont="1" applyBorder="1" applyAlignment="1" applyProtection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4" fillId="0" borderId="4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/>
    </xf>
    <xf numFmtId="0" fontId="1" fillId="0" borderId="0" xfId="1" applyFont="1" applyBorder="1" applyAlignment="1" applyProtection="1">
      <alignment vertical="center" wrapText="1"/>
    </xf>
    <xf numFmtId="49" fontId="2" fillId="0" borderId="7" xfId="0" applyNumberFormat="1" applyFont="1" applyBorder="1" applyAlignment="1">
      <alignment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0" fontId="26" fillId="0" borderId="0" xfId="0" applyFont="1"/>
    <xf numFmtId="0" fontId="25" fillId="0" borderId="0" xfId="0" applyFont="1"/>
    <xf numFmtId="0" fontId="0" fillId="0" borderId="0" xfId="0" applyAlignment="1">
      <alignment horizontal="right"/>
    </xf>
    <xf numFmtId="0" fontId="25" fillId="0" borderId="2" xfId="0" applyFont="1" applyBorder="1"/>
    <xf numFmtId="0" fontId="25" fillId="0" borderId="1" xfId="0" applyFont="1" applyBorder="1"/>
    <xf numFmtId="0" fontId="8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0" xfId="0" applyFont="1"/>
    <xf numFmtId="0" fontId="8" fillId="0" borderId="1" xfId="0" applyFont="1" applyBorder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0" fontId="18" fillId="0" borderId="15" xfId="0" applyFont="1" applyBorder="1" applyAlignment="1" applyProtection="1">
      <alignment horizontal="center"/>
      <protection locked="0" hidden="1"/>
    </xf>
    <xf numFmtId="0" fontId="18" fillId="0" borderId="16" xfId="0" applyFont="1" applyBorder="1" applyAlignment="1" applyProtection="1">
      <alignment horizontal="center"/>
      <protection locked="0" hidden="1"/>
    </xf>
    <xf numFmtId="0" fontId="18" fillId="0" borderId="17" xfId="0" applyFont="1" applyBorder="1" applyAlignment="1">
      <alignment horizontal="left" vertical="center"/>
    </xf>
    <xf numFmtId="0" fontId="11" fillId="0" borderId="18" xfId="0" applyFont="1" applyBorder="1" applyAlignment="1" applyProtection="1">
      <alignment horizontal="center" vertical="center"/>
      <protection locked="0"/>
    </xf>
    <xf numFmtId="0" fontId="11" fillId="0" borderId="19" xfId="0" applyFont="1" applyBorder="1" applyAlignment="1" applyProtection="1">
      <alignment horizontal="center" vertical="center"/>
      <protection locked="0"/>
    </xf>
    <xf numFmtId="0" fontId="11" fillId="0" borderId="13" xfId="0" applyFont="1" applyBorder="1" applyAlignment="1" applyProtection="1">
      <alignment horizontal="center" vertical="center"/>
      <protection locked="0"/>
    </xf>
    <xf numFmtId="0" fontId="18" fillId="0" borderId="20" xfId="0" applyFont="1" applyBorder="1" applyAlignment="1" applyProtection="1">
      <alignment horizontal="center"/>
      <protection locked="0" hidden="1"/>
    </xf>
    <xf numFmtId="0" fontId="18" fillId="0" borderId="21" xfId="0" applyFont="1" applyBorder="1" applyAlignment="1" applyProtection="1">
      <alignment horizontal="center"/>
      <protection locked="0" hidden="1"/>
    </xf>
    <xf numFmtId="0" fontId="18" fillId="7" borderId="21" xfId="0" applyFont="1" applyFill="1" applyBorder="1" applyAlignment="1" applyProtection="1">
      <alignment horizontal="center"/>
      <protection locked="0" hidden="1"/>
    </xf>
    <xf numFmtId="0" fontId="18" fillId="0" borderId="0" xfId="0" applyFont="1" applyAlignment="1">
      <alignment horizontal="center"/>
    </xf>
    <xf numFmtId="0" fontId="18" fillId="0" borderId="0" xfId="0" applyFont="1"/>
    <xf numFmtId="0" fontId="11" fillId="2" borderId="22" xfId="0" applyFont="1" applyFill="1" applyBorder="1" applyAlignment="1" applyProtection="1">
      <alignment horizontal="center" vertical="center"/>
      <protection locked="0" hidden="1"/>
    </xf>
    <xf numFmtId="0" fontId="36" fillId="0" borderId="15" xfId="0" applyFont="1" applyBorder="1" applyAlignment="1" applyProtection="1">
      <alignment horizontal="center"/>
      <protection locked="0" hidden="1"/>
    </xf>
    <xf numFmtId="0" fontId="36" fillId="0" borderId="17" xfId="0" applyFont="1" applyBorder="1" applyAlignment="1">
      <alignment horizontal="left" vertical="center"/>
    </xf>
    <xf numFmtId="0" fontId="36" fillId="0" borderId="21" xfId="0" applyFont="1" applyBorder="1" applyAlignment="1" applyProtection="1">
      <alignment horizontal="center"/>
      <protection locked="0" hidden="1"/>
    </xf>
    <xf numFmtId="0" fontId="36" fillId="7" borderId="21" xfId="0" applyFont="1" applyFill="1" applyBorder="1" applyAlignment="1" applyProtection="1">
      <alignment horizontal="center"/>
      <protection locked="0" hidden="1"/>
    </xf>
    <xf numFmtId="0" fontId="36" fillId="0" borderId="16" xfId="0" applyFont="1" applyBorder="1" applyAlignment="1" applyProtection="1">
      <alignment horizontal="center"/>
      <protection locked="0" hidden="1"/>
    </xf>
    <xf numFmtId="0" fontId="36" fillId="0" borderId="16" xfId="0" applyFont="1" applyBorder="1" applyAlignment="1">
      <alignment horizontal="left" vertical="center"/>
    </xf>
    <xf numFmtId="0" fontId="0" fillId="0" borderId="0" xfId="0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0" fillId="0" borderId="0" xfId="0" applyProtection="1">
      <protection locked="0" hidden="1"/>
    </xf>
    <xf numFmtId="0" fontId="0" fillId="0" borderId="23" xfId="0" applyBorder="1" applyProtection="1">
      <protection hidden="1"/>
    </xf>
    <xf numFmtId="0" fontId="0" fillId="0" borderId="24" xfId="0" applyBorder="1" applyProtection="1">
      <protection hidden="1"/>
    </xf>
    <xf numFmtId="0" fontId="0" fillId="0" borderId="23" xfId="0" applyBorder="1" applyProtection="1">
      <protection locked="0" hidden="1"/>
    </xf>
    <xf numFmtId="0" fontId="0" fillId="7" borderId="0" xfId="0" applyFill="1" applyProtection="1">
      <protection locked="0" hidden="1"/>
    </xf>
    <xf numFmtId="0" fontId="0" fillId="0" borderId="0" xfId="0" applyProtection="1">
      <protection locked="0"/>
    </xf>
    <xf numFmtId="0" fontId="14" fillId="0" borderId="0" xfId="0" applyFont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12" fillId="0" borderId="0" xfId="0" applyFont="1" applyProtection="1">
      <protection locked="0"/>
    </xf>
    <xf numFmtId="0" fontId="12" fillId="0" borderId="0" xfId="1" applyFont="1" applyAlignment="1" applyProtection="1">
      <protection locked="0"/>
    </xf>
    <xf numFmtId="0" fontId="13" fillId="0" borderId="0" xfId="1" applyFont="1" applyAlignment="1" applyProtection="1"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1" fillId="0" borderId="25" xfId="0" applyFont="1" applyBorder="1" applyAlignment="1" applyProtection="1">
      <alignment horizontal="center" vertical="center"/>
      <protection locked="0"/>
    </xf>
    <xf numFmtId="0" fontId="11" fillId="0" borderId="26" xfId="0" applyFont="1" applyBorder="1" applyAlignment="1" applyProtection="1">
      <alignment horizontal="center" vertical="center"/>
      <protection locked="0"/>
    </xf>
    <xf numFmtId="0" fontId="11" fillId="0" borderId="27" xfId="0" applyFont="1" applyBorder="1" applyAlignment="1" applyProtection="1">
      <alignment horizontal="center" vertical="center"/>
      <protection locked="0"/>
    </xf>
    <xf numFmtId="0" fontId="18" fillId="0" borderId="28" xfId="0" applyFont="1" applyBorder="1" applyAlignment="1" applyProtection="1">
      <alignment horizontal="center"/>
      <protection locked="0" hidden="1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18" fillId="0" borderId="32" xfId="0" applyFont="1" applyBorder="1" applyAlignment="1" applyProtection="1">
      <alignment horizontal="center"/>
      <protection locked="0" hidden="1"/>
    </xf>
    <xf numFmtId="0" fontId="0" fillId="0" borderId="33" xfId="0" applyBorder="1"/>
    <xf numFmtId="0" fontId="0" fillId="0" borderId="23" xfId="0" applyBorder="1"/>
    <xf numFmtId="0" fontId="0" fillId="0" borderId="34" xfId="0" applyBorder="1"/>
    <xf numFmtId="0" fontId="18" fillId="0" borderId="6" xfId="0" applyFont="1" applyBorder="1" applyAlignment="1" applyProtection="1">
      <alignment horizontal="center"/>
      <protection locked="0" hidden="1"/>
    </xf>
    <xf numFmtId="0" fontId="18" fillId="0" borderId="35" xfId="0" applyFont="1" applyBorder="1" applyAlignment="1" applyProtection="1">
      <alignment horizontal="center"/>
      <protection locked="0" hidden="1"/>
    </xf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11" fillId="2" borderId="18" xfId="0" applyFont="1" applyFill="1" applyBorder="1" applyAlignment="1" applyProtection="1">
      <alignment horizontal="center" vertical="center"/>
      <protection locked="0" hidden="1"/>
    </xf>
    <xf numFmtId="0" fontId="18" fillId="0" borderId="16" xfId="0" applyFont="1" applyBorder="1" applyAlignment="1">
      <alignment horizontal="left" vertical="center"/>
    </xf>
    <xf numFmtId="0" fontId="0" fillId="0" borderId="39" xfId="0" applyBorder="1" applyProtection="1">
      <protection hidden="1"/>
    </xf>
    <xf numFmtId="0" fontId="7" fillId="0" borderId="0" xfId="0" applyFont="1" applyAlignment="1">
      <alignment vertical="center" wrapText="1"/>
    </xf>
    <xf numFmtId="0" fontId="33" fillId="0" borderId="0" xfId="0" applyFont="1" applyProtection="1">
      <protection locked="0" hidden="1"/>
    </xf>
    <xf numFmtId="0" fontId="0" fillId="0" borderId="40" xfId="0" applyBorder="1" applyProtection="1"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49" fontId="0" fillId="0" borderId="0" xfId="0" applyNumberFormat="1" applyAlignment="1">
      <alignment vertical="center" wrapText="1"/>
    </xf>
    <xf numFmtId="0" fontId="34" fillId="0" borderId="0" xfId="1" applyFont="1" applyAlignment="1" applyProtection="1">
      <protection locked="0"/>
    </xf>
    <xf numFmtId="49" fontId="8" fillId="0" borderId="0" xfId="0" applyNumberFormat="1" applyFont="1"/>
    <xf numFmtId="0" fontId="4" fillId="0" borderId="11" xfId="0" applyFont="1" applyBorder="1" applyAlignment="1">
      <alignment horizontal="center"/>
    </xf>
    <xf numFmtId="0" fontId="8" fillId="0" borderId="1" xfId="0" applyFont="1" applyBorder="1"/>
    <xf numFmtId="0" fontId="4" fillId="0" borderId="10" xfId="0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0" fontId="8" fillId="0" borderId="9" xfId="0" applyFont="1" applyBorder="1"/>
    <xf numFmtId="49" fontId="5" fillId="0" borderId="26" xfId="0" applyNumberFormat="1" applyFont="1" applyBorder="1" applyAlignment="1">
      <alignment horizontal="center"/>
    </xf>
    <xf numFmtId="0" fontId="8" fillId="0" borderId="5" xfId="0" applyFont="1" applyBorder="1"/>
    <xf numFmtId="0" fontId="4" fillId="0" borderId="41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43" xfId="0" applyNumberFormat="1" applyFont="1" applyBorder="1" applyAlignment="1">
      <alignment horizontal="center"/>
    </xf>
    <xf numFmtId="0" fontId="7" fillId="0" borderId="0" xfId="0" applyFont="1"/>
    <xf numFmtId="0" fontId="8" fillId="0" borderId="0" xfId="1" applyFont="1" applyBorder="1" applyAlignment="1" applyProtection="1"/>
    <xf numFmtId="0" fontId="8" fillId="0" borderId="0" xfId="0" applyFont="1" applyAlignment="1">
      <alignment horizontal="left"/>
    </xf>
    <xf numFmtId="0" fontId="8" fillId="0" borderId="1" xfId="0" applyFont="1" applyBorder="1" applyAlignment="1">
      <alignment horizontal="left"/>
    </xf>
    <xf numFmtId="0" fontId="39" fillId="0" borderId="0" xfId="1" applyFont="1" applyAlignment="1" applyProtection="1"/>
    <xf numFmtId="0" fontId="30" fillId="0" borderId="0" xfId="1" applyFont="1" applyAlignment="1" applyProtection="1"/>
    <xf numFmtId="0" fontId="5" fillId="0" borderId="23" xfId="0" applyFont="1" applyBorder="1" applyAlignment="1">
      <alignment vertical="center" wrapText="1"/>
    </xf>
    <xf numFmtId="0" fontId="5" fillId="0" borderId="23" xfId="0" applyFont="1" applyBorder="1" applyAlignment="1" applyProtection="1">
      <alignment vertical="center" wrapText="1"/>
      <protection hidden="1"/>
    </xf>
    <xf numFmtId="0" fontId="1" fillId="0" borderId="2" xfId="0" applyFont="1" applyBorder="1" applyProtection="1">
      <protection locked="0"/>
    </xf>
    <xf numFmtId="0" fontId="1" fillId="0" borderId="1" xfId="0" applyFont="1" applyBorder="1" applyProtection="1">
      <protection locked="0"/>
    </xf>
    <xf numFmtId="0" fontId="3" fillId="0" borderId="0" xfId="1" applyNumberFormat="1" applyFill="1" applyBorder="1" applyAlignment="1" applyProtection="1">
      <alignment vertical="center" wrapText="1"/>
    </xf>
    <xf numFmtId="0" fontId="11" fillId="0" borderId="0" xfId="1" applyNumberFormat="1" applyFont="1" applyFill="1" applyBorder="1" applyAlignment="1" applyProtection="1">
      <alignment vertical="center" wrapText="1"/>
    </xf>
    <xf numFmtId="0" fontId="0" fillId="0" borderId="44" xfId="0" applyBorder="1" applyProtection="1">
      <protection locked="0" hidden="1"/>
    </xf>
    <xf numFmtId="0" fontId="1" fillId="0" borderId="23" xfId="0" applyFont="1" applyBorder="1" applyProtection="1">
      <protection locked="0" hidden="1"/>
    </xf>
    <xf numFmtId="0" fontId="1" fillId="0" borderId="24" xfId="0" applyFont="1" applyBorder="1" applyProtection="1">
      <protection hidden="1"/>
    </xf>
    <xf numFmtId="49" fontId="0" fillId="0" borderId="23" xfId="0" applyNumberFormat="1" applyBorder="1" applyAlignment="1">
      <alignment horizontal="center" vertical="center" wrapText="1"/>
    </xf>
    <xf numFmtId="0" fontId="1" fillId="7" borderId="23" xfId="0" applyFont="1" applyFill="1" applyBorder="1" applyAlignment="1">
      <alignment horizontal="center" vertical="center" wrapText="1"/>
    </xf>
    <xf numFmtId="0" fontId="1" fillId="7" borderId="23" xfId="0" applyFont="1" applyFill="1" applyBorder="1" applyAlignment="1">
      <alignment vertical="center" wrapText="1"/>
    </xf>
    <xf numFmtId="0" fontId="5" fillId="7" borderId="23" xfId="0" applyFont="1" applyFill="1" applyBorder="1" applyAlignment="1">
      <alignment vertical="center" wrapText="1"/>
    </xf>
    <xf numFmtId="14" fontId="1" fillId="7" borderId="23" xfId="0" applyNumberFormat="1" applyFont="1" applyFill="1" applyBorder="1" applyAlignment="1">
      <alignment vertical="center" wrapText="1"/>
    </xf>
    <xf numFmtId="49" fontId="1" fillId="7" borderId="23" xfId="0" applyNumberFormat="1" applyFont="1" applyFill="1" applyBorder="1" applyAlignment="1">
      <alignment vertical="center" wrapText="1"/>
    </xf>
    <xf numFmtId="0" fontId="5" fillId="7" borderId="89" xfId="0" applyFont="1" applyFill="1" applyBorder="1" applyAlignment="1">
      <alignment vertical="center" wrapText="1"/>
    </xf>
    <xf numFmtId="0" fontId="5" fillId="0" borderId="23" xfId="0" applyFont="1" applyBorder="1" applyAlignment="1" applyProtection="1">
      <alignment horizontal="center" vertical="center" wrapText="1"/>
      <protection hidden="1"/>
    </xf>
    <xf numFmtId="0" fontId="37" fillId="7" borderId="23" xfId="0" applyFont="1" applyFill="1" applyBorder="1" applyProtection="1">
      <protection hidden="1"/>
    </xf>
    <xf numFmtId="0" fontId="1" fillId="7" borderId="23" xfId="0" applyFont="1" applyFill="1" applyBorder="1" applyProtection="1">
      <protection locked="0" hidden="1"/>
    </xf>
    <xf numFmtId="0" fontId="1" fillId="7" borderId="40" xfId="3" applyNumberFormat="1" applyFont="1" applyFill="1" applyBorder="1" applyProtection="1">
      <protection locked="0" hidden="1"/>
    </xf>
    <xf numFmtId="0" fontId="1" fillId="7" borderId="23" xfId="3" applyNumberFormat="1" applyFont="1" applyFill="1" applyBorder="1" applyProtection="1">
      <protection locked="0" hidden="1"/>
    </xf>
    <xf numFmtId="0" fontId="1" fillId="7" borderId="0" xfId="0" applyFont="1" applyFill="1" applyProtection="1">
      <protection locked="0" hidden="1"/>
    </xf>
    <xf numFmtId="0" fontId="1" fillId="0" borderId="23" xfId="0" applyFont="1" applyBorder="1" applyProtection="1">
      <protection hidden="1"/>
    </xf>
    <xf numFmtId="0" fontId="4" fillId="0" borderId="23" xfId="0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vertical="center" wrapText="1"/>
    </xf>
    <xf numFmtId="0" fontId="5" fillId="0" borderId="89" xfId="0" applyFont="1" applyBorder="1" applyAlignment="1">
      <alignment vertical="center" wrapText="1"/>
    </xf>
    <xf numFmtId="49" fontId="6" fillId="0" borderId="16" xfId="0" applyNumberFormat="1" applyFont="1" applyBorder="1" applyAlignment="1" applyProtection="1">
      <alignment horizontal="center" vertical="center" wrapText="1"/>
      <protection locked="0"/>
    </xf>
    <xf numFmtId="49" fontId="6" fillId="0" borderId="55" xfId="0" applyNumberFormat="1" applyFont="1" applyBorder="1" applyAlignment="1" applyProtection="1">
      <alignment horizontal="center" vertical="center" wrapText="1"/>
      <protection locked="0"/>
    </xf>
    <xf numFmtId="0" fontId="11" fillId="0" borderId="16" xfId="0" applyFont="1" applyBorder="1" applyAlignment="1" applyProtection="1">
      <alignment horizontal="center" vertical="center" wrapText="1"/>
      <protection locked="0"/>
    </xf>
    <xf numFmtId="0" fontId="16" fillId="0" borderId="14" xfId="0" applyFont="1" applyBorder="1" applyAlignment="1" applyProtection="1">
      <alignment vertical="center" wrapText="1"/>
      <protection locked="0"/>
    </xf>
    <xf numFmtId="0" fontId="5" fillId="0" borderId="4" xfId="0" applyFont="1" applyBorder="1" applyAlignment="1" applyProtection="1">
      <alignment vertical="center" wrapText="1"/>
      <protection locked="0"/>
    </xf>
    <xf numFmtId="0" fontId="5" fillId="0" borderId="78" xfId="0" applyFont="1" applyBorder="1" applyAlignment="1" applyProtection="1">
      <alignment vertical="center" wrapText="1"/>
      <protection locked="0"/>
    </xf>
    <xf numFmtId="0" fontId="5" fillId="0" borderId="30" xfId="0" applyFont="1" applyBorder="1" applyAlignment="1" applyProtection="1">
      <alignment vertical="center" wrapText="1"/>
      <protection locked="0"/>
    </xf>
    <xf numFmtId="0" fontId="5" fillId="0" borderId="44" xfId="0" applyFont="1" applyBorder="1" applyAlignment="1" applyProtection="1">
      <alignment vertical="center" wrapText="1"/>
      <protection locked="0"/>
    </xf>
    <xf numFmtId="0" fontId="5" fillId="0" borderId="74" xfId="0" applyFont="1" applyBorder="1" applyAlignment="1" applyProtection="1">
      <alignment vertical="center" wrapText="1"/>
      <protection locked="0"/>
    </xf>
    <xf numFmtId="0" fontId="5" fillId="0" borderId="12" xfId="0" applyFont="1" applyBorder="1" applyAlignment="1" applyProtection="1">
      <alignment vertical="center" wrapText="1"/>
      <protection locked="0"/>
    </xf>
    <xf numFmtId="0" fontId="5" fillId="0" borderId="87" xfId="0" applyFont="1" applyBorder="1" applyAlignment="1" applyProtection="1">
      <alignment vertical="center" wrapText="1"/>
      <protection locked="0"/>
    </xf>
    <xf numFmtId="0" fontId="5" fillId="0" borderId="46" xfId="0" applyFont="1" applyBorder="1" applyAlignment="1" applyProtection="1">
      <alignment vertical="center" wrapText="1"/>
      <protection locked="0"/>
    </xf>
    <xf numFmtId="0" fontId="5" fillId="0" borderId="88" xfId="0" applyFont="1" applyBorder="1" applyAlignment="1" applyProtection="1">
      <alignment vertical="center" wrapText="1"/>
      <protection locked="0"/>
    </xf>
    <xf numFmtId="0" fontId="37" fillId="0" borderId="14" xfId="0" applyFont="1" applyBorder="1" applyAlignment="1" applyProtection="1">
      <alignment vertical="center" wrapText="1"/>
      <protection locked="0"/>
    </xf>
    <xf numFmtId="0" fontId="37" fillId="0" borderId="55" xfId="0" applyFont="1" applyBorder="1" applyAlignment="1" applyProtection="1">
      <alignment vertical="center" wrapText="1"/>
      <protection locked="0"/>
    </xf>
    <xf numFmtId="0" fontId="16" fillId="0" borderId="90" xfId="0" applyFont="1" applyBorder="1" applyAlignment="1" applyProtection="1">
      <alignment vertical="center" wrapText="1"/>
      <protection locked="0"/>
    </xf>
    <xf numFmtId="0" fontId="5" fillId="0" borderId="55" xfId="0" applyFont="1" applyBorder="1" applyAlignment="1" applyProtection="1">
      <alignment vertical="center" wrapText="1"/>
      <protection locked="0"/>
    </xf>
    <xf numFmtId="0" fontId="5" fillId="0" borderId="36" xfId="0" applyFont="1" applyBorder="1" applyAlignment="1" applyProtection="1">
      <alignment vertical="center" wrapText="1"/>
      <protection locked="0"/>
    </xf>
    <xf numFmtId="0" fontId="5" fillId="0" borderId="37" xfId="0" applyFont="1" applyBorder="1" applyAlignment="1" applyProtection="1">
      <alignment vertical="center" wrapText="1"/>
      <protection locked="0"/>
    </xf>
    <xf numFmtId="0" fontId="5" fillId="0" borderId="38" xfId="0" applyFont="1" applyBorder="1" applyAlignment="1" applyProtection="1">
      <alignment vertical="center" wrapText="1"/>
      <protection locked="0"/>
    </xf>
    <xf numFmtId="0" fontId="11" fillId="0" borderId="20" xfId="0" applyFont="1" applyBorder="1" applyAlignment="1" applyProtection="1">
      <alignment horizontal="center" vertical="center" wrapText="1"/>
      <protection locked="0"/>
    </xf>
    <xf numFmtId="0" fontId="12" fillId="0" borderId="0" xfId="1" applyFont="1" applyAlignment="1" applyProtection="1">
      <alignment vertical="center" wrapText="1"/>
    </xf>
    <xf numFmtId="0" fontId="18" fillId="0" borderId="0" xfId="0" applyFont="1" applyAlignment="1">
      <alignment vertical="center" wrapText="1"/>
    </xf>
    <xf numFmtId="0" fontId="41" fillId="0" borderId="0" xfId="1" applyFont="1" applyAlignment="1" applyProtection="1"/>
    <xf numFmtId="0" fontId="0" fillId="0" borderId="0" xfId="0" applyAlignment="1" applyProtection="1">
      <alignment horizontal="center"/>
      <protection hidden="1"/>
    </xf>
    <xf numFmtId="0" fontId="5" fillId="0" borderId="0" xfId="0" applyFont="1" applyAlignment="1" applyProtection="1">
      <alignment vertical="center" wrapText="1"/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32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38" fillId="0" borderId="47" xfId="0" applyFont="1" applyBorder="1" applyAlignment="1">
      <alignment horizontal="center" vertical="center"/>
    </xf>
    <xf numFmtId="0" fontId="38" fillId="0" borderId="48" xfId="0" applyFont="1" applyBorder="1" applyAlignment="1">
      <alignment horizontal="center" vertical="center"/>
    </xf>
    <xf numFmtId="0" fontId="38" fillId="0" borderId="45" xfId="0" applyFont="1" applyBorder="1" applyAlignment="1">
      <alignment horizontal="center" vertical="center"/>
    </xf>
    <xf numFmtId="0" fontId="38" fillId="0" borderId="49" xfId="0" applyFont="1" applyBorder="1" applyAlignment="1">
      <alignment horizontal="center" vertical="center"/>
    </xf>
    <xf numFmtId="0" fontId="11" fillId="0" borderId="0" xfId="1" applyNumberFormat="1" applyFont="1" applyFill="1" applyBorder="1" applyAlignment="1" applyProtection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7" fillId="0" borderId="0" xfId="1" applyFont="1" applyBorder="1" applyAlignment="1" applyProtection="1">
      <alignment horizontal="center" vertical="center" wrapText="1"/>
    </xf>
    <xf numFmtId="0" fontId="5" fillId="0" borderId="8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5" fillId="0" borderId="87" xfId="1" applyFont="1" applyBorder="1" applyAlignment="1" applyProtection="1">
      <alignment horizontal="left" vertical="center" wrapText="1"/>
    </xf>
    <xf numFmtId="0" fontId="5" fillId="0" borderId="3" xfId="1" applyFont="1" applyBorder="1" applyAlignment="1" applyProtection="1">
      <alignment horizontal="left" vertical="center" wrapText="1"/>
    </xf>
    <xf numFmtId="0" fontId="2" fillId="0" borderId="28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center" vertical="center" wrapText="1"/>
    </xf>
    <xf numFmtId="0" fontId="5" fillId="0" borderId="55" xfId="0" applyFont="1" applyBorder="1" applyAlignment="1">
      <alignment horizontal="center" vertical="center" wrapText="1"/>
    </xf>
    <xf numFmtId="0" fontId="6" fillId="0" borderId="68" xfId="1" applyFont="1" applyBorder="1" applyAlignment="1" applyProtection="1">
      <alignment horizontal="center" vertical="center" wrapText="1"/>
    </xf>
    <xf numFmtId="0" fontId="6" fillId="0" borderId="69" xfId="1" applyFont="1" applyBorder="1" applyAlignment="1" applyProtection="1">
      <alignment horizontal="center" vertical="center" wrapText="1"/>
    </xf>
    <xf numFmtId="0" fontId="6" fillId="0" borderId="70" xfId="1" applyFont="1" applyBorder="1" applyAlignment="1" applyProtection="1">
      <alignment horizontal="center" vertical="center" wrapText="1"/>
    </xf>
    <xf numFmtId="0" fontId="6" fillId="0" borderId="71" xfId="1" applyFont="1" applyBorder="1" applyAlignment="1" applyProtection="1">
      <alignment horizontal="center" vertical="center" wrapText="1"/>
    </xf>
    <xf numFmtId="0" fontId="6" fillId="0" borderId="72" xfId="1" applyFont="1" applyBorder="1" applyAlignment="1" applyProtection="1">
      <alignment horizontal="center" vertical="center" wrapText="1"/>
    </xf>
    <xf numFmtId="0" fontId="6" fillId="0" borderId="73" xfId="1" applyFont="1" applyBorder="1" applyAlignment="1" applyProtection="1">
      <alignment horizontal="center" vertical="center" wrapText="1"/>
    </xf>
    <xf numFmtId="0" fontId="5" fillId="0" borderId="47" xfId="1" applyFont="1" applyBorder="1" applyAlignment="1" applyProtection="1">
      <alignment horizontal="center" vertical="center" wrapText="1"/>
    </xf>
    <xf numFmtId="0" fontId="5" fillId="0" borderId="48" xfId="1" applyFont="1" applyBorder="1" applyAlignment="1" applyProtection="1">
      <alignment horizontal="center" vertical="center" wrapText="1"/>
    </xf>
    <xf numFmtId="0" fontId="5" fillId="0" borderId="45" xfId="1" applyFont="1" applyBorder="1" applyAlignment="1" applyProtection="1">
      <alignment horizontal="center" vertical="center" wrapText="1"/>
    </xf>
    <xf numFmtId="0" fontId="5" fillId="0" borderId="49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center" vertical="center" wrapText="1"/>
    </xf>
    <xf numFmtId="0" fontId="5" fillId="0" borderId="15" xfId="1" applyFont="1" applyBorder="1" applyAlignment="1" applyProtection="1">
      <alignment horizontal="center" vertical="center" wrapText="1"/>
    </xf>
    <xf numFmtId="0" fontId="5" fillId="0" borderId="87" xfId="1" applyFont="1" applyBorder="1" applyAlignment="1" applyProtection="1">
      <alignment horizontal="center" vertical="center" wrapText="1"/>
    </xf>
    <xf numFmtId="0" fontId="5" fillId="0" borderId="3" xfId="1" applyFont="1" applyBorder="1" applyAlignment="1" applyProtection="1">
      <alignment horizontal="center" vertical="center" wrapText="1"/>
    </xf>
    <xf numFmtId="0" fontId="5" fillId="0" borderId="4" xfId="1" applyFont="1" applyBorder="1" applyAlignment="1" applyProtection="1">
      <alignment horizontal="left" vertical="center" wrapText="1"/>
    </xf>
    <xf numFmtId="0" fontId="5" fillId="0" borderId="15" xfId="1" applyFont="1" applyBorder="1" applyAlignment="1" applyProtection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35" xfId="0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/>
    </xf>
    <xf numFmtId="0" fontId="2" fillId="0" borderId="15" xfId="0" applyFont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4" fillId="0" borderId="0" xfId="1" applyFont="1" applyBorder="1" applyAlignment="1" applyProtection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right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20" xfId="1" applyFont="1" applyBorder="1" applyAlignment="1" applyProtection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4" fillId="0" borderId="62" xfId="0" applyFont="1" applyBorder="1" applyAlignment="1">
      <alignment horizontal="center" vertical="center" wrapText="1"/>
    </xf>
    <xf numFmtId="0" fontId="4" fillId="0" borderId="63" xfId="0" applyFont="1" applyBorder="1" applyAlignment="1">
      <alignment horizontal="center" vertical="center" wrapText="1"/>
    </xf>
    <xf numFmtId="0" fontId="4" fillId="0" borderId="64" xfId="0" applyFont="1" applyBorder="1" applyAlignment="1">
      <alignment horizontal="center" vertical="center" wrapText="1"/>
    </xf>
    <xf numFmtId="0" fontId="4" fillId="0" borderId="65" xfId="0" applyFont="1" applyBorder="1" applyAlignment="1">
      <alignment horizontal="center" vertical="center" wrapText="1"/>
    </xf>
    <xf numFmtId="0" fontId="4" fillId="0" borderId="66" xfId="0" applyFont="1" applyBorder="1" applyAlignment="1">
      <alignment horizontal="center" vertical="center" wrapText="1"/>
    </xf>
    <xf numFmtId="0" fontId="4" fillId="0" borderId="67" xfId="0" applyFont="1" applyBorder="1" applyAlignment="1">
      <alignment horizontal="center" vertical="center" wrapText="1"/>
    </xf>
    <xf numFmtId="0" fontId="43" fillId="2" borderId="52" xfId="1" applyFont="1" applyFill="1" applyBorder="1" applyAlignment="1" applyProtection="1">
      <alignment horizontal="center" vertical="center" wrapText="1"/>
    </xf>
    <xf numFmtId="0" fontId="43" fillId="2" borderId="53" xfId="1" applyFont="1" applyFill="1" applyBorder="1" applyAlignment="1" applyProtection="1">
      <alignment horizontal="center" vertical="center" wrapText="1"/>
    </xf>
    <xf numFmtId="0" fontId="43" fillId="2" borderId="54" xfId="1" applyFont="1" applyFill="1" applyBorder="1" applyAlignment="1" applyProtection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4" fillId="0" borderId="57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4" fillId="0" borderId="59" xfId="0" applyFont="1" applyBorder="1" applyAlignment="1">
      <alignment horizontal="center" vertical="center" wrapText="1"/>
    </xf>
    <xf numFmtId="0" fontId="4" fillId="0" borderId="60" xfId="0" applyFont="1" applyBorder="1" applyAlignment="1">
      <alignment horizontal="center" vertical="center" wrapText="1"/>
    </xf>
    <xf numFmtId="0" fontId="4" fillId="0" borderId="61" xfId="0" applyFont="1" applyBorder="1" applyAlignment="1">
      <alignment horizontal="center" vertical="center" wrapText="1"/>
    </xf>
    <xf numFmtId="0" fontId="8" fillId="0" borderId="52" xfId="0" applyFont="1" applyBorder="1" applyAlignment="1">
      <alignment horizontal="center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5" fillId="0" borderId="6" xfId="1" applyFont="1" applyBorder="1" applyAlignment="1" applyProtection="1">
      <alignment horizontal="center" vertical="center" wrapText="1"/>
    </xf>
    <xf numFmtId="0" fontId="5" fillId="0" borderId="50" xfId="1" applyFont="1" applyBorder="1" applyAlignment="1" applyProtection="1">
      <alignment horizontal="center" vertical="center" wrapText="1"/>
    </xf>
    <xf numFmtId="0" fontId="5" fillId="0" borderId="17" xfId="1" applyFont="1" applyBorder="1" applyAlignment="1" applyProtection="1">
      <alignment horizontal="center" vertical="center" wrapText="1"/>
    </xf>
    <xf numFmtId="0" fontId="5" fillId="0" borderId="51" xfId="1" applyFont="1" applyBorder="1" applyAlignment="1" applyProtection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2" fillId="0" borderId="52" xfId="1" applyFont="1" applyBorder="1" applyAlignment="1" applyProtection="1">
      <alignment horizontal="center" vertical="center"/>
    </xf>
    <xf numFmtId="0" fontId="2" fillId="0" borderId="53" xfId="1" applyFont="1" applyBorder="1" applyAlignment="1" applyProtection="1">
      <alignment horizontal="center" vertical="center"/>
    </xf>
    <xf numFmtId="0" fontId="2" fillId="0" borderId="54" xfId="1" applyFont="1" applyBorder="1" applyAlignment="1" applyProtection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74" xfId="1" applyFont="1" applyBorder="1" applyAlignment="1" applyProtection="1">
      <alignment horizontal="center" vertical="center" wrapText="1"/>
    </xf>
    <xf numFmtId="0" fontId="1" fillId="0" borderId="39" xfId="1" applyFont="1" applyBorder="1" applyAlignment="1" applyProtection="1">
      <alignment horizontal="center" vertical="center" wrapText="1"/>
    </xf>
    <xf numFmtId="0" fontId="1" fillId="0" borderId="44" xfId="1" applyFont="1" applyBorder="1" applyAlignment="1" applyProtection="1">
      <alignment horizontal="center" vertical="center" wrapText="1"/>
    </xf>
    <xf numFmtId="0" fontId="1" fillId="0" borderId="19" xfId="1" applyFont="1" applyBorder="1" applyAlignment="1" applyProtection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 wrapText="1"/>
    </xf>
    <xf numFmtId="0" fontId="5" fillId="0" borderId="77" xfId="0" applyFont="1" applyBorder="1" applyAlignment="1">
      <alignment horizontal="center" vertical="center" wrapText="1"/>
    </xf>
    <xf numFmtId="0" fontId="5" fillId="0" borderId="78" xfId="0" applyFont="1" applyBorder="1" applyAlignment="1">
      <alignment horizontal="center" vertical="center" wrapText="1"/>
    </xf>
    <xf numFmtId="0" fontId="5" fillId="0" borderId="79" xfId="0" applyFont="1" applyBorder="1" applyAlignment="1">
      <alignment horizontal="center" vertical="center" wrapText="1"/>
    </xf>
    <xf numFmtId="0" fontId="5" fillId="0" borderId="80" xfId="0" applyFont="1" applyBorder="1" applyAlignment="1">
      <alignment horizontal="center" vertical="center" wrapText="1"/>
    </xf>
    <xf numFmtId="0" fontId="1" fillId="0" borderId="44" xfId="1" applyFont="1" applyBorder="1" applyAlignment="1" applyProtection="1">
      <alignment horizontal="left" vertical="center" wrapText="1"/>
    </xf>
    <xf numFmtId="0" fontId="1" fillId="0" borderId="19" xfId="1" applyFont="1" applyBorder="1" applyAlignment="1" applyProtection="1">
      <alignment horizontal="left" vertical="center" wrapText="1"/>
    </xf>
    <xf numFmtId="0" fontId="22" fillId="0" borderId="30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49" fontId="22" fillId="0" borderId="74" xfId="0" applyNumberFormat="1" applyFont="1" applyBorder="1" applyAlignment="1">
      <alignment horizontal="center" vertical="center" wrapText="1"/>
    </xf>
    <xf numFmtId="49" fontId="22" fillId="0" borderId="19" xfId="0" applyNumberFormat="1" applyFont="1" applyBorder="1" applyAlignment="1">
      <alignment horizontal="center" vertical="center" wrapText="1"/>
    </xf>
    <xf numFmtId="0" fontId="5" fillId="0" borderId="74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49" fontId="5" fillId="0" borderId="30" xfId="0" applyNumberFormat="1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horizontal="center" vertical="center" wrapText="1"/>
    </xf>
    <xf numFmtId="0" fontId="19" fillId="0" borderId="44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49" fontId="22" fillId="0" borderId="31" xfId="0" applyNumberFormat="1" applyFont="1" applyBorder="1" applyAlignment="1">
      <alignment horizontal="center" vertical="center" wrapText="1"/>
    </xf>
    <xf numFmtId="0" fontId="22" fillId="0" borderId="3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23" fillId="0" borderId="75" xfId="0" applyFont="1" applyBorder="1" applyAlignment="1">
      <alignment horizontal="center" vertical="center" wrapText="1"/>
    </xf>
    <xf numFmtId="0" fontId="23" fillId="0" borderId="76" xfId="0" applyFont="1" applyBorder="1" applyAlignment="1">
      <alignment horizontal="center" vertical="center" wrapText="1"/>
    </xf>
    <xf numFmtId="0" fontId="7" fillId="0" borderId="7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1" fillId="0" borderId="74" xfId="1" applyFont="1" applyBorder="1" applyAlignment="1" applyProtection="1">
      <alignment horizontal="left" vertical="center" wrapText="1"/>
    </xf>
    <xf numFmtId="0" fontId="1" fillId="0" borderId="39" xfId="1" applyFont="1" applyBorder="1" applyAlignment="1" applyProtection="1">
      <alignment horizontal="left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49" fontId="6" fillId="0" borderId="30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2" fillId="0" borderId="74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49" fontId="21" fillId="0" borderId="30" xfId="0" applyNumberFormat="1" applyFont="1" applyBorder="1" applyAlignment="1">
      <alignment horizontal="center" vertical="center" wrapText="1"/>
    </xf>
    <xf numFmtId="49" fontId="19" fillId="0" borderId="44" xfId="0" applyNumberFormat="1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20" fillId="0" borderId="37" xfId="0" applyFont="1" applyBorder="1" applyAlignment="1">
      <alignment horizontal="center" vertical="center" wrapText="1"/>
    </xf>
    <xf numFmtId="0" fontId="1" fillId="0" borderId="30" xfId="1" applyFont="1" applyBorder="1" applyAlignment="1" applyProtection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31" fillId="0" borderId="4" xfId="0" applyFont="1" applyBorder="1" applyAlignment="1">
      <alignment vertical="center" textRotation="90" wrapText="1"/>
    </xf>
    <xf numFmtId="0" fontId="31" fillId="0" borderId="3" xfId="0" applyFont="1" applyBorder="1" applyAlignment="1">
      <alignment vertical="center" textRotation="90" wrapText="1"/>
    </xf>
    <xf numFmtId="0" fontId="31" fillId="0" borderId="4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15" fillId="0" borderId="81" xfId="0" applyFont="1" applyBorder="1" applyAlignment="1" applyProtection="1">
      <alignment horizontal="center" vertical="center" wrapText="1"/>
      <protection locked="0"/>
    </xf>
    <xf numFmtId="0" fontId="15" fillId="0" borderId="7" xfId="0" applyFont="1" applyBorder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13" xfId="0" applyFont="1" applyBorder="1" applyAlignment="1" applyProtection="1">
      <alignment horizontal="center" vertical="center" wrapText="1"/>
      <protection locked="0"/>
    </xf>
    <xf numFmtId="0" fontId="11" fillId="3" borderId="52" xfId="0" applyFont="1" applyFill="1" applyBorder="1" applyAlignment="1" applyProtection="1">
      <alignment horizontal="center" vertical="center"/>
      <protection locked="0" hidden="1"/>
    </xf>
    <xf numFmtId="0" fontId="11" fillId="3" borderId="53" xfId="0" applyFont="1" applyFill="1" applyBorder="1" applyAlignment="1" applyProtection="1">
      <alignment horizontal="center" vertical="center"/>
      <protection locked="0" hidden="1"/>
    </xf>
    <xf numFmtId="0" fontId="11" fillId="3" borderId="54" xfId="0" applyFont="1" applyFill="1" applyBorder="1" applyAlignment="1" applyProtection="1">
      <alignment horizontal="center" vertical="center"/>
      <protection locked="0" hidden="1"/>
    </xf>
    <xf numFmtId="0" fontId="11" fillId="3" borderId="22" xfId="0" applyFont="1" applyFill="1" applyBorder="1" applyAlignment="1" applyProtection="1">
      <alignment horizontal="center" vertical="center"/>
      <protection locked="0" hidden="1"/>
    </xf>
    <xf numFmtId="0" fontId="11" fillId="3" borderId="82" xfId="0" applyFont="1" applyFill="1" applyBorder="1" applyAlignment="1" applyProtection="1">
      <alignment horizontal="center" vertical="center"/>
      <protection locked="0" hidden="1"/>
    </xf>
    <xf numFmtId="0" fontId="11" fillId="3" borderId="83" xfId="0" applyFont="1" applyFill="1" applyBorder="1" applyAlignment="1" applyProtection="1">
      <alignment horizontal="center" vertical="center"/>
      <protection locked="0" hidden="1"/>
    </xf>
    <xf numFmtId="0" fontId="26" fillId="0" borderId="0" xfId="1" applyFont="1" applyBorder="1" applyAlignment="1" applyProtection="1">
      <alignment horizontal="center" vertical="center" wrapText="1"/>
      <protection locked="0"/>
    </xf>
    <xf numFmtId="0" fontId="40" fillId="2" borderId="52" xfId="1" applyFont="1" applyFill="1" applyBorder="1" applyAlignment="1" applyProtection="1">
      <alignment horizontal="center" vertical="center" wrapText="1"/>
      <protection locked="0"/>
    </xf>
    <xf numFmtId="0" fontId="40" fillId="2" borderId="53" xfId="1" applyFont="1" applyFill="1" applyBorder="1" applyAlignment="1" applyProtection="1">
      <alignment horizontal="center" vertical="center" wrapText="1"/>
      <protection locked="0"/>
    </xf>
    <xf numFmtId="0" fontId="40" fillId="2" borderId="54" xfId="1" applyFont="1" applyFill="1" applyBorder="1" applyAlignment="1" applyProtection="1">
      <alignment horizontal="center" vertical="center" wrapText="1"/>
      <protection locked="0"/>
    </xf>
    <xf numFmtId="0" fontId="8" fillId="0" borderId="7" xfId="1" applyFont="1" applyBorder="1" applyAlignment="1" applyProtection="1">
      <alignment horizontal="center" vertical="center" wrapText="1"/>
      <protection locked="0"/>
    </xf>
    <xf numFmtId="0" fontId="2" fillId="0" borderId="0" xfId="1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78" xfId="0" applyFont="1" applyBorder="1" applyAlignment="1" applyProtection="1">
      <alignment horizontal="center" vertical="center" wrapText="1"/>
      <protection locked="0"/>
    </xf>
    <xf numFmtId="0" fontId="5" fillId="0" borderId="80" xfId="0" applyFont="1" applyBorder="1" applyAlignment="1" applyProtection="1">
      <alignment horizontal="center" vertical="center" wrapText="1"/>
      <protection locked="0"/>
    </xf>
    <xf numFmtId="0" fontId="5" fillId="0" borderId="77" xfId="0" applyFont="1" applyBorder="1" applyAlignment="1" applyProtection="1">
      <alignment horizontal="center" vertical="center" wrapText="1"/>
      <protection locked="0"/>
    </xf>
    <xf numFmtId="0" fontId="5" fillId="0" borderId="79" xfId="0" applyFont="1" applyBorder="1" applyAlignment="1" applyProtection="1">
      <alignment horizontal="center" vertical="center" wrapText="1"/>
      <protection locked="0"/>
    </xf>
    <xf numFmtId="0" fontId="5" fillId="0" borderId="74" xfId="0" applyFont="1" applyBorder="1" applyAlignment="1" applyProtection="1">
      <alignment horizontal="center" vertical="center" wrapText="1"/>
      <protection locked="0"/>
    </xf>
    <xf numFmtId="0" fontId="5" fillId="0" borderId="19" xfId="0" applyFont="1" applyBorder="1" applyAlignment="1" applyProtection="1">
      <alignment horizontal="center" vertical="center" wrapText="1"/>
      <protection locked="0"/>
    </xf>
    <xf numFmtId="0" fontId="31" fillId="0" borderId="4" xfId="0" applyFont="1" applyBorder="1" applyAlignment="1">
      <alignment horizontal="center" vertical="center" textRotation="90" wrapText="1"/>
    </xf>
    <xf numFmtId="0" fontId="31" fillId="0" borderId="3" xfId="0" applyFont="1" applyBorder="1" applyAlignment="1">
      <alignment horizontal="center" vertical="center" textRotation="90" wrapText="1"/>
    </xf>
    <xf numFmtId="0" fontId="13" fillId="0" borderId="45" xfId="1" applyFont="1" applyBorder="1" applyAlignment="1" applyProtection="1">
      <alignment horizontal="center" vertical="center" wrapText="1"/>
    </xf>
    <xf numFmtId="0" fontId="13" fillId="0" borderId="7" xfId="1" applyFont="1" applyBorder="1" applyAlignment="1" applyProtection="1">
      <alignment horizontal="center" vertical="center" wrapText="1"/>
    </xf>
    <xf numFmtId="0" fontId="5" fillId="0" borderId="44" xfId="1" applyFont="1" applyFill="1" applyBorder="1" applyAlignment="1" applyProtection="1">
      <alignment horizontal="center" vertical="center" wrapText="1"/>
    </xf>
    <xf numFmtId="0" fontId="5" fillId="0" borderId="39" xfId="1" applyFont="1" applyFill="1" applyBorder="1" applyAlignment="1" applyProtection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49" fontId="1" fillId="0" borderId="23" xfId="1" applyNumberFormat="1" applyFont="1" applyBorder="1" applyAlignment="1" applyProtection="1">
      <alignment horizontal="center" vertical="center" wrapText="1"/>
    </xf>
    <xf numFmtId="0" fontId="5" fillId="0" borderId="44" xfId="1" applyFont="1" applyFill="1" applyBorder="1" applyAlignment="1" applyProtection="1">
      <alignment horizontal="left" vertical="center" wrapText="1"/>
    </xf>
    <xf numFmtId="0" fontId="5" fillId="0" borderId="39" xfId="1" applyFont="1" applyFill="1" applyBorder="1" applyAlignment="1" applyProtection="1">
      <alignment horizontal="left" vertical="center" wrapText="1"/>
    </xf>
    <xf numFmtId="0" fontId="5" fillId="0" borderId="26" xfId="1" applyFont="1" applyFill="1" applyBorder="1" applyAlignment="1" applyProtection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5" fillId="0" borderId="84" xfId="1" applyFont="1" applyFill="1" applyBorder="1" applyAlignment="1" applyProtection="1">
      <alignment horizontal="center" vertical="center" wrapText="1"/>
    </xf>
    <xf numFmtId="0" fontId="5" fillId="0" borderId="5" xfId="1" applyFont="1" applyFill="1" applyBorder="1" applyAlignment="1" applyProtection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1" fillId="0" borderId="23" xfId="1" applyFont="1" applyBorder="1" applyAlignment="1" applyProtection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40" fillId="2" borderId="52" xfId="1" applyFont="1" applyFill="1" applyBorder="1" applyAlignment="1" applyProtection="1">
      <alignment horizontal="center" vertical="center" wrapText="1"/>
    </xf>
    <xf numFmtId="0" fontId="40" fillId="2" borderId="53" xfId="1" applyFont="1" applyFill="1" applyBorder="1" applyAlignment="1" applyProtection="1">
      <alignment horizontal="center" vertical="center" wrapText="1"/>
    </xf>
    <xf numFmtId="0" fontId="40" fillId="2" borderId="54" xfId="1" applyFont="1" applyFill="1" applyBorder="1" applyAlignment="1" applyProtection="1">
      <alignment horizontal="center" vertical="center" wrapText="1"/>
    </xf>
    <xf numFmtId="0" fontId="24" fillId="0" borderId="81" xfId="1" applyFont="1" applyBorder="1" applyAlignment="1" applyProtection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7" fillId="5" borderId="52" xfId="1" applyFont="1" applyFill="1" applyBorder="1" applyAlignment="1" applyProtection="1">
      <alignment horizontal="center" vertical="center"/>
    </xf>
    <xf numFmtId="0" fontId="27" fillId="5" borderId="53" xfId="1" applyFont="1" applyFill="1" applyBorder="1" applyAlignment="1" applyProtection="1">
      <alignment horizontal="center" vertical="center"/>
    </xf>
    <xf numFmtId="0" fontId="27" fillId="5" borderId="54" xfId="1" applyFont="1" applyFill="1" applyBorder="1" applyAlignment="1" applyProtection="1">
      <alignment horizontal="center" vertical="center"/>
    </xf>
    <xf numFmtId="0" fontId="28" fillId="4" borderId="47" xfId="0" applyFont="1" applyFill="1" applyBorder="1" applyAlignment="1">
      <alignment horizontal="center" vertical="center"/>
    </xf>
    <xf numFmtId="0" fontId="28" fillId="4" borderId="85" xfId="0" applyFont="1" applyFill="1" applyBorder="1" applyAlignment="1">
      <alignment horizontal="center" vertical="center"/>
    </xf>
    <xf numFmtId="0" fontId="28" fillId="4" borderId="45" xfId="0" applyFont="1" applyFill="1" applyBorder="1" applyAlignment="1">
      <alignment horizontal="center" vertical="center"/>
    </xf>
    <xf numFmtId="0" fontId="29" fillId="0" borderId="81" xfId="0" applyFont="1" applyBorder="1" applyAlignment="1">
      <alignment horizontal="left" vertical="center" wrapText="1"/>
    </xf>
    <xf numFmtId="0" fontId="29" fillId="0" borderId="0" xfId="0" applyFont="1" applyAlignment="1">
      <alignment horizontal="left" vertical="center" wrapText="1"/>
    </xf>
    <xf numFmtId="0" fontId="30" fillId="0" borderId="48" xfId="0" applyFont="1" applyBorder="1" applyAlignment="1">
      <alignment horizontal="center" vertical="center" wrapText="1"/>
    </xf>
    <xf numFmtId="0" fontId="30" fillId="0" borderId="86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86" xfId="0" applyFont="1" applyBorder="1" applyAlignment="1">
      <alignment horizontal="center" vertical="center" wrapText="1"/>
    </xf>
    <xf numFmtId="0" fontId="25" fillId="0" borderId="49" xfId="0" applyFont="1" applyBorder="1" applyAlignment="1">
      <alignment horizontal="center" vertical="center" wrapText="1"/>
    </xf>
    <xf numFmtId="0" fontId="25" fillId="0" borderId="47" xfId="0" applyFont="1" applyBorder="1" applyAlignment="1">
      <alignment horizontal="center" vertical="center" wrapText="1"/>
    </xf>
    <xf numFmtId="0" fontId="25" fillId="0" borderId="81" xfId="0" applyFont="1" applyBorder="1" applyAlignment="1">
      <alignment horizontal="center" vertical="center" wrapText="1"/>
    </xf>
    <xf numFmtId="0" fontId="25" fillId="0" borderId="48" xfId="0" applyFont="1" applyBorder="1" applyAlignment="1">
      <alignment horizontal="center" vertical="center" wrapText="1"/>
    </xf>
    <xf numFmtId="0" fontId="25" fillId="0" borderId="45" xfId="0" applyFont="1" applyBorder="1" applyAlignment="1">
      <alignment horizontal="center" vertical="center" wrapText="1"/>
    </xf>
    <xf numFmtId="0" fontId="28" fillId="5" borderId="47" xfId="0" applyFont="1" applyFill="1" applyBorder="1" applyAlignment="1">
      <alignment horizontal="center" vertical="center"/>
    </xf>
    <xf numFmtId="0" fontId="28" fillId="5" borderId="85" xfId="0" applyFont="1" applyFill="1" applyBorder="1" applyAlignment="1">
      <alignment horizontal="center" vertical="center"/>
    </xf>
    <xf numFmtId="0" fontId="28" fillId="5" borderId="45" xfId="0" applyFont="1" applyFill="1" applyBorder="1" applyAlignment="1">
      <alignment horizontal="center" vertical="center"/>
    </xf>
    <xf numFmtId="0" fontId="28" fillId="6" borderId="47" xfId="0" applyFont="1" applyFill="1" applyBorder="1" applyAlignment="1">
      <alignment horizontal="center" vertical="center"/>
    </xf>
    <xf numFmtId="0" fontId="28" fillId="6" borderId="85" xfId="0" applyFont="1" applyFill="1" applyBorder="1" applyAlignment="1">
      <alignment horizontal="center" vertical="center"/>
    </xf>
    <xf numFmtId="0" fontId="28" fillId="6" borderId="45" xfId="0" applyFont="1" applyFill="1" applyBorder="1" applyAlignment="1">
      <alignment horizontal="center" vertical="center"/>
    </xf>
    <xf numFmtId="0" fontId="4" fillId="0" borderId="47" xfId="1" applyFont="1" applyBorder="1" applyAlignment="1" applyProtection="1">
      <alignment horizontal="center" vertical="center" wrapText="1"/>
    </xf>
    <xf numFmtId="0" fontId="4" fillId="0" borderId="81" xfId="1" applyFont="1" applyBorder="1" applyAlignment="1" applyProtection="1">
      <alignment horizontal="center" vertical="center" wrapText="1"/>
    </xf>
    <xf numFmtId="0" fontId="4" fillId="0" borderId="48" xfId="1" applyFont="1" applyBorder="1" applyAlignment="1" applyProtection="1">
      <alignment horizontal="center" vertical="center" wrapText="1"/>
    </xf>
    <xf numFmtId="0" fontId="1" fillId="0" borderId="0" xfId="1" applyFont="1" applyBorder="1" applyAlignment="1" applyProtection="1">
      <alignment horizontal="center" vertical="center" wrapText="1"/>
    </xf>
    <xf numFmtId="0" fontId="5" fillId="0" borderId="55" xfId="0" applyFont="1" applyBorder="1" applyAlignment="1">
      <alignment horizontal="left" vertical="center" wrapText="1"/>
    </xf>
    <xf numFmtId="0" fontId="13" fillId="0" borderId="45" xfId="1" applyFont="1" applyBorder="1" applyAlignment="1" applyProtection="1">
      <alignment horizontal="center" vertical="center"/>
    </xf>
    <xf numFmtId="0" fontId="13" fillId="0" borderId="7" xfId="1" applyFont="1" applyBorder="1" applyAlignment="1" applyProtection="1">
      <alignment horizontal="center" vertical="center"/>
    </xf>
    <xf numFmtId="0" fontId="13" fillId="0" borderId="49" xfId="1" applyFont="1" applyBorder="1" applyAlignment="1" applyProtection="1">
      <alignment horizontal="center" vertical="center"/>
    </xf>
  </cellXfs>
  <cellStyles count="4">
    <cellStyle name="Гиперссылка" xfId="1" builtinId="8"/>
    <cellStyle name="Обычный" xfId="0" builtinId="0"/>
    <cellStyle name="Обычный 2" xfId="2" xr:uid="{00000000-0005-0000-0000-000002000000}"/>
    <cellStyle name="Финансовый" xfId="3" builtinId="3"/>
  </cellStyles>
  <dxfs count="1"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50800</xdr:colOff>
      <xdr:row>0</xdr:row>
      <xdr:rowOff>38100</xdr:rowOff>
    </xdr:from>
    <xdr:to>
      <xdr:col>1</xdr:col>
      <xdr:colOff>219075</xdr:colOff>
      <xdr:row>1</xdr:row>
      <xdr:rowOff>176766</xdr:rowOff>
    </xdr:to>
    <xdr:pic>
      <xdr:nvPicPr>
        <xdr:cNvPr id="4309" name="Picture 1" descr="фед">
          <a:extLst>
            <a:ext uri="{FF2B5EF4-FFF2-40B4-BE49-F238E27FC236}">
              <a16:creationId xmlns:a16="http://schemas.microsoft.com/office/drawing/2014/main" id="{00000000-0008-0000-0000-0000D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800" y="38100"/>
          <a:ext cx="454025" cy="4434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696516</xdr:colOff>
      <xdr:row>0</xdr:row>
      <xdr:rowOff>66675</xdr:rowOff>
    </xdr:from>
    <xdr:to>
      <xdr:col>7</xdr:col>
      <xdr:colOff>1171575</xdr:colOff>
      <xdr:row>1</xdr:row>
      <xdr:rowOff>228600</xdr:rowOff>
    </xdr:to>
    <xdr:pic>
      <xdr:nvPicPr>
        <xdr:cNvPr id="6" name="Picture 4" descr="фед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5291" y="66675"/>
          <a:ext cx="475059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1066800</xdr:colOff>
          <xdr:row>5</xdr:row>
          <xdr:rowOff>0</xdr:rowOff>
        </xdr:from>
        <xdr:to>
          <xdr:col>6</xdr:col>
          <xdr:colOff>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236220</xdr:colOff>
          <xdr:row>3</xdr:row>
          <xdr:rowOff>38100</xdr:rowOff>
        </xdr:from>
        <xdr:to>
          <xdr:col>2</xdr:col>
          <xdr:colOff>0</xdr:colOff>
          <xdr:row>4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0</xdr:row>
      <xdr:rowOff>88900</xdr:rowOff>
    </xdr:from>
    <xdr:to>
      <xdr:col>1</xdr:col>
      <xdr:colOff>695325</xdr:colOff>
      <xdr:row>1</xdr:row>
      <xdr:rowOff>298450</xdr:rowOff>
    </xdr:to>
    <xdr:pic>
      <xdr:nvPicPr>
        <xdr:cNvPr id="1234" name="Picture 4" descr="фед">
          <a:extLst>
            <a:ext uri="{FF2B5EF4-FFF2-40B4-BE49-F238E27FC236}">
              <a16:creationId xmlns:a16="http://schemas.microsoft.com/office/drawing/2014/main" id="{00000000-0008-0000-0100-0000D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88900"/>
          <a:ext cx="5715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82550</xdr:rowOff>
    </xdr:from>
    <xdr:to>
      <xdr:col>1</xdr:col>
      <xdr:colOff>57150</xdr:colOff>
      <xdr:row>1</xdr:row>
      <xdr:rowOff>152400</xdr:rowOff>
    </xdr:to>
    <xdr:pic>
      <xdr:nvPicPr>
        <xdr:cNvPr id="2439" name="Picture 1" descr="фед">
          <a:extLst>
            <a:ext uri="{FF2B5EF4-FFF2-40B4-BE49-F238E27FC236}">
              <a16:creationId xmlns:a16="http://schemas.microsoft.com/office/drawing/2014/main" id="{00000000-0008-0000-0300-000087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82550"/>
          <a:ext cx="4762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</xdr:col>
      <xdr:colOff>95250</xdr:colOff>
      <xdr:row>1</xdr:row>
      <xdr:rowOff>190500</xdr:rowOff>
    </xdr:to>
    <xdr:pic>
      <xdr:nvPicPr>
        <xdr:cNvPr id="2440" name="Picture 1" descr="фед">
          <a:extLst>
            <a:ext uri="{FF2B5EF4-FFF2-40B4-BE49-F238E27FC236}">
              <a16:creationId xmlns:a16="http://schemas.microsoft.com/office/drawing/2014/main" id="{00000000-0008-0000-0300-000088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5245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508000</xdr:colOff>
      <xdr:row>0</xdr:row>
      <xdr:rowOff>44450</xdr:rowOff>
    </xdr:from>
    <xdr:to>
      <xdr:col>1</xdr:col>
      <xdr:colOff>1066800</xdr:colOff>
      <xdr:row>1</xdr:row>
      <xdr:rowOff>266700</xdr:rowOff>
    </xdr:to>
    <xdr:pic>
      <xdr:nvPicPr>
        <xdr:cNvPr id="3268" name="Picture 1" descr="фед">
          <a:extLst>
            <a:ext uri="{FF2B5EF4-FFF2-40B4-BE49-F238E27FC236}">
              <a16:creationId xmlns:a16="http://schemas.microsoft.com/office/drawing/2014/main" id="{00000000-0008-0000-0600-0000C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44450"/>
          <a:ext cx="55880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79033/Desktop/&#1057;&#1087;&#1072;&#1088;&#1090;&#1072;&#1082;&#1080;&#1072;&#1076;&#1072;%20&#1089;&#1080;&#1083;&#1100;&#1085;&#1077;&#1081;&#1096;&#1080;&#1093;/&#1056;&#1077;&#1075;&#1080;&#1089;&#1090;&#1088;&#1072;&#1094;&#1080;&#110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реквизиты"/>
      <sheetName val="регистрация"/>
    </sheetNames>
    <sheetDataSet>
      <sheetData sheetId="0"/>
      <sheetData sheetId="1">
        <row r="2">
          <cell r="A2" t="str">
            <v xml:space="preserve"> I Всероссийская спартакиада между субъектами Российской Федерации по летним видам спорта среди сильнейших спортсменов 2022 года.</v>
          </cell>
        </row>
        <row r="3">
          <cell r="A3" t="str">
            <v>26-29.08.2022г.                                              г.Казань</v>
          </cell>
        </row>
        <row r="6">
          <cell r="A6" t="str">
            <v>Гл. судья, судья ВК</v>
          </cell>
          <cell r="G6" t="str">
            <v>А.Д.Валиуллов</v>
          </cell>
        </row>
        <row r="7">
          <cell r="G7" t="str">
            <v>/Татарстан/</v>
          </cell>
        </row>
        <row r="8">
          <cell r="A8" t="str">
            <v>Гл. секретарь, судья ВК</v>
          </cell>
          <cell r="G8" t="str">
            <v>В.И.Рожков</v>
          </cell>
        </row>
        <row r="9">
          <cell r="G9" t="str">
            <v>/Саратовская/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tabColor indexed="12"/>
  </sheetPr>
  <dimension ref="A1:AI134"/>
  <sheetViews>
    <sheetView workbookViewId="0">
      <selection activeCell="B13" sqref="B13:B14"/>
    </sheetView>
  </sheetViews>
  <sheetFormatPr defaultRowHeight="13.2"/>
  <cols>
    <col min="1" max="1" width="4.33203125" customWidth="1"/>
    <col min="2" max="2" width="5.44140625" customWidth="1"/>
    <col min="3" max="3" width="27.109375" customWidth="1"/>
    <col min="4" max="4" width="15.33203125" customWidth="1"/>
    <col min="5" max="5" width="7" customWidth="1"/>
    <col min="6" max="6" width="15.109375" customWidth="1"/>
    <col min="7" max="7" width="7.33203125" customWidth="1"/>
    <col min="8" max="8" width="18.6640625" customWidth="1"/>
    <col min="9" max="9" width="2.33203125" customWidth="1"/>
    <col min="10" max="11" width="4.33203125" hidden="1" customWidth="1"/>
    <col min="12" max="12" width="13.44140625" hidden="1" customWidth="1"/>
    <col min="13" max="19" width="4.33203125" hidden="1" customWidth="1"/>
    <col min="20" max="20" width="15.88671875" hidden="1" customWidth="1"/>
    <col min="21" max="24" width="4.33203125" hidden="1" customWidth="1"/>
    <col min="25" max="25" width="10.88671875" customWidth="1"/>
    <col min="26" max="26" width="4.33203125" customWidth="1"/>
    <col min="27" max="27" width="5.109375" customWidth="1"/>
    <col min="28" max="33" width="4.6640625" customWidth="1"/>
    <col min="34" max="34" width="4.33203125" customWidth="1"/>
    <col min="35" max="35" width="2.5546875" customWidth="1"/>
    <col min="36" max="39" width="4.33203125" customWidth="1"/>
  </cols>
  <sheetData>
    <row r="1" spans="1:35" ht="24" customHeight="1">
      <c r="A1" s="210" t="s">
        <v>81</v>
      </c>
      <c r="B1" s="210"/>
      <c r="C1" s="210"/>
      <c r="D1" s="210"/>
      <c r="E1" s="210"/>
      <c r="F1" s="210"/>
      <c r="G1" s="210"/>
      <c r="H1" s="210"/>
    </row>
    <row r="2" spans="1:35" ht="55.5" customHeight="1">
      <c r="A2" s="154"/>
      <c r="B2" s="209" t="str">
        <f>[1]реквизиты!$A$2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C2" s="209"/>
      <c r="D2" s="209"/>
      <c r="E2" s="209"/>
      <c r="F2" s="209"/>
      <c r="G2" s="209"/>
      <c r="H2" s="155"/>
      <c r="I2" s="126"/>
      <c r="J2" s="126"/>
      <c r="K2" s="126"/>
    </row>
    <row r="3" spans="1:35" ht="17.25" customHeight="1">
      <c r="A3" s="213" t="str">
        <f>[1]реквизиты!$A$3</f>
        <v>26-29.08.2022г.                                              г.Казань</v>
      </c>
      <c r="B3" s="213"/>
      <c r="C3" s="213"/>
      <c r="D3" s="213"/>
      <c r="E3" s="213"/>
      <c r="F3" s="213"/>
      <c r="G3" s="213"/>
      <c r="H3" s="213"/>
    </row>
    <row r="4" spans="1:35" ht="19.5" customHeight="1">
      <c r="D4" s="6" t="s">
        <v>115</v>
      </c>
      <c r="E4" s="6"/>
      <c r="Y4" s="203" t="s">
        <v>77</v>
      </c>
      <c r="Z4" s="203"/>
      <c r="AA4" s="203"/>
      <c r="AB4" s="203"/>
      <c r="AC4" s="203"/>
      <c r="AD4" s="203"/>
      <c r="AE4" s="203"/>
    </row>
    <row r="5" spans="1:35" ht="12.75" customHeight="1" thickBot="1">
      <c r="A5" s="211" t="s">
        <v>82</v>
      </c>
      <c r="B5" s="218" t="s">
        <v>4</v>
      </c>
      <c r="C5" s="211" t="s">
        <v>5</v>
      </c>
      <c r="D5" s="211" t="s">
        <v>6</v>
      </c>
      <c r="E5" s="214" t="s">
        <v>7</v>
      </c>
      <c r="F5" s="215"/>
      <c r="G5" s="211" t="s">
        <v>9</v>
      </c>
      <c r="H5" s="211" t="s">
        <v>8</v>
      </c>
      <c r="Q5" s="204"/>
      <c r="R5" s="204"/>
      <c r="S5" s="204"/>
      <c r="Y5" s="100"/>
      <c r="Z5" s="100"/>
      <c r="AA5" s="100"/>
      <c r="AB5" s="100"/>
      <c r="AC5" s="100"/>
      <c r="AD5" s="100"/>
      <c r="AE5" s="100"/>
    </row>
    <row r="6" spans="1:35" ht="13.8" thickBot="1">
      <c r="A6" s="212"/>
      <c r="B6" s="212"/>
      <c r="C6" s="212"/>
      <c r="D6" s="212"/>
      <c r="E6" s="216"/>
      <c r="F6" s="217"/>
      <c r="G6" s="212"/>
      <c r="H6" s="212"/>
      <c r="J6" s="92"/>
      <c r="K6" s="92"/>
      <c r="L6" s="92"/>
      <c r="M6" s="92"/>
      <c r="N6" s="92"/>
      <c r="O6" s="92"/>
      <c r="P6" s="156"/>
      <c r="Q6" s="156" t="str">
        <f>N7</f>
        <v>ЗМС</v>
      </c>
      <c r="R6" s="156" t="str">
        <f>N8</f>
        <v>МС</v>
      </c>
      <c r="S6" s="157" t="str">
        <f>N9</f>
        <v>МСМК</v>
      </c>
      <c r="T6" s="157" t="str">
        <f>N10</f>
        <v/>
      </c>
      <c r="U6" s="157" t="str">
        <f>N11</f>
        <v/>
      </c>
      <c r="V6" s="157" t="str">
        <f>N12</f>
        <v/>
      </c>
      <c r="W6" s="157" t="str">
        <f>N13</f>
        <v/>
      </c>
      <c r="X6" s="95"/>
      <c r="Y6" s="127" t="s">
        <v>78</v>
      </c>
      <c r="Z6" s="97" t="str">
        <f t="shared" ref="Z6:AF6" si="0">Q6</f>
        <v>ЗМС</v>
      </c>
      <c r="AA6" s="97" t="str">
        <f t="shared" si="0"/>
        <v>МС</v>
      </c>
      <c r="AB6" s="158" t="str">
        <f t="shared" si="0"/>
        <v>МСМК</v>
      </c>
      <c r="AC6" s="158" t="str">
        <f t="shared" si="0"/>
        <v/>
      </c>
      <c r="AD6" s="97" t="str">
        <f t="shared" si="0"/>
        <v/>
      </c>
      <c r="AE6" s="128" t="str">
        <f t="shared" si="0"/>
        <v/>
      </c>
      <c r="AF6" s="92" t="str">
        <f t="shared" si="0"/>
        <v/>
      </c>
    </row>
    <row r="7" spans="1:35" ht="24" customHeight="1">
      <c r="A7" s="159" t="s">
        <v>52</v>
      </c>
      <c r="B7" s="160">
        <v>1</v>
      </c>
      <c r="C7" s="161" t="s">
        <v>96</v>
      </c>
      <c r="D7" s="162" t="s">
        <v>97</v>
      </c>
      <c r="E7" s="163" t="s">
        <v>98</v>
      </c>
      <c r="F7" s="162" t="s">
        <v>99</v>
      </c>
      <c r="G7" s="164"/>
      <c r="H7" s="165" t="s">
        <v>100</v>
      </c>
      <c r="I7" s="26"/>
      <c r="J7" s="128">
        <v>1</v>
      </c>
      <c r="K7" s="151" t="str">
        <f>IFERROR(RIGHT(D7,LEN(D7)-FIND("*",SUBSTITUTE(D7," ","*",LEN(D7)-LEN(SUBSTITUTE(D7," ",""))))),D7)</f>
        <v>ЗМС</v>
      </c>
      <c r="L7" s="151" t="str">
        <f>IFERROR(LEFT(F7,FIND(",",F7)-1),F7)</f>
        <v>Москва</v>
      </c>
      <c r="M7" s="166" t="str">
        <f t="array" ref="M7">IFERROR(INDEX(субъект,MATCH(SUM(COUNTIF(M$6:M6,субъект)),COUNTIF(субъект,"&lt;"&amp;субъект),0)),"")</f>
        <v>Краснодарский</v>
      </c>
      <c r="N7" s="166" t="str">
        <f t="array" ref="N7">IFERROR(INDEX(разряд,MATCH(SUM(COUNTIF(N$6:N6,разряд)),COUNTIF(разряд,"&lt;"&amp;разряд),0)),"")</f>
        <v>ЗМС</v>
      </c>
      <c r="O7" s="167">
        <v>1</v>
      </c>
      <c r="P7" s="98" t="str">
        <f t="shared" ref="P7:P14" si="1">M7</f>
        <v>Краснодарский</v>
      </c>
      <c r="Q7" s="168">
        <f t="shared" ref="Q7:Q14" si="2">SUMIFS($J$7:$J$30,$L$7:$L$30,P7,$K$7:$K$30,Q$6)</f>
        <v>0</v>
      </c>
      <c r="R7" s="168">
        <f t="shared" ref="R7:R14" si="3">SUMIFS($J$7:$J$30,$L$7:$L$30,P7,$K$7:$K$30,R$6)</f>
        <v>0</v>
      </c>
      <c r="S7" s="169">
        <f t="shared" ref="S7:S14" si="4">SUMIFS($J$7:$J$30,$L$7:$L$30,P7,$K$7:$K$30,S$6)</f>
        <v>1</v>
      </c>
      <c r="T7" s="170">
        <f t="shared" ref="T7:T14" si="5">SUMIFS($J$7:$J$30,$L$7:$L$30,P7,$K$7:$K$30,T$6)</f>
        <v>0</v>
      </c>
      <c r="U7" s="170">
        <f t="shared" ref="U7:U14" si="6">SUMIFS($J$7:$J$30,$L$7:$L$30,P7,$K$7:$K$30,U$6)</f>
        <v>0</v>
      </c>
      <c r="V7" s="170">
        <f t="shared" ref="V7:V14" si="7">SUMIFS($J$7:$J$30,$L$7:$L$30,P7,$K$7:$K$30,V$6)</f>
        <v>0</v>
      </c>
      <c r="W7" s="170">
        <f t="shared" ref="W7:W14" si="8">SUMIFS($J$7:$J$30,$L$7:$L$30,P7,$K$7:$K$30,W$6)</f>
        <v>0</v>
      </c>
      <c r="X7" s="171"/>
      <c r="Y7" s="172" t="str">
        <f>P7</f>
        <v>Краснодарский</v>
      </c>
      <c r="Z7" s="125" t="str">
        <f>IF(Q7=0," ",Q7)</f>
        <v xml:space="preserve"> </v>
      </c>
      <c r="AA7" s="125" t="str">
        <f>IF(R7=0," ",R7)</f>
        <v xml:space="preserve"> </v>
      </c>
      <c r="AB7" s="125">
        <f>IF(S7=0," ",S7)</f>
        <v>1</v>
      </c>
      <c r="AC7" s="125" t="str">
        <f>IF(T7=0," ",T7)</f>
        <v xml:space="preserve"> </v>
      </c>
      <c r="AD7" s="125" t="str">
        <f t="shared" ref="AD7:AF14" si="9">IF(U7=0," ",U7)</f>
        <v xml:space="preserve"> </v>
      </c>
      <c r="AE7" s="96" t="str">
        <f t="shared" si="9"/>
        <v xml:space="preserve"> </v>
      </c>
      <c r="AF7" s="96" t="str">
        <f t="shared" si="9"/>
        <v xml:space="preserve"> </v>
      </c>
      <c r="AH7" s="205">
        <f>SUM(Z7:AF14)</f>
        <v>6</v>
      </c>
      <c r="AI7" s="206"/>
    </row>
    <row r="8" spans="1:35" ht="24" customHeight="1" thickBot="1">
      <c r="A8" s="159" t="s">
        <v>53</v>
      </c>
      <c r="B8" s="160">
        <v>2</v>
      </c>
      <c r="C8" s="161" t="s">
        <v>111</v>
      </c>
      <c r="D8" s="162" t="s">
        <v>112</v>
      </c>
      <c r="E8" s="161" t="s">
        <v>88</v>
      </c>
      <c r="F8" s="162" t="s">
        <v>113</v>
      </c>
      <c r="G8" s="161"/>
      <c r="H8" s="165" t="s">
        <v>114</v>
      </c>
      <c r="I8" s="26"/>
      <c r="J8" s="128">
        <v>1</v>
      </c>
      <c r="K8" s="151" t="str">
        <f t="shared" ref="K8:K14" si="10">IFERROR(RIGHT(D8,LEN(D8)-FIND("*",SUBSTITUTE(D8," ","*",LEN(D8)-LEN(SUBSTITUTE(D8," ",""))))),D8)</f>
        <v>МСМК</v>
      </c>
      <c r="L8" s="151" t="str">
        <f t="shared" ref="L8:L14" si="11">IFERROR(LEFT(F8,FIND(",",F8)-1),F8)</f>
        <v>Свердловская</v>
      </c>
      <c r="M8" s="166" t="str">
        <f t="array" ref="M8">IFERROR(INDEX(субъект,MATCH(SUM(COUNTIF(M$6:M7,субъект)),COUNTIF(субъект,"&lt;"&amp;субъект),0)),"")</f>
        <v>Москва</v>
      </c>
      <c r="N8" s="166" t="str">
        <f t="array" ref="N8">IFERROR(INDEX(разряд,MATCH(SUM(COUNTIF(N$6:N7,разряд)),COUNTIF(разряд,"&lt;"&amp;разряд),0)),"")</f>
        <v>МС</v>
      </c>
      <c r="O8" s="167">
        <v>2</v>
      </c>
      <c r="P8" s="98" t="str">
        <f t="shared" si="1"/>
        <v>Москва</v>
      </c>
      <c r="Q8" s="168">
        <f t="shared" si="2"/>
        <v>1</v>
      </c>
      <c r="R8" s="168">
        <f t="shared" si="3"/>
        <v>0</v>
      </c>
      <c r="S8" s="169">
        <f t="shared" si="4"/>
        <v>0</v>
      </c>
      <c r="T8" s="170">
        <f t="shared" si="5"/>
        <v>0</v>
      </c>
      <c r="U8" s="170">
        <f t="shared" si="6"/>
        <v>0</v>
      </c>
      <c r="V8" s="170">
        <f t="shared" si="7"/>
        <v>0</v>
      </c>
      <c r="W8" s="170">
        <f t="shared" si="8"/>
        <v>0</v>
      </c>
      <c r="X8" s="99"/>
      <c r="Y8" s="96" t="str">
        <f t="shared" ref="Y8:Y14" si="12">P8</f>
        <v>Москва</v>
      </c>
      <c r="Z8" s="96">
        <f>IF($Y$8=$Y$7," ",IF(Q8=0," ",Q8))</f>
        <v>1</v>
      </c>
      <c r="AA8" s="96" t="str">
        <f>IF($Y$8=$Y$7," ",IF(R8=0," ",R8))</f>
        <v xml:space="preserve"> </v>
      </c>
      <c r="AB8" s="96" t="str">
        <f>IF($Y$8=$Y$7," ",IF(S8=0," ",S8))</f>
        <v xml:space="preserve"> </v>
      </c>
      <c r="AC8" s="96" t="str">
        <f>IF($Y$8=$Y$7," ",IF(T8=0," ",T8))</f>
        <v xml:space="preserve"> </v>
      </c>
      <c r="AD8" s="96" t="str">
        <f t="shared" si="9"/>
        <v xml:space="preserve"> </v>
      </c>
      <c r="AE8" s="96" t="str">
        <f t="shared" si="9"/>
        <v xml:space="preserve"> </v>
      </c>
      <c r="AF8" s="96" t="str">
        <f t="shared" si="9"/>
        <v xml:space="preserve"> </v>
      </c>
      <c r="AH8" s="207"/>
      <c r="AI8" s="208"/>
    </row>
    <row r="9" spans="1:35" ht="24" customHeight="1">
      <c r="A9" s="159" t="s">
        <v>54</v>
      </c>
      <c r="B9" s="160">
        <v>3</v>
      </c>
      <c r="C9" s="161" t="s">
        <v>91</v>
      </c>
      <c r="D9" s="162" t="s">
        <v>92</v>
      </c>
      <c r="E9" s="163" t="s">
        <v>93</v>
      </c>
      <c r="F9" s="162" t="s">
        <v>94</v>
      </c>
      <c r="G9" s="164"/>
      <c r="H9" s="165" t="s">
        <v>95</v>
      </c>
      <c r="I9" s="26"/>
      <c r="J9" s="128">
        <v>1</v>
      </c>
      <c r="K9" s="151" t="str">
        <f t="shared" si="10"/>
        <v>МСМК</v>
      </c>
      <c r="L9" s="151" t="str">
        <f t="shared" si="11"/>
        <v>Краснодарский</v>
      </c>
      <c r="M9" s="166" t="str">
        <f t="array" ref="M9">IFERROR(INDEX(субъект,MATCH(SUM(COUNTIF(M$6:M8,субъект)),COUNTIF(субъект,"&lt;"&amp;субъект),0)),"")</f>
        <v>Новосибирская</v>
      </c>
      <c r="N9" s="166" t="str">
        <f t="array" ref="N9">IFERROR(INDEX(разряд,MATCH(SUM(COUNTIF(N$6:N8,разряд)),COUNTIF(разряд,"&lt;"&amp;разряд),0)),"")</f>
        <v>МСМК</v>
      </c>
      <c r="O9" s="167">
        <v>3</v>
      </c>
      <c r="P9" s="98" t="str">
        <f t="shared" si="1"/>
        <v>Новосибирская</v>
      </c>
      <c r="Q9" s="168">
        <f t="shared" si="2"/>
        <v>0</v>
      </c>
      <c r="R9" s="168">
        <f t="shared" si="3"/>
        <v>1</v>
      </c>
      <c r="S9" s="169">
        <f t="shared" si="4"/>
        <v>0</v>
      </c>
      <c r="T9" s="170">
        <f t="shared" si="5"/>
        <v>0</v>
      </c>
      <c r="U9" s="170">
        <f t="shared" si="6"/>
        <v>0</v>
      </c>
      <c r="V9" s="170">
        <f t="shared" si="7"/>
        <v>0</v>
      </c>
      <c r="W9" s="170">
        <f t="shared" si="8"/>
        <v>0</v>
      </c>
      <c r="X9" s="99"/>
      <c r="Y9" s="96" t="str">
        <f t="shared" si="12"/>
        <v>Новосибирская</v>
      </c>
      <c r="Z9" s="96" t="str">
        <f>IF(OR($Y9=$Y7,$Y9=$Y8)," ",IF(Q9=0," ",Q9))</f>
        <v xml:space="preserve"> </v>
      </c>
      <c r="AA9" s="96">
        <f>IF(OR($Y9=$Y7,$Y9=$Y8)," ",IF(R9=0," ",R9))</f>
        <v>1</v>
      </c>
      <c r="AB9" s="96" t="str">
        <f>IF(OR($Y9=$Y7,$Y9=$Y8)," ",IF(S9=0," ",S9))</f>
        <v xml:space="preserve"> </v>
      </c>
      <c r="AC9" s="96" t="str">
        <f>IF(OR($Y9=$Y7,$Y9=$Y8)," ",IF(T9=0," ",T9))</f>
        <v xml:space="preserve"> </v>
      </c>
      <c r="AD9" s="96" t="str">
        <f t="shared" si="9"/>
        <v xml:space="preserve"> </v>
      </c>
      <c r="AE9" s="96" t="str">
        <f t="shared" si="9"/>
        <v xml:space="preserve"> </v>
      </c>
      <c r="AF9" s="96" t="str">
        <f t="shared" si="9"/>
        <v xml:space="preserve"> </v>
      </c>
    </row>
    <row r="10" spans="1:35" ht="24" customHeight="1">
      <c r="A10" s="159" t="s">
        <v>55</v>
      </c>
      <c r="B10" s="160">
        <v>4</v>
      </c>
      <c r="C10" s="161" t="s">
        <v>101</v>
      </c>
      <c r="D10" s="162" t="s">
        <v>102</v>
      </c>
      <c r="E10" s="163" t="s">
        <v>103</v>
      </c>
      <c r="F10" s="162" t="s">
        <v>104</v>
      </c>
      <c r="G10" s="164"/>
      <c r="H10" s="165" t="s">
        <v>105</v>
      </c>
      <c r="I10" s="26"/>
      <c r="J10" s="128">
        <v>1</v>
      </c>
      <c r="K10" s="151" t="str">
        <f t="shared" si="10"/>
        <v>МСМК</v>
      </c>
      <c r="L10" s="151" t="str">
        <f t="shared" si="11"/>
        <v>Рязанская</v>
      </c>
      <c r="M10" s="166" t="str">
        <f t="array" ref="M10">IFERROR(INDEX(субъект,MATCH(SUM(COUNTIF(M$6:M9,субъект)),COUNTIF(субъект,"&lt;"&amp;субъект),0)),"")</f>
        <v>Рязанская</v>
      </c>
      <c r="N10" s="166" t="str">
        <f t="array" ref="N10">IFERROR(INDEX(разряд,MATCH(SUM(COUNTIF(N$6:N9,разряд)),COUNTIF(разряд,"&lt;"&amp;разряд),0)),"")</f>
        <v/>
      </c>
      <c r="O10" s="167">
        <v>4</v>
      </c>
      <c r="P10" s="98" t="str">
        <f t="shared" si="1"/>
        <v>Рязанская</v>
      </c>
      <c r="Q10" s="168">
        <f t="shared" si="2"/>
        <v>0</v>
      </c>
      <c r="R10" s="168">
        <f t="shared" si="3"/>
        <v>0</v>
      </c>
      <c r="S10" s="169">
        <f t="shared" si="4"/>
        <v>1</v>
      </c>
      <c r="T10" s="170">
        <f t="shared" si="5"/>
        <v>0</v>
      </c>
      <c r="U10" s="170">
        <f t="shared" si="6"/>
        <v>0</v>
      </c>
      <c r="V10" s="170">
        <f t="shared" si="7"/>
        <v>0</v>
      </c>
      <c r="W10" s="170">
        <f t="shared" si="8"/>
        <v>0</v>
      </c>
      <c r="X10" s="95"/>
      <c r="Y10" s="96" t="str">
        <f t="shared" si="12"/>
        <v>Рязанская</v>
      </c>
      <c r="Z10" s="96" t="str">
        <f>IF(OR($Y10=$Y8,$Y10=$Y9,$Y10=$Y7)," ",IF(Q10=0," ",Q10))</f>
        <v xml:space="preserve"> </v>
      </c>
      <c r="AA10" s="96" t="str">
        <f>IF(OR($Y10=$Y8,$Y10=$Y9,$Y10=$Y7)," ",IF(R10=0," ",R10))</f>
        <v xml:space="preserve"> </v>
      </c>
      <c r="AB10" s="96">
        <f>IF(OR($Y10=$Y8,$Y10=$Y9,$Y10=$Y7)," ",IF(S10=0," ",S10))</f>
        <v>1</v>
      </c>
      <c r="AC10" s="96" t="str">
        <f>IF(OR($Y10=$Y8,$Y10=$Y9,$Y10=$Y7)," ",IF(T10=0," ",T10))</f>
        <v xml:space="preserve"> </v>
      </c>
      <c r="AD10" s="96" t="str">
        <f t="shared" si="9"/>
        <v xml:space="preserve"> </v>
      </c>
      <c r="AE10" s="96" t="str">
        <f t="shared" si="9"/>
        <v xml:space="preserve"> </v>
      </c>
      <c r="AF10" s="96" t="str">
        <f t="shared" si="9"/>
        <v xml:space="preserve"> </v>
      </c>
    </row>
    <row r="11" spans="1:35" ht="24" customHeight="1">
      <c r="A11" s="159" t="s">
        <v>56</v>
      </c>
      <c r="B11" s="160">
        <v>5</v>
      </c>
      <c r="C11" s="161" t="s">
        <v>86</v>
      </c>
      <c r="D11" s="162" t="s">
        <v>87</v>
      </c>
      <c r="E11" s="163" t="s">
        <v>88</v>
      </c>
      <c r="F11" s="162" t="s">
        <v>89</v>
      </c>
      <c r="G11" s="164"/>
      <c r="H11" s="165" t="s">
        <v>90</v>
      </c>
      <c r="I11" s="26"/>
      <c r="J11" s="128">
        <v>1</v>
      </c>
      <c r="K11" s="151" t="str">
        <f t="shared" si="10"/>
        <v>МС</v>
      </c>
      <c r="L11" s="151" t="str">
        <f t="shared" si="11"/>
        <v>Свердловская</v>
      </c>
      <c r="M11" s="166" t="str">
        <f t="array" ref="M11">IFERROR(INDEX(субъект,MATCH(SUM(COUNTIF(M$6:M10,субъект)),COUNTIF(субъект,"&lt;"&amp;субъект),0)),"")</f>
        <v>Свердловская</v>
      </c>
      <c r="N11" s="166" t="str">
        <f t="array" ref="N11">IFERROR(INDEX(разряд,MATCH(SUM(COUNTIF(N$6:N10,разряд)),COUNTIF(разряд,"&lt;"&amp;разряд),0)),"")</f>
        <v/>
      </c>
      <c r="O11" s="167">
        <v>5</v>
      </c>
      <c r="P11" s="98" t="str">
        <f t="shared" si="1"/>
        <v>Свердловская</v>
      </c>
      <c r="Q11" s="168">
        <f t="shared" si="2"/>
        <v>0</v>
      </c>
      <c r="R11" s="168">
        <f t="shared" si="3"/>
        <v>1</v>
      </c>
      <c r="S11" s="169">
        <f t="shared" si="4"/>
        <v>1</v>
      </c>
      <c r="T11" s="170">
        <f t="shared" si="5"/>
        <v>0</v>
      </c>
      <c r="U11" s="170">
        <f t="shared" si="6"/>
        <v>0</v>
      </c>
      <c r="V11" s="170">
        <f t="shared" si="7"/>
        <v>0</v>
      </c>
      <c r="W11" s="170">
        <f t="shared" si="8"/>
        <v>0</v>
      </c>
      <c r="X11" s="99"/>
      <c r="Y11" s="96" t="str">
        <f t="shared" si="12"/>
        <v>Свердловская</v>
      </c>
      <c r="Z11" s="96" t="str">
        <f>IF(OR($Y11=$Y9,$Y11=$Y10,$Y11=$Y8,$Y11=$Y7)," ",IF(Q11=0," ",Q11))</f>
        <v xml:space="preserve"> </v>
      </c>
      <c r="AA11" s="96">
        <f>IF(OR($Y11=$Y9,$Y11=$Y10,$Y11=$Y8,$Y11=$Y7)," ",IF(R11=0," ",R11))</f>
        <v>1</v>
      </c>
      <c r="AB11" s="96">
        <f>IF(OR($Y11=$Y9,$Y11=$Y10,$Y11=$Y8,$Y11=$Y7)," ",IF(S11=0," ",S11))</f>
        <v>1</v>
      </c>
      <c r="AC11" s="96" t="str">
        <f>IF(OR($Y11=$Y9,$Y11=$Y10,$Y11=$Y8,$Y11=$Y7)," ",IF(T11=0," ",T11))</f>
        <v xml:space="preserve"> </v>
      </c>
      <c r="AD11" s="96" t="str">
        <f t="shared" si="9"/>
        <v xml:space="preserve"> </v>
      </c>
      <c r="AE11" s="96" t="str">
        <f t="shared" si="9"/>
        <v xml:space="preserve"> </v>
      </c>
      <c r="AF11" s="96" t="str">
        <f t="shared" si="9"/>
        <v xml:space="preserve"> </v>
      </c>
    </row>
    <row r="12" spans="1:35" ht="24" customHeight="1">
      <c r="A12" s="159" t="s">
        <v>57</v>
      </c>
      <c r="B12" s="160">
        <v>6</v>
      </c>
      <c r="C12" s="161" t="s">
        <v>106</v>
      </c>
      <c r="D12" s="162" t="s">
        <v>107</v>
      </c>
      <c r="E12" s="163" t="s">
        <v>108</v>
      </c>
      <c r="F12" s="162" t="s">
        <v>109</v>
      </c>
      <c r="G12" s="164"/>
      <c r="H12" s="165" t="s">
        <v>110</v>
      </c>
      <c r="I12" s="26"/>
      <c r="J12" s="128">
        <v>1</v>
      </c>
      <c r="K12" s="151" t="str">
        <f t="shared" si="10"/>
        <v>МС</v>
      </c>
      <c r="L12" s="151" t="str">
        <f t="shared" si="11"/>
        <v>Новосибирская</v>
      </c>
      <c r="M12" s="166" t="str">
        <f t="array" ref="M12">IFERROR(INDEX(субъект,MATCH(SUM(COUNTIF(M$6:M11,субъект)),COUNTIF(субъект,"&lt;"&amp;субъект),0)),"")</f>
        <v/>
      </c>
      <c r="N12" s="166" t="str">
        <f t="array" ref="N12">IFERROR(INDEX(разряд,MATCH(SUM(COUNTIF(N$6:N11,разряд)),COUNTIF(разряд,"&lt;"&amp;разряд),0)),"")</f>
        <v/>
      </c>
      <c r="O12" s="167">
        <v>6</v>
      </c>
      <c r="P12" s="98" t="str">
        <f t="shared" si="1"/>
        <v/>
      </c>
      <c r="Q12" s="168">
        <f t="shared" si="2"/>
        <v>0</v>
      </c>
      <c r="R12" s="168">
        <f t="shared" si="3"/>
        <v>0</v>
      </c>
      <c r="S12" s="169">
        <f t="shared" si="4"/>
        <v>0</v>
      </c>
      <c r="T12" s="170">
        <f t="shared" si="5"/>
        <v>0</v>
      </c>
      <c r="U12" s="170">
        <f t="shared" si="6"/>
        <v>0</v>
      </c>
      <c r="V12" s="170">
        <f t="shared" si="7"/>
        <v>0</v>
      </c>
      <c r="W12" s="170">
        <f t="shared" si="8"/>
        <v>0</v>
      </c>
      <c r="X12" s="95"/>
      <c r="Y12" s="96" t="str">
        <f t="shared" si="12"/>
        <v/>
      </c>
      <c r="Z12" s="96" t="str">
        <f>IF(OR($Y12=$Y10,$Y12=$Y11,$Y12=$Y9,$Y12=$Y8,$Y12=$Y7)," ",IF(Q12=0," ",Q12))</f>
        <v xml:space="preserve"> </v>
      </c>
      <c r="AA12" s="96" t="str">
        <f>IF(OR($Y12=$Y10,$Y12=$Y11,$Y12=$Y9,$Y12=$Y8,$Y12=$Y7)," ",IF(R12=0," ",R12))</f>
        <v xml:space="preserve"> </v>
      </c>
      <c r="AB12" s="96" t="str">
        <f>IF(OR($Y12=$Y10,$Y12=$Y11,$Y12=$Y9,$Y12=$Y8,$Y12=$Y7)," ",IF(S12=0," ",S12))</f>
        <v xml:space="preserve"> </v>
      </c>
      <c r="AC12" s="96" t="str">
        <f>IF(OR($Y12=$Y10,$Y12=$Y11,$Y12=$Y9,$Y12=$Y8,$Y12=$Y7)," ",IF(T12=0," ",T12))</f>
        <v xml:space="preserve"> </v>
      </c>
      <c r="AD12" s="96" t="str">
        <f t="shared" si="9"/>
        <v xml:space="preserve"> </v>
      </c>
      <c r="AE12" s="96" t="str">
        <f t="shared" si="9"/>
        <v xml:space="preserve"> </v>
      </c>
      <c r="AF12" s="96" t="str">
        <f t="shared" si="9"/>
        <v xml:space="preserve"> </v>
      </c>
    </row>
    <row r="13" spans="1:35" ht="24" customHeight="1">
      <c r="A13" s="159" t="s">
        <v>58</v>
      </c>
      <c r="B13" s="173"/>
      <c r="C13" s="150"/>
      <c r="D13" s="150"/>
      <c r="E13" s="150"/>
      <c r="F13" s="162"/>
      <c r="G13" s="174"/>
      <c r="H13" s="175"/>
      <c r="I13" s="26"/>
      <c r="J13" s="128">
        <v>1</v>
      </c>
      <c r="K13" s="151">
        <f t="shared" si="10"/>
        <v>0</v>
      </c>
      <c r="L13" s="151">
        <f t="shared" si="11"/>
        <v>0</v>
      </c>
      <c r="M13" s="166" t="str">
        <f t="array" ref="M13">IFERROR(INDEX(субъект,MATCH(SUM(COUNTIF(M$6:M12,субъект)),COUNTIF(субъект,"&lt;"&amp;субъект),0)),"")</f>
        <v/>
      </c>
      <c r="N13" s="166" t="str">
        <f t="array" ref="N13">IFERROR(INDEX(разряд,MATCH(SUM(COUNTIF(N$6:N12,разряд)),COUNTIF(разряд,"&lt;"&amp;разряд),0)),"")</f>
        <v/>
      </c>
      <c r="O13" s="167">
        <v>7</v>
      </c>
      <c r="P13" s="98" t="str">
        <f t="shared" si="1"/>
        <v/>
      </c>
      <c r="Q13" s="168">
        <f t="shared" si="2"/>
        <v>0</v>
      </c>
      <c r="R13" s="168">
        <f t="shared" si="3"/>
        <v>0</v>
      </c>
      <c r="S13" s="169">
        <f t="shared" si="4"/>
        <v>0</v>
      </c>
      <c r="T13" s="170">
        <f t="shared" si="5"/>
        <v>0</v>
      </c>
      <c r="U13" s="170">
        <f t="shared" si="6"/>
        <v>0</v>
      </c>
      <c r="V13" s="170">
        <f t="shared" si="7"/>
        <v>0</v>
      </c>
      <c r="W13" s="170">
        <f t="shared" si="8"/>
        <v>0</v>
      </c>
      <c r="X13" s="99"/>
      <c r="Y13" s="96" t="str">
        <f t="shared" si="12"/>
        <v/>
      </c>
      <c r="Z13" s="96" t="str">
        <f>IF(OR($Y13=$Y11,$Y13=$Y12,$Y13=$Y10,$Y13=$Y9,$Y13=$Y8,$Y13=$Y7)," ",IF(Q13=0," ",Q13))</f>
        <v xml:space="preserve"> </v>
      </c>
      <c r="AA13" s="96" t="str">
        <f>IF(OR($Y13=$Y11,$Y13=$Y12,$Y13=$Y10,$Y13=$Y9,$Y13=$Y8,$Y13=$Y7)," ",IF(R13=0," ",R13))</f>
        <v xml:space="preserve"> </v>
      </c>
      <c r="AB13" s="96" t="str">
        <f>IF(OR($Y13=$Y11,$Y13=$Y12,$Y13=$Y10,$Y13=$Y9,$Y13=$Y8,$Y13=$Y7)," ",IF(S13=0," ",S13))</f>
        <v xml:space="preserve"> </v>
      </c>
      <c r="AC13" s="96" t="str">
        <f>IF(OR($Y13=$Y11,$Y13=$Y12,$Y13=$Y10,$Y13=$Y9,$Y13=$Y8,$Y13=$Y7)," ",IF(T13=0," ",T13))</f>
        <v xml:space="preserve"> </v>
      </c>
      <c r="AD13" s="96" t="str">
        <f t="shared" si="9"/>
        <v xml:space="preserve"> </v>
      </c>
      <c r="AE13" s="96" t="str">
        <f t="shared" si="9"/>
        <v xml:space="preserve"> </v>
      </c>
      <c r="AF13" s="96" t="str">
        <f t="shared" si="9"/>
        <v xml:space="preserve"> </v>
      </c>
    </row>
    <row r="14" spans="1:35" ht="24" customHeight="1">
      <c r="A14" s="159" t="s">
        <v>59</v>
      </c>
      <c r="B14" s="173"/>
      <c r="C14" s="150"/>
      <c r="D14" s="150"/>
      <c r="E14" s="150"/>
      <c r="F14" s="150"/>
      <c r="G14" s="174"/>
      <c r="H14" s="175"/>
      <c r="I14" s="26"/>
      <c r="J14" s="128">
        <v>1</v>
      </c>
      <c r="K14" s="151">
        <f t="shared" si="10"/>
        <v>0</v>
      </c>
      <c r="L14" s="151">
        <f t="shared" si="11"/>
        <v>0</v>
      </c>
      <c r="M14" s="166" t="str">
        <f t="array" ref="M14">IFERROR(INDEX(субъект,MATCH(SUM(COUNTIF(M$6:M13,субъект)),COUNTIF(субъект,"&lt;"&amp;субъект),0)),"")</f>
        <v/>
      </c>
      <c r="N14" s="166" t="str">
        <f t="array" ref="N14">IFERROR(INDEX(разряд,MATCH(SUM(COUNTIF(N$6:N13,разряд)),COUNTIF(разряд,"&lt;"&amp;разряд),0)),"")</f>
        <v/>
      </c>
      <c r="O14" s="167">
        <v>8</v>
      </c>
      <c r="P14" s="98" t="str">
        <f t="shared" si="1"/>
        <v/>
      </c>
      <c r="Q14" s="168">
        <f t="shared" si="2"/>
        <v>0</v>
      </c>
      <c r="R14" s="168">
        <f t="shared" si="3"/>
        <v>0</v>
      </c>
      <c r="S14" s="169">
        <f t="shared" si="4"/>
        <v>0</v>
      </c>
      <c r="T14" s="170">
        <f t="shared" si="5"/>
        <v>0</v>
      </c>
      <c r="U14" s="170">
        <f t="shared" si="6"/>
        <v>0</v>
      </c>
      <c r="V14" s="170">
        <f t="shared" si="7"/>
        <v>0</v>
      </c>
      <c r="W14" s="170">
        <f t="shared" si="8"/>
        <v>0</v>
      </c>
      <c r="X14" s="99"/>
      <c r="Y14" s="96" t="str">
        <f t="shared" si="12"/>
        <v/>
      </c>
      <c r="Z14" s="96" t="str">
        <f>IF(OR($Y14=$Y12,$Y14=$Y13,$Y14=$Y11,$Y14=$Y10,$Y14=$Y9,$Y14=$Y7)," ",IF(Q14=0," ",Q14))</f>
        <v xml:space="preserve"> </v>
      </c>
      <c r="AA14" s="96" t="str">
        <f>IF(OR($Y14=$Y12,$Y14=$Y13,$Y14=$Y11,$Y14=$Y10,$Y14=$Y9,$Y14=$Y7)," ",IF(R14=0," ",R14))</f>
        <v xml:space="preserve"> </v>
      </c>
      <c r="AB14" s="96" t="str">
        <f>IF(OR($Y14=$Y12,$Y14=$Y13,$Y14=$Y11,$Y14=$Y10,$Y14=$Y9,$Y14=$Y7)," ",IF(S14=0," ",S14))</f>
        <v xml:space="preserve"> </v>
      </c>
      <c r="AC14" s="96" t="str">
        <f>IF(OR($Y14=$Y12,$Y14=$Y13,$Y14=$Y11,$Y14=$Y10,$Y14=$Y9,$Y14=$Y7)," ",IF(T14=0," ",T14))</f>
        <v xml:space="preserve"> </v>
      </c>
      <c r="AD14" s="96" t="str">
        <f t="shared" si="9"/>
        <v xml:space="preserve"> </v>
      </c>
      <c r="AE14" s="96" t="str">
        <f t="shared" si="9"/>
        <v xml:space="preserve"> </v>
      </c>
      <c r="AF14" s="96" t="str">
        <f t="shared" si="9"/>
        <v xml:space="preserve"> </v>
      </c>
    </row>
    <row r="15" spans="1:35" ht="13.8">
      <c r="A15" s="3" t="s">
        <v>41</v>
      </c>
      <c r="D15" s="130"/>
      <c r="E15" s="130"/>
      <c r="F15" s="130"/>
      <c r="G15" s="130"/>
      <c r="H15" s="130"/>
      <c r="J15" s="200"/>
      <c r="K15" s="201"/>
      <c r="L15" s="202"/>
      <c r="M15" s="129"/>
      <c r="N15" s="129"/>
    </row>
    <row r="16" spans="1:35" ht="13.8">
      <c r="D16" s="130"/>
      <c r="E16" s="130"/>
      <c r="F16" s="130"/>
      <c r="G16" s="130"/>
      <c r="H16" s="130"/>
      <c r="J16" s="200"/>
      <c r="K16" s="201"/>
      <c r="L16" s="202"/>
      <c r="M16" s="129"/>
      <c r="N16" s="129"/>
    </row>
    <row r="17" spans="1:14" ht="13.8">
      <c r="A17" s="3" t="s">
        <v>42</v>
      </c>
      <c r="D17" s="130"/>
      <c r="E17" s="130"/>
      <c r="F17" s="130"/>
      <c r="G17" s="130"/>
      <c r="H17" s="130"/>
      <c r="J17" s="200"/>
      <c r="K17" s="201"/>
      <c r="L17" s="202"/>
      <c r="M17" s="129"/>
      <c r="N17" s="129"/>
    </row>
    <row r="18" spans="1:14" ht="13.8">
      <c r="D18" s="130"/>
      <c r="E18" s="130"/>
      <c r="F18" s="130"/>
      <c r="G18" s="130"/>
      <c r="H18" s="130"/>
      <c r="J18" s="200"/>
      <c r="K18" s="201"/>
      <c r="L18" s="202"/>
      <c r="M18" s="129"/>
      <c r="N18" s="129"/>
    </row>
    <row r="19" spans="1:14" ht="13.8">
      <c r="A19" s="3" t="s">
        <v>43</v>
      </c>
      <c r="D19" s="130"/>
      <c r="E19" s="130"/>
      <c r="F19" s="130"/>
      <c r="G19" s="130"/>
      <c r="H19" s="130"/>
      <c r="J19" s="200"/>
      <c r="K19" s="201"/>
      <c r="L19" s="202"/>
      <c r="M19" s="129"/>
      <c r="N19" s="129"/>
    </row>
    <row r="20" spans="1:14" ht="13.8">
      <c r="D20" s="130"/>
      <c r="E20" s="130"/>
      <c r="F20" s="130"/>
      <c r="G20" s="130"/>
      <c r="H20" s="130"/>
      <c r="J20" s="200"/>
      <c r="K20" s="201"/>
      <c r="L20" s="202"/>
      <c r="M20" s="129"/>
      <c r="N20" s="129"/>
    </row>
    <row r="21" spans="1:14" ht="13.8">
      <c r="A21" s="3" t="s">
        <v>44</v>
      </c>
      <c r="D21" s="130"/>
      <c r="E21" s="130"/>
      <c r="F21" s="130"/>
      <c r="G21" s="130"/>
      <c r="H21" s="130"/>
      <c r="J21" s="200"/>
      <c r="K21" s="201"/>
      <c r="L21" s="202"/>
      <c r="M21" s="129"/>
      <c r="N21" s="129"/>
    </row>
    <row r="22" spans="1:14" ht="13.8">
      <c r="A22" s="130"/>
      <c r="B22" s="130"/>
      <c r="C22" s="130"/>
      <c r="D22" s="130"/>
      <c r="E22" s="130"/>
      <c r="F22" s="130"/>
      <c r="G22" s="130"/>
      <c r="H22" s="130"/>
      <c r="J22" s="200"/>
      <c r="K22" s="201"/>
      <c r="L22" s="202"/>
      <c r="M22" s="129"/>
      <c r="N22" s="129"/>
    </row>
    <row r="73" spans="9:9">
      <c r="I73" s="130"/>
    </row>
    <row r="74" spans="9:9">
      <c r="I74" s="130"/>
    </row>
    <row r="75" spans="9:9">
      <c r="I75" s="130"/>
    </row>
    <row r="76" spans="9:9">
      <c r="I76" s="130"/>
    </row>
    <row r="77" spans="9:9">
      <c r="I77" s="130"/>
    </row>
    <row r="78" spans="9:9">
      <c r="I78" s="130"/>
    </row>
    <row r="79" spans="9:9">
      <c r="I79" s="130"/>
    </row>
    <row r="80" spans="9:9">
      <c r="I80" s="130"/>
    </row>
    <row r="81" spans="9:9">
      <c r="I81" s="130"/>
    </row>
    <row r="82" spans="9:9">
      <c r="I82" s="130"/>
    </row>
    <row r="83" spans="9:9">
      <c r="I83" s="130"/>
    </row>
    <row r="84" spans="9:9">
      <c r="I84" s="130"/>
    </row>
    <row r="85" spans="9:9">
      <c r="I85" s="130"/>
    </row>
    <row r="86" spans="9:9">
      <c r="I86" s="130"/>
    </row>
    <row r="87" spans="9:9">
      <c r="I87" s="130"/>
    </row>
    <row r="88" spans="9:9">
      <c r="I88" s="130"/>
    </row>
    <row r="89" spans="9:9">
      <c r="I89" s="130"/>
    </row>
    <row r="90" spans="9:9">
      <c r="I90" s="130"/>
    </row>
    <row r="91" spans="9:9">
      <c r="I91" s="130"/>
    </row>
    <row r="92" spans="9:9">
      <c r="I92" s="130"/>
    </row>
    <row r="93" spans="9:9">
      <c r="I93" s="130"/>
    </row>
    <row r="94" spans="9:9">
      <c r="I94" s="130"/>
    </row>
    <row r="95" spans="9:9">
      <c r="I95" s="130"/>
    </row>
    <row r="96" spans="9:9">
      <c r="I96" s="130"/>
    </row>
    <row r="97" spans="9:9">
      <c r="I97" s="130"/>
    </row>
    <row r="98" spans="9:9">
      <c r="I98" s="130"/>
    </row>
    <row r="99" spans="9:9">
      <c r="I99" s="130"/>
    </row>
    <row r="100" spans="9:9">
      <c r="I100" s="130"/>
    </row>
    <row r="101" spans="9:9">
      <c r="I101" s="130"/>
    </row>
    <row r="102" spans="9:9">
      <c r="I102" s="130"/>
    </row>
    <row r="103" spans="9:9">
      <c r="I103" s="130"/>
    </row>
    <row r="104" spans="9:9">
      <c r="I104" s="130"/>
    </row>
    <row r="105" spans="9:9">
      <c r="I105" s="130"/>
    </row>
    <row r="106" spans="9:9">
      <c r="I106" s="130"/>
    </row>
    <row r="107" spans="9:9">
      <c r="I107" s="130"/>
    </row>
    <row r="108" spans="9:9">
      <c r="I108" s="130"/>
    </row>
    <row r="109" spans="9:9">
      <c r="I109" s="130"/>
    </row>
    <row r="110" spans="9:9">
      <c r="I110" s="130"/>
    </row>
    <row r="111" spans="9:9">
      <c r="I111" s="130"/>
    </row>
    <row r="112" spans="9:9">
      <c r="I112" s="130"/>
    </row>
    <row r="113" spans="9:9">
      <c r="I113" s="130"/>
    </row>
    <row r="114" spans="9:9">
      <c r="I114" s="130"/>
    </row>
    <row r="115" spans="9:9">
      <c r="I115" s="130"/>
    </row>
    <row r="116" spans="9:9">
      <c r="I116" s="130"/>
    </row>
    <row r="117" spans="9:9">
      <c r="I117" s="130"/>
    </row>
    <row r="118" spans="9:9">
      <c r="I118" s="130"/>
    </row>
    <row r="119" spans="9:9">
      <c r="I119" s="130"/>
    </row>
    <row r="120" spans="9:9">
      <c r="I120" s="130"/>
    </row>
    <row r="121" spans="9:9">
      <c r="I121" s="130"/>
    </row>
    <row r="122" spans="9:9">
      <c r="I122" s="130"/>
    </row>
    <row r="123" spans="9:9">
      <c r="I123" s="130"/>
    </row>
    <row r="124" spans="9:9">
      <c r="I124" s="130"/>
    </row>
    <row r="125" spans="9:9">
      <c r="I125" s="130"/>
    </row>
    <row r="126" spans="9:9">
      <c r="I126" s="130"/>
    </row>
    <row r="127" spans="9:9">
      <c r="I127" s="130"/>
    </row>
    <row r="128" spans="9:9">
      <c r="I128" s="130"/>
    </row>
    <row r="129" spans="9:9">
      <c r="I129" s="130"/>
    </row>
    <row r="130" spans="9:9">
      <c r="I130" s="130"/>
    </row>
    <row r="131" spans="9:9">
      <c r="I131" s="130"/>
    </row>
    <row r="132" spans="9:9">
      <c r="I132" s="130"/>
    </row>
    <row r="133" spans="9:9">
      <c r="I133" s="130"/>
    </row>
    <row r="134" spans="9:9">
      <c r="I134" s="130"/>
    </row>
  </sheetData>
  <sheetProtection formatCells="0" formatColumns="0" formatRows="0" insertColumns="0" insertRows="0" insertHyperlinks="0" deleteColumns="0" deleteRows="0" sort="0" autoFilter="0" pivotTables="0"/>
  <sortState xmlns:xlrd2="http://schemas.microsoft.com/office/spreadsheetml/2017/richdata2" ref="B7:H12">
    <sortCondition ref="B7:B12"/>
  </sortState>
  <mergeCells count="25">
    <mergeCell ref="Y4:AE4"/>
    <mergeCell ref="Q5:S5"/>
    <mergeCell ref="AH7:AI8"/>
    <mergeCell ref="B2:G2"/>
    <mergeCell ref="A1:H1"/>
    <mergeCell ref="G5:G6"/>
    <mergeCell ref="H5:H6"/>
    <mergeCell ref="A3:H3"/>
    <mergeCell ref="E5:F6"/>
    <mergeCell ref="A5:A6"/>
    <mergeCell ref="B5:B6"/>
    <mergeCell ref="C5:C6"/>
    <mergeCell ref="D5:D6"/>
    <mergeCell ref="J21:J22"/>
    <mergeCell ref="K21:K22"/>
    <mergeCell ref="L21:L22"/>
    <mergeCell ref="L15:L16"/>
    <mergeCell ref="J17:J18"/>
    <mergeCell ref="K17:K18"/>
    <mergeCell ref="L17:L18"/>
    <mergeCell ref="J19:J20"/>
    <mergeCell ref="K19:K20"/>
    <mergeCell ref="L19:L20"/>
    <mergeCell ref="J15:J16"/>
    <mergeCell ref="K15:K16"/>
  </mergeCells>
  <phoneticPr fontId="0" type="noConversion"/>
  <printOptions horizontalCentered="1"/>
  <pageMargins left="0" right="0" top="0.19685039370078741" bottom="0.19685039370078741" header="0.51181102362204722" footer="0.51181102362204722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">
                <anchor moveWithCells="1">
                  <from>
                    <xdr:col>5</xdr:col>
                    <xdr:colOff>1066800</xdr:colOff>
                    <xdr:row>5</xdr:row>
                    <xdr:rowOff>0</xdr:rowOff>
                  </from>
                  <to>
                    <xdr:col>6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">
                <anchor moveWithCells="1">
                  <from>
                    <xdr:col>1</xdr:col>
                    <xdr:colOff>236220</xdr:colOff>
                    <xdr:row>3</xdr:row>
                    <xdr:rowOff>38100</xdr:rowOff>
                  </from>
                  <to>
                    <xdr:col>2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>
    <tabColor indexed="14"/>
  </sheetPr>
  <dimension ref="A1:AB37"/>
  <sheetViews>
    <sheetView tabSelected="1" workbookViewId="0">
      <selection sqref="A1:U33"/>
    </sheetView>
  </sheetViews>
  <sheetFormatPr defaultRowHeight="13.2"/>
  <cols>
    <col min="1" max="1" width="4.88671875" customWidth="1"/>
    <col min="2" max="2" width="17.5546875" customWidth="1"/>
    <col min="3" max="3" width="10.5546875" customWidth="1"/>
    <col min="4" max="4" width="9.5546875" customWidth="1"/>
    <col min="5" max="17" width="4.6640625" customWidth="1"/>
    <col min="18" max="18" width="17.5546875" customWidth="1"/>
    <col min="19" max="19" width="10.5546875" customWidth="1"/>
    <col min="20" max="20" width="9.5546875" customWidth="1"/>
    <col min="21" max="21" width="4.6640625" customWidth="1"/>
    <col min="23" max="23" width="9.109375" customWidth="1"/>
    <col min="24" max="24" width="0" hidden="1" customWidth="1"/>
    <col min="25" max="25" width="5.6640625" hidden="1" customWidth="1"/>
    <col min="26" max="26" width="2.6640625" hidden="1" customWidth="1"/>
    <col min="27" max="27" width="0" hidden="1" customWidth="1"/>
  </cols>
  <sheetData>
    <row r="1" spans="1:28" ht="24.75" customHeight="1">
      <c r="A1" s="247" t="s">
        <v>24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</row>
    <row r="2" spans="1:28" ht="26.25" customHeight="1" thickBot="1">
      <c r="A2" s="71"/>
      <c r="B2" s="71"/>
      <c r="C2" s="248" t="s">
        <v>23</v>
      </c>
      <c r="D2" s="248"/>
      <c r="E2" s="248"/>
      <c r="F2" s="248"/>
      <c r="G2" s="248"/>
      <c r="H2" s="248"/>
      <c r="I2" s="248"/>
      <c r="J2" s="248"/>
      <c r="K2" s="248"/>
      <c r="L2" s="248"/>
      <c r="M2" s="248"/>
      <c r="N2" s="248"/>
      <c r="O2" s="248"/>
      <c r="P2" s="248"/>
      <c r="Q2" s="248"/>
      <c r="R2" s="248"/>
      <c r="S2" s="71"/>
      <c r="T2" s="71"/>
      <c r="U2" s="71"/>
    </row>
    <row r="3" spans="1:28" ht="39" customHeight="1" thickBot="1">
      <c r="A3" s="71"/>
      <c r="B3" s="71"/>
      <c r="C3" s="262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263"/>
      <c r="Q3" s="263"/>
      <c r="R3" s="264"/>
      <c r="S3" s="71"/>
      <c r="T3" s="71"/>
      <c r="U3" s="71"/>
    </row>
    <row r="4" spans="1:28" ht="26.25" customHeight="1" thickBot="1">
      <c r="A4" s="28"/>
      <c r="B4" s="28"/>
      <c r="C4" s="265" t="str">
        <f>пр.взв!A3</f>
        <v>26-29.08.2022г.                                              г.Казань</v>
      </c>
      <c r="D4" s="265"/>
      <c r="E4" s="265"/>
      <c r="F4" s="265"/>
      <c r="G4" s="265"/>
      <c r="H4" s="265"/>
      <c r="I4" s="265"/>
      <c r="J4" s="265"/>
      <c r="K4" s="265"/>
      <c r="L4" s="265"/>
      <c r="M4" s="265"/>
      <c r="N4" s="265"/>
      <c r="O4" s="265"/>
      <c r="P4" s="265"/>
      <c r="Q4" s="265"/>
      <c r="R4" s="265"/>
      <c r="S4" s="71"/>
      <c r="T4" s="71"/>
      <c r="U4" s="71"/>
    </row>
    <row r="5" spans="1:28" ht="21" customHeight="1" thickBot="1">
      <c r="A5" s="71"/>
      <c r="B5" s="71"/>
      <c r="C5" s="71"/>
      <c r="D5" s="71"/>
      <c r="E5" s="71"/>
      <c r="F5" s="71"/>
      <c r="G5" s="71"/>
      <c r="H5" s="280" t="str">
        <f>HYPERLINK(пр.взв!D4)</f>
        <v>В.к.  58   кг.</v>
      </c>
      <c r="I5" s="281"/>
      <c r="J5" s="281"/>
      <c r="K5" s="281"/>
      <c r="L5" s="281"/>
      <c r="M5" s="281"/>
      <c r="N5" s="282"/>
      <c r="O5" s="272" t="str">
        <f>W5&amp;" "&amp;AB5</f>
        <v>6 участников</v>
      </c>
      <c r="P5" s="273"/>
      <c r="Q5" s="274"/>
      <c r="R5" s="53"/>
      <c r="S5" s="71"/>
      <c r="T5" s="71"/>
      <c r="U5" s="71"/>
      <c r="W5">
        <f>пр.взв!AH7</f>
        <v>6</v>
      </c>
      <c r="AB5" s="3" t="s">
        <v>83</v>
      </c>
    </row>
    <row r="6" spans="1:28" ht="15" customHeight="1">
      <c r="A6" s="71"/>
      <c r="B6" s="71"/>
      <c r="C6" s="71"/>
      <c r="D6" s="71"/>
      <c r="E6" s="71"/>
      <c r="F6" s="71"/>
      <c r="G6" s="71"/>
      <c r="H6" s="52"/>
      <c r="I6" s="53"/>
      <c r="J6" s="53"/>
      <c r="K6" s="53"/>
      <c r="L6" s="53"/>
      <c r="M6" s="53"/>
      <c r="N6" s="71"/>
      <c r="O6" s="71"/>
      <c r="P6" s="71"/>
      <c r="Q6" s="71"/>
      <c r="R6" s="71"/>
      <c r="S6" s="71"/>
      <c r="T6" s="71"/>
      <c r="U6" s="71"/>
    </row>
    <row r="7" spans="1:28" ht="18" customHeight="1" thickBot="1">
      <c r="A7" s="255" t="s">
        <v>0</v>
      </c>
      <c r="B7" s="255"/>
      <c r="C7" s="71"/>
      <c r="D7" s="71"/>
      <c r="E7" s="67"/>
      <c r="F7" s="67"/>
      <c r="G7" s="67"/>
      <c r="H7" s="67"/>
      <c r="I7" s="283" t="s">
        <v>18</v>
      </c>
      <c r="J7" s="283"/>
      <c r="K7" s="283"/>
      <c r="L7" s="283"/>
      <c r="M7" s="283"/>
      <c r="N7" s="67"/>
      <c r="O7" s="67"/>
      <c r="P7" s="67"/>
      <c r="Q7" s="54"/>
      <c r="R7" s="20"/>
      <c r="S7" s="73"/>
      <c r="T7" s="251" t="s">
        <v>1</v>
      </c>
      <c r="U7" s="251"/>
    </row>
    <row r="8" spans="1:28" ht="12.75" customHeight="1" thickBot="1">
      <c r="A8" s="223">
        <v>1</v>
      </c>
      <c r="B8" s="253" t="str">
        <f>IFERROR(VLOOKUP(пр.хода!A8,пр.взв!$B$7:$H$14,2,0),"")</f>
        <v xml:space="preserve">ХЕРТЕК Саян  Калдар-оолович </v>
      </c>
      <c r="C8" s="224" t="str">
        <f>IFERROR(VLOOKUP(A8,пр.взв!$B$7:$H$14,3,0),"")</f>
        <v>05.09.87, ЗМС</v>
      </c>
      <c r="D8" s="224" t="str">
        <f>IFERROR(VLOOKUP(A8,пр.взв!$B$7:$H$14,5,0),"")</f>
        <v>Москва, Москва, Д</v>
      </c>
      <c r="E8" s="67"/>
      <c r="F8" s="67"/>
      <c r="G8" s="67"/>
      <c r="H8" s="67"/>
      <c r="I8" s="67" t="s">
        <v>26</v>
      </c>
      <c r="J8" s="67"/>
      <c r="K8" s="67"/>
      <c r="L8" s="67"/>
      <c r="M8" s="67"/>
      <c r="N8" s="67"/>
      <c r="O8" s="67"/>
      <c r="P8" s="67"/>
      <c r="Q8" s="67"/>
      <c r="R8" s="253" t="str">
        <f>IFERROR(VLOOKUP(U8,пр.взв!$B$7:$H$14,2,0),"")</f>
        <v>АТКУНОВ Аймерген  Сергеевич</v>
      </c>
      <c r="S8" s="224" t="str">
        <f>IFERROR(VLOOKUP(U8,пр.взв!$B$7:$H$14,3,0),"")</f>
        <v>14.04.89. МСМК</v>
      </c>
      <c r="T8" s="224" t="str">
        <f>IFERROR(VLOOKUP(U8,пр.взв!$B$7:$H$14,5,0),"")</f>
        <v>Свердловская, Верхняя Пышма, Д</v>
      </c>
      <c r="U8" s="245">
        <v>2</v>
      </c>
    </row>
    <row r="9" spans="1:28" ht="12.75" customHeight="1">
      <c r="A9" s="220"/>
      <c r="B9" s="254"/>
      <c r="C9" s="252"/>
      <c r="D9" s="252"/>
      <c r="E9" s="55"/>
      <c r="F9" s="67"/>
      <c r="G9" s="67"/>
      <c r="H9" s="44"/>
      <c r="I9" s="256" t="str">
        <f>IFERROR(VLOOKUP(H9,пр.взв!$B$7:$H$14,2,0),"")</f>
        <v/>
      </c>
      <c r="J9" s="257"/>
      <c r="K9" s="257"/>
      <c r="L9" s="257"/>
      <c r="M9" s="258"/>
      <c r="N9" s="67"/>
      <c r="O9" s="67"/>
      <c r="P9" s="67"/>
      <c r="Q9" s="55"/>
      <c r="R9" s="254"/>
      <c r="S9" s="252"/>
      <c r="T9" s="252"/>
      <c r="U9" s="249"/>
    </row>
    <row r="10" spans="1:28" ht="12.75" customHeight="1" thickBot="1">
      <c r="A10" s="219">
        <v>5</v>
      </c>
      <c r="B10" s="221" t="str">
        <f>IFERROR(VLOOKUP(пр.хода!A10,пр.взв!$B$7:$H$14,2,0),"")</f>
        <v xml:space="preserve">ШАМСУТДИНОВ  Дамир Фаргатович </v>
      </c>
      <c r="C10" s="238" t="str">
        <f>IFERROR(VLOOKUP(A10,пр.взв!$B$7:$H$14,3,0),"")</f>
        <v>01.07.02, МС</v>
      </c>
      <c r="D10" s="238" t="str">
        <f>IFERROR(VLOOKUP(A10,пр.взв!$B$7:$H$14,5,0),"")</f>
        <v>Свердловская, Верхняя Пышма, МФКиС</v>
      </c>
      <c r="E10" s="60"/>
      <c r="F10" s="68"/>
      <c r="G10" s="69"/>
      <c r="H10" s="67"/>
      <c r="I10" s="259"/>
      <c r="J10" s="260"/>
      <c r="K10" s="260"/>
      <c r="L10" s="260"/>
      <c r="M10" s="261"/>
      <c r="N10" s="67"/>
      <c r="O10" s="70"/>
      <c r="P10" s="68"/>
      <c r="Q10" s="60"/>
      <c r="R10" s="221" t="str">
        <f>IFERROR(VLOOKUP(U10,пр.взв!$B$7:$H$14,2,0),"")</f>
        <v xml:space="preserve">КУЮКОВ Элбек Владимирович </v>
      </c>
      <c r="S10" s="238" t="str">
        <f>IFERROR(VLOOKUP(U10,пр.взв!$B$7:$H$14,3,0),"")</f>
        <v>13.05.95, МС</v>
      </c>
      <c r="T10" s="238" t="str">
        <f>IFERROR(VLOOKUP(U10,пр.взв!$B$7:$H$14,5,0),"")</f>
        <v>Новосибирская, Новосибирск , МС</v>
      </c>
      <c r="U10" s="245">
        <v>6</v>
      </c>
    </row>
    <row r="11" spans="1:28" ht="12.75" customHeight="1" thickBot="1">
      <c r="A11" s="220"/>
      <c r="B11" s="222"/>
      <c r="C11" s="239"/>
      <c r="D11" s="239"/>
      <c r="E11" s="67"/>
      <c r="F11" s="67"/>
      <c r="G11" s="55"/>
      <c r="H11" s="71"/>
      <c r="I11" s="67"/>
      <c r="J11" s="67"/>
      <c r="K11" s="61"/>
      <c r="L11" s="67"/>
      <c r="M11" s="67"/>
      <c r="N11" s="67"/>
      <c r="O11" s="55"/>
      <c r="P11" s="67"/>
      <c r="Q11" s="67"/>
      <c r="R11" s="222"/>
      <c r="S11" s="239"/>
      <c r="T11" s="239"/>
      <c r="U11" s="249"/>
    </row>
    <row r="12" spans="1:28" ht="12.75" customHeight="1" thickBot="1">
      <c r="A12" s="223">
        <v>3</v>
      </c>
      <c r="B12" s="240" t="str">
        <f>IFERROR(VLOOKUP(пр.хода!A12,пр.взв!$B$7:$H$14,2,0),"")</f>
        <v xml:space="preserve">ТЛИШЕВ  Харун  Аминович </v>
      </c>
      <c r="C12" s="236" t="str">
        <f>IFERROR(VLOOKUP(A12,пр.взв!$B$7:$H$14,3,0),"")</f>
        <v>15.11,99, МСМК</v>
      </c>
      <c r="D12" s="236" t="str">
        <f>IFERROR(VLOOKUP(A12,пр.взв!$B$7:$H$14,5,0),"")</f>
        <v>Краснодарский, Армавир , ВС</v>
      </c>
      <c r="E12" s="67"/>
      <c r="F12" s="67"/>
      <c r="G12" s="60"/>
      <c r="H12" s="71"/>
      <c r="I12" s="67"/>
      <c r="J12" s="67"/>
      <c r="K12" s="67"/>
      <c r="L12" s="67"/>
      <c r="M12" s="67"/>
      <c r="N12" s="67"/>
      <c r="O12" s="60"/>
      <c r="P12" s="67"/>
      <c r="Q12" s="67"/>
      <c r="R12" s="240" t="str">
        <f>IFERROR(VLOOKUP(U12,пр.взв!$B$7:$H$14,2,0),"")</f>
        <v>КОЗЛОВ Роман Витальевич</v>
      </c>
      <c r="S12" s="236" t="str">
        <f>IFERROR(VLOOKUP(U12,пр.взв!$B$7:$H$14,3,0),"")</f>
        <v>04.05.90, МСМК</v>
      </c>
      <c r="T12" s="236" t="str">
        <f>IFERROR(VLOOKUP(U12,пр.взв!$B$7:$H$14,5,0),"")</f>
        <v>Рязанская, Рязань, Д</v>
      </c>
      <c r="U12" s="250">
        <v>4</v>
      </c>
    </row>
    <row r="13" spans="1:28" ht="12.75" customHeight="1" thickBot="1">
      <c r="A13" s="220"/>
      <c r="B13" s="241"/>
      <c r="C13" s="237"/>
      <c r="D13" s="237"/>
      <c r="E13" s="55">
        <v>3</v>
      </c>
      <c r="F13" s="72"/>
      <c r="G13" s="69"/>
      <c r="H13" s="67"/>
      <c r="I13" s="67" t="s">
        <v>27</v>
      </c>
      <c r="J13" s="67"/>
      <c r="K13" s="67"/>
      <c r="L13" s="67"/>
      <c r="M13" s="67"/>
      <c r="N13" s="67"/>
      <c r="O13" s="70"/>
      <c r="P13" s="72"/>
      <c r="Q13" s="55">
        <v>4</v>
      </c>
      <c r="R13" s="241"/>
      <c r="S13" s="237"/>
      <c r="T13" s="237"/>
      <c r="U13" s="249"/>
    </row>
    <row r="14" spans="1:28" ht="12.75" customHeight="1" thickBot="1">
      <c r="A14" s="219">
        <v>7</v>
      </c>
      <c r="B14" s="221" t="str">
        <f>IFERROR(VLOOKUP(пр.хода!A14,пр.взв!$B$7:$H$14,2,0),"")</f>
        <v/>
      </c>
      <c r="C14" s="238" t="str">
        <f>IFERROR(VLOOKUP(A14,пр.взв!$B$7:$H$14,3,0),"")</f>
        <v/>
      </c>
      <c r="D14" s="238" t="str">
        <f>IFERROR(VLOOKUP(A14,пр.взв!$B$7:$H$14,5,0),"")</f>
        <v/>
      </c>
      <c r="E14" s="60"/>
      <c r="F14" s="67"/>
      <c r="G14" s="67"/>
      <c r="H14" s="44" t="str">
        <f>Y25</f>
        <v/>
      </c>
      <c r="I14" s="266" t="str">
        <f>IFERROR(VLOOKUP(H14,пр.взв!$B$7:$H$14,2,0),"")</f>
        <v/>
      </c>
      <c r="J14" s="267"/>
      <c r="K14" s="267"/>
      <c r="L14" s="267"/>
      <c r="M14" s="268"/>
      <c r="N14" s="67"/>
      <c r="O14" s="67"/>
      <c r="P14" s="67"/>
      <c r="Q14" s="60"/>
      <c r="R14" s="221" t="str">
        <f>IFERROR(VLOOKUP(U14,пр.взв!$B$7:$H$14,2,0),"")</f>
        <v/>
      </c>
      <c r="S14" s="238" t="str">
        <f>IFERROR(VLOOKUP(U14,пр.взв!$B$7:$H$14,3,0),"")</f>
        <v/>
      </c>
      <c r="T14" s="238" t="str">
        <f>IFERROR(VLOOKUP(U14,пр.взв!$B$7:$H$14,5,0),"")</f>
        <v/>
      </c>
      <c r="U14" s="245">
        <v>8</v>
      </c>
    </row>
    <row r="15" spans="1:28" ht="12.75" customHeight="1" thickBot="1">
      <c r="A15" s="243"/>
      <c r="B15" s="222"/>
      <c r="C15" s="239"/>
      <c r="D15" s="239"/>
      <c r="E15" s="67"/>
      <c r="F15" s="67"/>
      <c r="G15" s="67"/>
      <c r="H15" s="67"/>
      <c r="I15" s="269"/>
      <c r="J15" s="270"/>
      <c r="K15" s="270"/>
      <c r="L15" s="270"/>
      <c r="M15" s="271"/>
      <c r="N15" s="67"/>
      <c r="O15" s="67"/>
      <c r="P15" s="67"/>
      <c r="Q15" s="67"/>
      <c r="R15" s="222"/>
      <c r="S15" s="239"/>
      <c r="T15" s="239"/>
      <c r="U15" s="246"/>
    </row>
    <row r="16" spans="1:28" ht="12.75" customHeight="1">
      <c r="A16" s="71"/>
      <c r="B16" s="71"/>
      <c r="C16" s="71"/>
      <c r="D16" s="71"/>
      <c r="E16" s="67"/>
      <c r="F16" s="67"/>
      <c r="G16" s="67"/>
      <c r="H16" s="67"/>
      <c r="I16" s="67"/>
      <c r="J16" s="67"/>
      <c r="K16" s="67"/>
      <c r="L16" s="67"/>
      <c r="M16" s="67"/>
      <c r="N16" s="67"/>
      <c r="O16" s="67"/>
      <c r="P16" s="67"/>
      <c r="Q16" s="67"/>
      <c r="R16" s="73"/>
      <c r="S16" s="73"/>
      <c r="T16" s="73"/>
      <c r="U16" s="132"/>
    </row>
    <row r="17" spans="1:27" ht="12" customHeight="1">
      <c r="A17" s="242" t="s">
        <v>2</v>
      </c>
      <c r="B17" s="71"/>
      <c r="C17" s="71"/>
      <c r="D17" s="71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244" t="s">
        <v>3</v>
      </c>
    </row>
    <row r="18" spans="1:27" ht="12.75" customHeight="1">
      <c r="A18" s="242"/>
      <c r="B18" s="71"/>
      <c r="C18" s="71"/>
      <c r="D18" s="71"/>
      <c r="E18" s="71"/>
      <c r="F18" s="71"/>
      <c r="G18" s="279" t="s">
        <v>25</v>
      </c>
      <c r="H18" s="279"/>
      <c r="I18" s="279"/>
      <c r="J18" s="279"/>
      <c r="K18" s="279"/>
      <c r="L18" s="279"/>
      <c r="M18" s="279"/>
      <c r="N18" s="279"/>
      <c r="O18" s="279"/>
      <c r="P18" s="71"/>
      <c r="Q18" s="71"/>
      <c r="R18" s="73"/>
      <c r="S18" s="73"/>
      <c r="T18" s="73"/>
      <c r="U18" s="244"/>
      <c r="Y18" t="s">
        <v>63</v>
      </c>
      <c r="Z18" t="s">
        <v>64</v>
      </c>
    </row>
    <row r="19" spans="1:27" ht="12.75" customHeight="1">
      <c r="A19" s="71"/>
      <c r="B19" s="71"/>
      <c r="C19" s="71"/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3"/>
      <c r="S19" s="71"/>
      <c r="T19" s="73"/>
      <c r="U19" s="71"/>
      <c r="V19" s="71"/>
      <c r="X19" s="92"/>
      <c r="Y19" s="93" t="str">
        <f>IF(G11="","",IF(G11=E9,E13,E9))</f>
        <v/>
      </c>
      <c r="Z19" s="94"/>
      <c r="AA19" s="92"/>
    </row>
    <row r="20" spans="1:27" ht="12.75" customHeight="1" thickBot="1">
      <c r="A20" s="71"/>
      <c r="B20" s="71"/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3"/>
      <c r="S20" s="71"/>
      <c r="T20" s="71"/>
      <c r="U20" s="71"/>
      <c r="V20" s="71"/>
      <c r="X20" s="92"/>
      <c r="Y20" s="93" t="str">
        <f>IF(O11="","",IF(O11=Q9,Q13,Q9))</f>
        <v/>
      </c>
      <c r="Z20" s="94"/>
      <c r="AA20" s="92"/>
    </row>
    <row r="21" spans="1:27" ht="12.75" customHeight="1">
      <c r="A21" s="6" t="str">
        <f>Y21</f>
        <v xml:space="preserve"> </v>
      </c>
      <c r="B21" s="236" t="str">
        <f>IFERROR(VLOOKUP(A21,пр.взв!$B$7:$H$14,2,0),"")</f>
        <v/>
      </c>
      <c r="C21" s="71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3"/>
      <c r="S21" s="232" t="str">
        <f>IFERROR(VLOOKUP(U21,пр.взв!$B$7:$H$14,2,0),"")</f>
        <v/>
      </c>
      <c r="T21" s="233"/>
      <c r="U21" s="57" t="str">
        <f>Y22</f>
        <v xml:space="preserve"> </v>
      </c>
      <c r="V21" s="71"/>
      <c r="X21" s="92"/>
      <c r="Y21" s="93" t="str">
        <f>IF(A10=""," ",IF(E9=""," ",IF(E9=A8,A10,IF(E9=A10,A8,"Х"))))</f>
        <v xml:space="preserve"> </v>
      </c>
      <c r="Z21" s="94" t="str">
        <f>IF(C22=""," ",IF(C22=E25,B27,C22))</f>
        <v xml:space="preserve"> </v>
      </c>
      <c r="AA21" s="92"/>
    </row>
    <row r="22" spans="1:27" ht="12.75" customHeight="1">
      <c r="A22" s="6"/>
      <c r="B22" s="237"/>
      <c r="C22" s="133"/>
      <c r="D22" s="134"/>
      <c r="E22" s="71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135"/>
      <c r="S22" s="275"/>
      <c r="T22" s="276"/>
      <c r="U22" s="57"/>
      <c r="V22" s="71"/>
      <c r="X22" s="92"/>
      <c r="Y22" s="93" t="str">
        <f>IF(U10=""," ",IF(Q9=""," ",IF(Q9=U8,U10,IF(Q9=U10,U8,"Х"))))</f>
        <v xml:space="preserve"> </v>
      </c>
      <c r="Z22" s="94" t="str">
        <f>IF(R22=""," ",IF(R22=Q25,S27,R22))</f>
        <v xml:space="preserve"> </v>
      </c>
      <c r="AA22" s="92"/>
    </row>
    <row r="23" spans="1:27" ht="12.75" customHeight="1">
      <c r="A23" s="6">
        <f>Y23</f>
        <v>7</v>
      </c>
      <c r="B23" s="238" t="str">
        <f>IFERROR(VLOOKUP(A23,пр.взв!$B$7:$H$14,2,0),"")</f>
        <v/>
      </c>
      <c r="C23" s="136"/>
      <c r="D23" s="137"/>
      <c r="E23" s="71"/>
      <c r="F23" s="71"/>
      <c r="G23" s="71" t="s">
        <v>39</v>
      </c>
      <c r="H23" s="71"/>
      <c r="I23" s="71"/>
      <c r="J23" s="71"/>
      <c r="K23" s="71"/>
      <c r="L23" s="71"/>
      <c r="M23" s="71"/>
      <c r="N23" s="71" t="s">
        <v>39</v>
      </c>
      <c r="O23" s="71"/>
      <c r="P23" s="71"/>
      <c r="Q23" s="71"/>
      <c r="R23" s="138"/>
      <c r="S23" s="277" t="str">
        <f>IFERROR(VLOOKUP(U23,пр.взв!$B$7:$H$14,2,0),"")</f>
        <v/>
      </c>
      <c r="T23" s="278"/>
      <c r="U23" s="57">
        <f>Y24</f>
        <v>8</v>
      </c>
      <c r="V23" s="71"/>
      <c r="X23" s="92"/>
      <c r="Y23" s="93">
        <f>IF(A14=""," ",IF(E13=""," ",IF(E13=A12,A14,IF(E13=A14,A12,"Х"))))</f>
        <v>7</v>
      </c>
      <c r="Z23" s="94">
        <f>IF(A23="","",IF(A23=C22,A21,A23))</f>
        <v>7</v>
      </c>
      <c r="AA23" s="92"/>
    </row>
    <row r="24" spans="1:27" ht="13.8" thickBot="1">
      <c r="A24" s="71"/>
      <c r="B24" s="239"/>
      <c r="C24" s="71"/>
      <c r="D24" s="137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139"/>
      <c r="S24" s="234"/>
      <c r="T24" s="235"/>
      <c r="U24" s="57"/>
      <c r="V24" s="71"/>
      <c r="X24" s="92"/>
      <c r="Y24" s="93">
        <f>IF(U14=""," ",IF(Q13=""," ",IF(Q13=U12,U14,IF(Q13=U14,U12,"Х"))))</f>
        <v>8</v>
      </c>
      <c r="Z24" s="94">
        <f>IF(U23="","",IF(U23=R22,U21,U23))</f>
        <v>8</v>
      </c>
      <c r="AA24" s="92"/>
    </row>
    <row r="25" spans="1:27">
      <c r="A25" s="71"/>
      <c r="B25" s="71"/>
      <c r="C25" s="71"/>
      <c r="D25" s="137"/>
      <c r="E25" s="140"/>
      <c r="F25" s="227" t="str">
        <f>IFERROR(VLOOKUP(E25,пр.взв!$B$7:$H$14,2,0),"")</f>
        <v/>
      </c>
      <c r="G25" s="227"/>
      <c r="H25" s="227"/>
      <c r="I25" s="228"/>
      <c r="J25" s="71"/>
      <c r="K25" s="71"/>
      <c r="L25" s="71"/>
      <c r="M25" s="226" t="str">
        <f>IFERROR(VLOOKUP(Q25,пр.взв!$B$7:$H$14,2,0),"")</f>
        <v/>
      </c>
      <c r="N25" s="227"/>
      <c r="O25" s="227"/>
      <c r="P25" s="228"/>
      <c r="Q25" s="141"/>
      <c r="R25" s="139"/>
      <c r="S25" s="71"/>
      <c r="T25" s="71"/>
      <c r="U25" s="71"/>
      <c r="V25" s="71"/>
      <c r="X25" s="92"/>
      <c r="Y25" s="92" t="str">
        <f>IF(H9="","",IF(H9=G11,O11,G11))</f>
        <v/>
      </c>
      <c r="Z25" s="92"/>
      <c r="AA25" s="92"/>
    </row>
    <row r="26" spans="1:27" ht="14.4" thickBot="1">
      <c r="A26" s="73"/>
      <c r="B26" s="71"/>
      <c r="C26" s="71"/>
      <c r="D26" s="137"/>
      <c r="E26" s="142"/>
      <c r="F26" s="229"/>
      <c r="G26" s="230"/>
      <c r="H26" s="230"/>
      <c r="I26" s="231"/>
      <c r="J26" s="6"/>
      <c r="K26" s="6"/>
      <c r="L26" s="6"/>
      <c r="M26" s="229"/>
      <c r="N26" s="230"/>
      <c r="O26" s="230"/>
      <c r="P26" s="231"/>
      <c r="Q26" s="143"/>
      <c r="R26" s="71"/>
      <c r="S26" s="71"/>
      <c r="T26" s="71"/>
      <c r="U26" s="71"/>
      <c r="V26" s="71"/>
      <c r="X26" s="92"/>
      <c r="Y26" s="92"/>
      <c r="Z26" s="92"/>
      <c r="AA26" s="92"/>
    </row>
    <row r="27" spans="1:27" ht="13.8">
      <c r="A27" s="22"/>
      <c r="B27" s="6" t="str">
        <f>Y20</f>
        <v/>
      </c>
      <c r="C27" s="232" t="str">
        <f>IFERROR(VLOOKUP(B27,пр.взв!$B$7:$H$14,2,0),"")</f>
        <v/>
      </c>
      <c r="D27" s="233"/>
      <c r="E27" s="71"/>
      <c r="F27" s="21"/>
      <c r="G27" s="21"/>
      <c r="H27" s="21"/>
      <c r="I27" s="21"/>
      <c r="J27" s="6"/>
      <c r="K27" s="6"/>
      <c r="L27" s="6"/>
      <c r="M27" s="21"/>
      <c r="N27" s="21"/>
      <c r="O27" s="21"/>
      <c r="P27" s="21"/>
      <c r="Q27" s="71"/>
      <c r="R27" s="224" t="str">
        <f>IFERROR(VLOOKUP(S27,пр.взв!$B$7:$H$14,2,0),"")</f>
        <v/>
      </c>
      <c r="S27" s="57" t="str">
        <f>Y19</f>
        <v/>
      </c>
      <c r="T27" s="71"/>
      <c r="U27" s="71"/>
      <c r="V27" s="71"/>
      <c r="X27" s="92"/>
      <c r="Y27" s="92"/>
      <c r="Z27" s="92"/>
      <c r="AA27" s="92"/>
    </row>
    <row r="28" spans="1:27" ht="13.8" thickBot="1">
      <c r="A28" s="71"/>
      <c r="B28" s="71"/>
      <c r="C28" s="234"/>
      <c r="D28" s="235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225"/>
      <c r="S28" s="71"/>
      <c r="T28" s="71"/>
      <c r="U28" s="71"/>
      <c r="V28" s="71"/>
      <c r="X28" s="92"/>
      <c r="Y28" s="92"/>
      <c r="Z28" s="92"/>
      <c r="AA28" s="92"/>
    </row>
    <row r="29" spans="1:27">
      <c r="A29" s="71"/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X29" s="92"/>
      <c r="Y29" s="92"/>
      <c r="Z29" s="92"/>
      <c r="AA29" s="92"/>
    </row>
    <row r="30" spans="1:27" ht="3.75" customHeight="1">
      <c r="A30" s="71"/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X30" s="92"/>
      <c r="Y30" s="92"/>
      <c r="Z30" s="92"/>
      <c r="AA30" s="92"/>
    </row>
    <row r="31" spans="1:27" ht="15.6">
      <c r="A31" s="71"/>
      <c r="B31" s="149" t="s">
        <v>85</v>
      </c>
      <c r="C31" s="144"/>
      <c r="D31" s="144"/>
      <c r="E31" s="71"/>
      <c r="F31" s="71"/>
      <c r="G31" s="71"/>
      <c r="H31" s="134"/>
      <c r="I31" s="134"/>
      <c r="J31" s="134"/>
      <c r="K31" s="134"/>
      <c r="L31" s="33"/>
      <c r="M31" s="71"/>
      <c r="N31" s="199" t="str">
        <f>[1]реквизиты!$G$6</f>
        <v>А.Д.Валиуллов</v>
      </c>
      <c r="O31" s="71"/>
      <c r="P31" s="71"/>
      <c r="Q31" s="71"/>
      <c r="R31" s="148" t="str">
        <f>[1]реквизиты!$G$7</f>
        <v>/Татарстан/</v>
      </c>
      <c r="S31" s="71"/>
      <c r="T31" s="71"/>
      <c r="U31" s="71"/>
      <c r="X31" s="92"/>
      <c r="Y31" s="92"/>
      <c r="Z31" s="92"/>
      <c r="AA31" s="92"/>
    </row>
    <row r="32" spans="1:27" ht="18" customHeight="1">
      <c r="A32" s="71"/>
      <c r="B32" s="144"/>
      <c r="C32" s="144"/>
      <c r="D32" s="144"/>
      <c r="E32" s="71"/>
      <c r="F32" s="71"/>
      <c r="G32" s="71"/>
      <c r="H32" s="71"/>
      <c r="I32" s="71"/>
      <c r="J32" s="71"/>
      <c r="K32" s="71"/>
      <c r="L32" s="145"/>
      <c r="M32" s="71"/>
      <c r="N32" s="71"/>
      <c r="O32" s="71"/>
      <c r="P32" s="71"/>
      <c r="Q32" s="71"/>
      <c r="R32" s="71"/>
      <c r="S32" s="71"/>
      <c r="T32" s="71"/>
      <c r="U32" s="71"/>
      <c r="X32" s="92"/>
      <c r="Y32" s="92"/>
      <c r="Z32" s="92"/>
      <c r="AA32" s="92"/>
    </row>
    <row r="33" spans="1:27" ht="15.6">
      <c r="A33" s="71"/>
      <c r="B33" s="149" t="str">
        <f>[1]реквизиты!$A$8</f>
        <v>Гл. секретарь, судья ВК</v>
      </c>
      <c r="C33" s="144"/>
      <c r="D33" s="144"/>
      <c r="E33" s="71"/>
      <c r="F33" s="71"/>
      <c r="G33" s="71"/>
      <c r="H33" s="134"/>
      <c r="I33" s="134"/>
      <c r="J33" s="134"/>
      <c r="K33" s="134"/>
      <c r="L33" s="147"/>
      <c r="M33" s="146"/>
      <c r="N33" s="199" t="str">
        <f>[1]реквизиты!$G$8</f>
        <v>В.И.Рожков</v>
      </c>
      <c r="O33" s="71"/>
      <c r="P33" s="71"/>
      <c r="Q33" s="71"/>
      <c r="R33" s="148" t="str">
        <f>[1]реквизиты!$G$9</f>
        <v>/Саратовская/</v>
      </c>
      <c r="S33" s="71"/>
      <c r="T33" s="71"/>
      <c r="U33" s="71"/>
      <c r="X33" s="92"/>
      <c r="Y33" s="92"/>
      <c r="Z33" s="92"/>
      <c r="AA33" s="92"/>
    </row>
    <row r="34" spans="1:27" ht="15">
      <c r="B34" s="40"/>
      <c r="C34" s="40"/>
      <c r="D34" s="40"/>
      <c r="E34" s="3"/>
      <c r="F34" s="3"/>
      <c r="L34" s="9"/>
      <c r="M34" s="5"/>
      <c r="O34" s="3"/>
      <c r="X34" s="95"/>
      <c r="Y34" s="95"/>
      <c r="Z34" s="95"/>
      <c r="AA34" s="95"/>
    </row>
    <row r="35" spans="1:27">
      <c r="B35" s="9"/>
      <c r="L35" s="12"/>
      <c r="M35" s="5"/>
      <c r="X35" s="95"/>
      <c r="Y35" s="95"/>
      <c r="Z35" s="95"/>
      <c r="AA35" s="95"/>
    </row>
    <row r="36" spans="1:27">
      <c r="L36" s="5"/>
      <c r="M36" s="5"/>
    </row>
    <row r="37" spans="1:27">
      <c r="L37" s="5"/>
      <c r="M37" s="5"/>
    </row>
  </sheetData>
  <sheetProtection formatCells="0" formatColumns="0" formatRows="0" insertColumns="0" insertRows="0" insertHyperlinks="0" deleteColumns="0" deleteRows="0" sort="0" autoFilter="0" pivotTables="0"/>
  <protectedRanges>
    <protectedRange sqref="A33:W35 A1:W32" name="Диапазон2"/>
    <protectedRange sqref="A21:A24" name="Диапазон1"/>
  </protectedRanges>
  <mergeCells count="54">
    <mergeCell ref="S21:T22"/>
    <mergeCell ref="S23:T24"/>
    <mergeCell ref="G18:O18"/>
    <mergeCell ref="H5:N5"/>
    <mergeCell ref="I7:M7"/>
    <mergeCell ref="S10:S11"/>
    <mergeCell ref="T10:T11"/>
    <mergeCell ref="C3:R3"/>
    <mergeCell ref="C4:R4"/>
    <mergeCell ref="R12:R13"/>
    <mergeCell ref="R14:R15"/>
    <mergeCell ref="C10:C11"/>
    <mergeCell ref="I14:M15"/>
    <mergeCell ref="R10:R11"/>
    <mergeCell ref="C12:C13"/>
    <mergeCell ref="O5:Q5"/>
    <mergeCell ref="A1:U1"/>
    <mergeCell ref="C2:R2"/>
    <mergeCell ref="U10:U11"/>
    <mergeCell ref="U12:U13"/>
    <mergeCell ref="T7:U7"/>
    <mergeCell ref="S8:S9"/>
    <mergeCell ref="D8:D9"/>
    <mergeCell ref="D10:D11"/>
    <mergeCell ref="R8:R9"/>
    <mergeCell ref="T8:T9"/>
    <mergeCell ref="U8:U9"/>
    <mergeCell ref="A7:B7"/>
    <mergeCell ref="B8:B9"/>
    <mergeCell ref="C8:C9"/>
    <mergeCell ref="A8:A9"/>
    <mergeCell ref="I9:M10"/>
    <mergeCell ref="U17:U18"/>
    <mergeCell ref="S12:S13"/>
    <mergeCell ref="T12:T13"/>
    <mergeCell ref="S14:S15"/>
    <mergeCell ref="T14:T15"/>
    <mergeCell ref="U14:U15"/>
    <mergeCell ref="A10:A11"/>
    <mergeCell ref="B10:B11"/>
    <mergeCell ref="A12:A13"/>
    <mergeCell ref="R27:R28"/>
    <mergeCell ref="M25:P26"/>
    <mergeCell ref="C27:D28"/>
    <mergeCell ref="F25:I26"/>
    <mergeCell ref="B21:B22"/>
    <mergeCell ref="B23:B24"/>
    <mergeCell ref="B14:B15"/>
    <mergeCell ref="C14:C15"/>
    <mergeCell ref="B12:B13"/>
    <mergeCell ref="A17:A18"/>
    <mergeCell ref="D12:D13"/>
    <mergeCell ref="D14:D15"/>
    <mergeCell ref="A14:A15"/>
  </mergeCells>
  <phoneticPr fontId="0" type="noConversion"/>
  <printOptions horizontalCentered="1"/>
  <pageMargins left="0" right="0" top="0.59055118110236227" bottom="0.59055118110236227" header="0.51181102362204722" footer="0.51181102362204722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>
    <tabColor indexed="46"/>
  </sheetPr>
  <dimension ref="A1:T30"/>
  <sheetViews>
    <sheetView workbookViewId="0">
      <selection activeCell="D27" sqref="D27:D28"/>
    </sheetView>
  </sheetViews>
  <sheetFormatPr defaultRowHeight="13.2"/>
  <cols>
    <col min="1" max="1" width="4" customWidth="1"/>
    <col min="2" max="2" width="4.5546875" customWidth="1"/>
    <col min="3" max="3" width="20.88671875" customWidth="1"/>
    <col min="5" max="5" width="7.5546875" customWidth="1"/>
    <col min="6" max="6" width="12.44140625" customWidth="1"/>
    <col min="7" max="7" width="26.33203125" customWidth="1"/>
    <col min="8" max="8" width="4.6640625" customWidth="1"/>
    <col min="9" max="9" width="4.88671875" customWidth="1"/>
    <col min="10" max="10" width="6.5546875" customWidth="1"/>
    <col min="11" max="12" width="4.109375" customWidth="1"/>
    <col min="13" max="13" width="22" customWidth="1"/>
    <col min="15" max="15" width="7.109375" customWidth="1"/>
    <col min="16" max="16" width="11.5546875" customWidth="1"/>
    <col min="17" max="17" width="25.88671875" customWidth="1"/>
    <col min="18" max="19" width="4.88671875" customWidth="1"/>
    <col min="20" max="20" width="7.44140625" customWidth="1"/>
  </cols>
  <sheetData>
    <row r="1" spans="1:20" ht="15.75" customHeight="1">
      <c r="B1" s="337" t="s">
        <v>32</v>
      </c>
      <c r="C1" s="337"/>
      <c r="D1" s="337"/>
      <c r="E1" s="337"/>
      <c r="F1" s="337"/>
      <c r="G1" s="337"/>
      <c r="H1" s="337"/>
      <c r="I1" s="337"/>
      <c r="J1" s="337"/>
      <c r="L1" s="337" t="s">
        <v>32</v>
      </c>
      <c r="M1" s="337"/>
      <c r="N1" s="337"/>
      <c r="O1" s="337"/>
      <c r="P1" s="337"/>
      <c r="Q1" s="337"/>
      <c r="R1" s="337"/>
      <c r="S1" s="337"/>
      <c r="T1" s="337"/>
    </row>
    <row r="2" spans="1:20" ht="15.75" customHeight="1">
      <c r="B2" s="197">
        <v>0</v>
      </c>
      <c r="C2" s="198" t="s">
        <v>84</v>
      </c>
      <c r="D2" s="198"/>
      <c r="E2" s="302" t="str">
        <f>пр.взв!D4</f>
        <v>В.к.  58   кг.</v>
      </c>
      <c r="F2" s="302"/>
      <c r="G2" s="198"/>
      <c r="H2" s="198"/>
      <c r="I2" s="198"/>
      <c r="J2" s="198"/>
      <c r="L2" s="197">
        <f>B2</f>
        <v>0</v>
      </c>
      <c r="M2" s="198" t="s">
        <v>84</v>
      </c>
      <c r="N2" s="198"/>
      <c r="O2" s="302" t="str">
        <f>E2</f>
        <v>В.к.  58   кг.</v>
      </c>
      <c r="P2" s="302"/>
      <c r="Q2" s="198"/>
      <c r="R2" s="198"/>
      <c r="S2" s="198"/>
      <c r="T2" s="198"/>
    </row>
    <row r="3" spans="1:20" ht="16.2" thickBot="1">
      <c r="B3" s="45" t="s">
        <v>28</v>
      </c>
      <c r="C3" s="47" t="s">
        <v>33</v>
      </c>
      <c r="D3" s="46" t="s">
        <v>31</v>
      </c>
      <c r="E3" s="46"/>
      <c r="F3" s="47"/>
      <c r="G3" s="45"/>
      <c r="H3" s="47"/>
      <c r="I3" s="47"/>
      <c r="J3" s="47"/>
      <c r="L3" s="45" t="s">
        <v>1</v>
      </c>
      <c r="M3" s="47" t="s">
        <v>33</v>
      </c>
      <c r="N3" s="46" t="s">
        <v>31</v>
      </c>
      <c r="O3" s="46"/>
      <c r="P3" s="47"/>
      <c r="Q3" s="45"/>
      <c r="R3" s="47"/>
      <c r="S3" s="47"/>
      <c r="T3" s="47"/>
    </row>
    <row r="4" spans="1:20" ht="12.75" customHeight="1">
      <c r="A4" s="311" t="s">
        <v>38</v>
      </c>
      <c r="B4" s="313" t="s">
        <v>4</v>
      </c>
      <c r="C4" s="296" t="s">
        <v>5</v>
      </c>
      <c r="D4" s="288" t="s">
        <v>13</v>
      </c>
      <c r="E4" s="290" t="s">
        <v>14</v>
      </c>
      <c r="F4" s="291"/>
      <c r="G4" s="296" t="s">
        <v>15</v>
      </c>
      <c r="H4" s="298" t="s">
        <v>34</v>
      </c>
      <c r="I4" s="300" t="s">
        <v>16</v>
      </c>
      <c r="J4" s="309" t="s">
        <v>17</v>
      </c>
      <c r="K4" s="311" t="s">
        <v>38</v>
      </c>
      <c r="L4" s="313" t="s">
        <v>4</v>
      </c>
      <c r="M4" s="296" t="s">
        <v>5</v>
      </c>
      <c r="N4" s="288" t="s">
        <v>13</v>
      </c>
      <c r="O4" s="290" t="s">
        <v>14</v>
      </c>
      <c r="P4" s="291"/>
      <c r="Q4" s="296" t="s">
        <v>15</v>
      </c>
      <c r="R4" s="298" t="s">
        <v>34</v>
      </c>
      <c r="S4" s="300" t="s">
        <v>16</v>
      </c>
      <c r="T4" s="309" t="s">
        <v>17</v>
      </c>
    </row>
    <row r="5" spans="1:20" ht="13.5" customHeight="1" thickBot="1">
      <c r="A5" s="312"/>
      <c r="B5" s="314" t="s">
        <v>29</v>
      </c>
      <c r="C5" s="297"/>
      <c r="D5" s="289"/>
      <c r="E5" s="292"/>
      <c r="F5" s="293"/>
      <c r="G5" s="297"/>
      <c r="H5" s="299"/>
      <c r="I5" s="301"/>
      <c r="J5" s="310" t="s">
        <v>30</v>
      </c>
      <c r="K5" s="312"/>
      <c r="L5" s="314" t="s">
        <v>29</v>
      </c>
      <c r="M5" s="297"/>
      <c r="N5" s="289"/>
      <c r="O5" s="292"/>
      <c r="P5" s="293"/>
      <c r="Q5" s="297"/>
      <c r="R5" s="299"/>
      <c r="S5" s="301"/>
      <c r="T5" s="310" t="s">
        <v>30</v>
      </c>
    </row>
    <row r="6" spans="1:20">
      <c r="A6" s="315">
        <v>1</v>
      </c>
      <c r="B6" s="332">
        <v>1</v>
      </c>
      <c r="C6" s="335" t="str">
        <f>IFERROR(VLOOKUP(B6,пр.взв!$B$7:$H$14,2,0),"")</f>
        <v xml:space="preserve">ХЕРТЕК Саян  Калдар-оолович </v>
      </c>
      <c r="D6" s="331" t="str">
        <f>IFERROR(VLOOKUP(B6,пр.взв!$B$7:$H$14,3,0),"")</f>
        <v>05.09.87, ЗМС</v>
      </c>
      <c r="E6" s="284" t="str">
        <f>IFERROR(VLOOKUP(B6,пр.взв!$B$7:$H$14,4,0),"")</f>
        <v>МОС</v>
      </c>
      <c r="F6" s="331" t="str">
        <f>IFERROR(VLOOKUP(B6,пр.взв!$B$7:$H$14,5,0),"")</f>
        <v>Москва, Москва, Д</v>
      </c>
      <c r="G6" s="322"/>
      <c r="H6" s="324"/>
      <c r="I6" s="303"/>
      <c r="J6" s="288"/>
      <c r="K6" s="315">
        <v>3</v>
      </c>
      <c r="L6" s="332">
        <v>2</v>
      </c>
      <c r="M6" s="335" t="str">
        <f>IFERROR(VLOOKUP(L6,пр.взв!$B$7:$H$14,2,0),"")</f>
        <v>АТКУНОВ Аймерген  Сергеевич</v>
      </c>
      <c r="N6" s="331" t="str">
        <f>IFERROR(VLOOKUP(L6,пр.взв!$B$7:$H$14,3,0),"")</f>
        <v>14.04.89. МСМК</v>
      </c>
      <c r="O6" s="284" t="str">
        <f>IFERROR(VLOOKUP(L6,пр.взв!$B$7:$H$14,4,0),"")</f>
        <v>УФО</v>
      </c>
      <c r="P6" s="331" t="str">
        <f>IFERROR(VLOOKUP(L6,пр.взв!$B$7:$H$14,5,0),"")</f>
        <v>Свердловская, Верхняя Пышма, Д</v>
      </c>
      <c r="Q6" s="322"/>
      <c r="R6" s="324"/>
      <c r="S6" s="303"/>
      <c r="T6" s="288"/>
    </row>
    <row r="7" spans="1:20">
      <c r="A7" s="316"/>
      <c r="B7" s="333"/>
      <c r="C7" s="336"/>
      <c r="D7" s="323"/>
      <c r="E7" s="285"/>
      <c r="F7" s="323"/>
      <c r="G7" s="323"/>
      <c r="H7" s="323"/>
      <c r="I7" s="304"/>
      <c r="J7" s="211"/>
      <c r="K7" s="316"/>
      <c r="L7" s="333"/>
      <c r="M7" s="336"/>
      <c r="N7" s="323"/>
      <c r="O7" s="285"/>
      <c r="P7" s="323"/>
      <c r="Q7" s="323"/>
      <c r="R7" s="323"/>
      <c r="S7" s="304"/>
      <c r="T7" s="211"/>
    </row>
    <row r="8" spans="1:20">
      <c r="A8" s="316"/>
      <c r="B8" s="333">
        <v>5</v>
      </c>
      <c r="C8" s="294" t="str">
        <f>IFERROR(VLOOKUP(B8,пр.взв!$B$7:$H$14,2,0),"")</f>
        <v xml:space="preserve">ШАМСУТДИНОВ  Дамир Фаргатович </v>
      </c>
      <c r="D8" s="286" t="str">
        <f>IFERROR(VLOOKUP(B8,пр.взв!$B$7:$H$14,3,0),"")</f>
        <v>01.07.02, МС</v>
      </c>
      <c r="E8" s="286" t="str">
        <f>IFERROR(VLOOKUP(B8,пр.взв!$B$7:$H$14,4,0),"")</f>
        <v>УФО</v>
      </c>
      <c r="F8" s="286" t="str">
        <f>IFERROR(VLOOKUP(B8,пр.взв!$B$7:$H$14,5,0),"")</f>
        <v>Свердловская, Верхняя Пышма, МФКиС</v>
      </c>
      <c r="G8" s="307"/>
      <c r="H8" s="307"/>
      <c r="I8" s="212"/>
      <c r="J8" s="212"/>
      <c r="K8" s="316"/>
      <c r="L8" s="333">
        <v>6</v>
      </c>
      <c r="M8" s="294" t="str">
        <f>IFERROR(VLOOKUP(L8,пр.взв!$B$7:$H$14,2,0),"")</f>
        <v xml:space="preserve">КУЮКОВ Элбек Владимирович </v>
      </c>
      <c r="N8" s="286" t="str">
        <f>IFERROR(VLOOKUP(L8,пр.взв!$B$7:$H$14,3,0),"")</f>
        <v>13.05.95, МС</v>
      </c>
      <c r="O8" s="286" t="str">
        <f>IFERROR(VLOOKUP(L8,пр.взв!$B$7:$H$14,4,0),"")</f>
        <v>СФО</v>
      </c>
      <c r="P8" s="286" t="str">
        <f>IFERROR(VLOOKUP(L8,пр.взв!$B$7:$H$14,5,0),"")</f>
        <v>Новосибирская, Новосибирск , МС</v>
      </c>
      <c r="Q8" s="307"/>
      <c r="R8" s="307"/>
      <c r="S8" s="212"/>
      <c r="T8" s="212"/>
    </row>
    <row r="9" spans="1:20" ht="12.9" customHeight="1" thickBot="1">
      <c r="A9" s="317"/>
      <c r="B9" s="334"/>
      <c r="C9" s="295"/>
      <c r="D9" s="287"/>
      <c r="E9" s="287"/>
      <c r="F9" s="287"/>
      <c r="G9" s="308"/>
      <c r="H9" s="308"/>
      <c r="I9" s="301"/>
      <c r="J9" s="301"/>
      <c r="K9" s="317"/>
      <c r="L9" s="334"/>
      <c r="M9" s="295"/>
      <c r="N9" s="287"/>
      <c r="O9" s="287"/>
      <c r="P9" s="287"/>
      <c r="Q9" s="308"/>
      <c r="R9" s="308"/>
      <c r="S9" s="301"/>
      <c r="T9" s="301"/>
    </row>
    <row r="10" spans="1:20">
      <c r="A10" s="315">
        <v>2</v>
      </c>
      <c r="B10" s="332">
        <v>3</v>
      </c>
      <c r="C10" s="320" t="str">
        <f>IFERROR(VLOOKUP(B10,пр.взв!$B$7:$H$14,2,0),"")</f>
        <v xml:space="preserve">ТЛИШЕВ  Харун  Аминович </v>
      </c>
      <c r="D10" s="284" t="str">
        <f>IFERROR(VLOOKUP(B10,пр.взв!$B$7:$H$14,3,0),"")</f>
        <v>15.11,99, МСМК</v>
      </c>
      <c r="E10" s="284" t="str">
        <f>IFERROR(VLOOKUP(B10,пр.взв!$B$7:$H$14,4,0),"")</f>
        <v>ЮФО</v>
      </c>
      <c r="F10" s="284" t="str">
        <f>IFERROR(VLOOKUP(B10,пр.взв!$B$7:$H$14,5,0),"")</f>
        <v>Краснодарский, Армавир , ВС</v>
      </c>
      <c r="G10" s="322"/>
      <c r="H10" s="324"/>
      <c r="I10" s="303"/>
      <c r="J10" s="331"/>
      <c r="K10" s="315">
        <v>4</v>
      </c>
      <c r="L10" s="332">
        <v>4</v>
      </c>
      <c r="M10" s="320" t="str">
        <f>IFERROR(VLOOKUP(L10,пр.взв!$B$7:$H$14,2,0),"")</f>
        <v>КОЗЛОВ Роман Витальевич</v>
      </c>
      <c r="N10" s="284" t="str">
        <f>IFERROR(VLOOKUP(L10,пр.взв!$B$7:$H$14,3,0),"")</f>
        <v>04.05.90, МСМК</v>
      </c>
      <c r="O10" s="284" t="str">
        <f>IFERROR(VLOOKUP(L10,пр.взв!$B$7:$H$14,4,0),"")</f>
        <v>ЦФО</v>
      </c>
      <c r="P10" s="284" t="str">
        <f>IFERROR(VLOOKUP(L10,пр.взв!$B$7:$H$14,5,0),"")</f>
        <v>Рязанская, Рязань, Д</v>
      </c>
      <c r="Q10" s="322"/>
      <c r="R10" s="324"/>
      <c r="S10" s="303"/>
      <c r="T10" s="331"/>
    </row>
    <row r="11" spans="1:20" ht="12.6" customHeight="1">
      <c r="A11" s="316"/>
      <c r="B11" s="333"/>
      <c r="C11" s="321"/>
      <c r="D11" s="285"/>
      <c r="E11" s="285"/>
      <c r="F11" s="285"/>
      <c r="G11" s="323"/>
      <c r="H11" s="323"/>
      <c r="I11" s="304"/>
      <c r="J11" s="211"/>
      <c r="K11" s="316"/>
      <c r="L11" s="333"/>
      <c r="M11" s="321"/>
      <c r="N11" s="285"/>
      <c r="O11" s="285"/>
      <c r="P11" s="285"/>
      <c r="Q11" s="323"/>
      <c r="R11" s="323"/>
      <c r="S11" s="304"/>
      <c r="T11" s="211"/>
    </row>
    <row r="12" spans="1:20">
      <c r="A12" s="316"/>
      <c r="B12" s="333">
        <v>7</v>
      </c>
      <c r="C12" s="294" t="str">
        <f>IFERROR(VLOOKUP(B12,пр.взв!$B$7:$H$14,2,0),"")</f>
        <v/>
      </c>
      <c r="D12" s="286" t="str">
        <f>IFERROR(VLOOKUP(B12,пр.взв!$B$7:$H$14,3,0),"")</f>
        <v/>
      </c>
      <c r="E12" s="286" t="str">
        <f>IFERROR(VLOOKUP(B12,пр.взв!$B$7:$H$14,4,0),"")</f>
        <v/>
      </c>
      <c r="F12" s="286" t="str">
        <f>IFERROR(VLOOKUP(B12,пр.взв!$B$7:$H$14,5,0),"")</f>
        <v/>
      </c>
      <c r="G12" s="307"/>
      <c r="H12" s="307"/>
      <c r="I12" s="212"/>
      <c r="J12" s="212"/>
      <c r="K12" s="316"/>
      <c r="L12" s="333">
        <v>8</v>
      </c>
      <c r="M12" s="294" t="str">
        <f>IFERROR(VLOOKUP(L12,пр.взв!$B$7:$H$14,2,0),"")</f>
        <v/>
      </c>
      <c r="N12" s="286" t="str">
        <f>IFERROR(VLOOKUP(L12,пр.взв!$B$7:$H$14,3,0),"")</f>
        <v/>
      </c>
      <c r="O12" s="286" t="str">
        <f>IFERROR(VLOOKUP(L12,пр.взв!$B$7:$H$14,4,0),"")</f>
        <v/>
      </c>
      <c r="P12" s="286" t="str">
        <f>IFERROR(VLOOKUP(L12,пр.взв!$B$7:$H$14,5,0),"")</f>
        <v/>
      </c>
      <c r="Q12" s="307"/>
      <c r="R12" s="307"/>
      <c r="S12" s="212"/>
      <c r="T12" s="212"/>
    </row>
    <row r="13" spans="1:20" ht="12.9" customHeight="1" thickBot="1">
      <c r="A13" s="317"/>
      <c r="B13" s="334"/>
      <c r="C13" s="295"/>
      <c r="D13" s="287"/>
      <c r="E13" s="287"/>
      <c r="F13" s="287"/>
      <c r="G13" s="308"/>
      <c r="H13" s="308"/>
      <c r="I13" s="301"/>
      <c r="J13" s="301"/>
      <c r="K13" s="317"/>
      <c r="L13" s="334"/>
      <c r="M13" s="295"/>
      <c r="N13" s="287"/>
      <c r="O13" s="287"/>
      <c r="P13" s="287"/>
      <c r="Q13" s="308"/>
      <c r="R13" s="308"/>
      <c r="S13" s="301"/>
      <c r="T13" s="301"/>
    </row>
    <row r="14" spans="1:20" ht="15.6">
      <c r="B14" s="197">
        <f>B2</f>
        <v>0</v>
      </c>
      <c r="C14" s="198" t="s">
        <v>84</v>
      </c>
      <c r="D14" s="198"/>
      <c r="E14" s="302" t="str">
        <f>E2</f>
        <v>В.к.  58   кг.</v>
      </c>
      <c r="F14" s="302"/>
      <c r="G14" s="198"/>
      <c r="H14" s="198"/>
      <c r="I14" s="198"/>
      <c r="J14" s="198"/>
      <c r="L14" s="197">
        <f>L2</f>
        <v>0</v>
      </c>
      <c r="M14" s="198" t="s">
        <v>84</v>
      </c>
      <c r="N14" s="198"/>
      <c r="O14" s="302" t="str">
        <f>O2</f>
        <v>В.к.  58   кг.</v>
      </c>
      <c r="P14" s="302"/>
      <c r="Q14" s="198"/>
      <c r="R14" s="198"/>
      <c r="S14" s="198"/>
      <c r="T14" s="198"/>
    </row>
    <row r="15" spans="1:20" ht="16.2" thickBot="1">
      <c r="B15" s="45" t="s">
        <v>28</v>
      </c>
      <c r="C15" s="59" t="s">
        <v>35</v>
      </c>
      <c r="D15" s="49"/>
      <c r="E15" s="49"/>
      <c r="F15" s="49"/>
      <c r="G15" s="50"/>
      <c r="H15" s="49"/>
      <c r="I15" s="49"/>
      <c r="J15" s="49"/>
      <c r="K15" s="48"/>
      <c r="L15" s="45" t="s">
        <v>1</v>
      </c>
      <c r="M15" s="59" t="s">
        <v>35</v>
      </c>
      <c r="N15" s="49"/>
      <c r="O15" s="49"/>
      <c r="P15" s="49"/>
      <c r="Q15" s="50"/>
      <c r="R15" s="49"/>
      <c r="S15" s="49"/>
      <c r="T15" s="49"/>
    </row>
    <row r="16" spans="1:20" ht="12.75" customHeight="1">
      <c r="A16" s="311" t="s">
        <v>38</v>
      </c>
      <c r="B16" s="313" t="s">
        <v>4</v>
      </c>
      <c r="C16" s="296" t="s">
        <v>5</v>
      </c>
      <c r="D16" s="288" t="s">
        <v>13</v>
      </c>
      <c r="E16" s="290" t="s">
        <v>14</v>
      </c>
      <c r="F16" s="291"/>
      <c r="G16" s="296" t="s">
        <v>15</v>
      </c>
      <c r="H16" s="298" t="s">
        <v>34</v>
      </c>
      <c r="I16" s="300" t="s">
        <v>16</v>
      </c>
      <c r="J16" s="309" t="s">
        <v>17</v>
      </c>
      <c r="K16" s="311" t="s">
        <v>38</v>
      </c>
      <c r="L16" s="313" t="s">
        <v>4</v>
      </c>
      <c r="M16" s="296" t="s">
        <v>5</v>
      </c>
      <c r="N16" s="288" t="s">
        <v>13</v>
      </c>
      <c r="O16" s="290" t="s">
        <v>14</v>
      </c>
      <c r="P16" s="291"/>
      <c r="Q16" s="296" t="s">
        <v>15</v>
      </c>
      <c r="R16" s="298" t="s">
        <v>34</v>
      </c>
      <c r="S16" s="300" t="s">
        <v>16</v>
      </c>
      <c r="T16" s="309" t="s">
        <v>17</v>
      </c>
    </row>
    <row r="17" spans="1:20" ht="13.5" customHeight="1" thickBot="1">
      <c r="A17" s="312"/>
      <c r="B17" s="314" t="s">
        <v>29</v>
      </c>
      <c r="C17" s="297"/>
      <c r="D17" s="289"/>
      <c r="E17" s="292"/>
      <c r="F17" s="293"/>
      <c r="G17" s="297"/>
      <c r="H17" s="299"/>
      <c r="I17" s="301"/>
      <c r="J17" s="310" t="s">
        <v>30</v>
      </c>
      <c r="K17" s="312"/>
      <c r="L17" s="314" t="s">
        <v>29</v>
      </c>
      <c r="M17" s="297"/>
      <c r="N17" s="289"/>
      <c r="O17" s="292"/>
      <c r="P17" s="293"/>
      <c r="Q17" s="297"/>
      <c r="R17" s="299"/>
      <c r="S17" s="301"/>
      <c r="T17" s="310" t="s">
        <v>30</v>
      </c>
    </row>
    <row r="18" spans="1:20">
      <c r="A18" s="326">
        <v>1</v>
      </c>
      <c r="B18" s="329">
        <f>пр.хода!E9</f>
        <v>0</v>
      </c>
      <c r="C18" s="320" t="str">
        <f>IFERROR(VLOOKUP(B18,пр.взв!$B$7:$H$14,2,0),"")</f>
        <v/>
      </c>
      <c r="D18" s="284" t="str">
        <f>IFERROR(VLOOKUP(B18,пр.взв!$B$7:$H$14,3,0),"")</f>
        <v/>
      </c>
      <c r="E18" s="284" t="str">
        <f>IFERROR(VLOOKUP(B18,пр.взв!$B$7:$H$14,4,0),"")</f>
        <v/>
      </c>
      <c r="F18" s="284" t="str">
        <f>IFERROR(VLOOKUP(B18,пр.взв!$B$7:$H$14,5,0),"")</f>
        <v/>
      </c>
      <c r="G18" s="322"/>
      <c r="H18" s="324"/>
      <c r="I18" s="303"/>
      <c r="J18" s="288"/>
      <c r="K18" s="326">
        <v>2</v>
      </c>
      <c r="L18" s="329">
        <f>пр.хода!Q9</f>
        <v>0</v>
      </c>
      <c r="M18" s="320" t="str">
        <f>IFERROR(VLOOKUP(L18,пр.взв!$B$7:$H$14,2,0),"")</f>
        <v/>
      </c>
      <c r="N18" s="284" t="str">
        <f>IFERROR(VLOOKUP(L18,пр.взв!$B$7:$H$14,3,0),"")</f>
        <v/>
      </c>
      <c r="O18" s="284" t="str">
        <f>IFERROR(VLOOKUP(L18,пр.взв!$B$7:$H$14,4,0),"")</f>
        <v/>
      </c>
      <c r="P18" s="284" t="str">
        <f>IFERROR(VLOOKUP(L18,пр.взв!$B$7:$H$14,5,0),"")</f>
        <v/>
      </c>
      <c r="Q18" s="322"/>
      <c r="R18" s="324"/>
      <c r="S18" s="303"/>
      <c r="T18" s="288"/>
    </row>
    <row r="19" spans="1:20" ht="12.6" customHeight="1">
      <c r="A19" s="327"/>
      <c r="B19" s="319"/>
      <c r="C19" s="321"/>
      <c r="D19" s="285"/>
      <c r="E19" s="285"/>
      <c r="F19" s="285"/>
      <c r="G19" s="323"/>
      <c r="H19" s="323"/>
      <c r="I19" s="304"/>
      <c r="J19" s="211"/>
      <c r="K19" s="327"/>
      <c r="L19" s="319"/>
      <c r="M19" s="321"/>
      <c r="N19" s="285"/>
      <c r="O19" s="285"/>
      <c r="P19" s="285"/>
      <c r="Q19" s="323"/>
      <c r="R19" s="323"/>
      <c r="S19" s="304"/>
      <c r="T19" s="211"/>
    </row>
    <row r="20" spans="1:20">
      <c r="A20" s="327"/>
      <c r="B20" s="330">
        <f>пр.хода!E13</f>
        <v>3</v>
      </c>
      <c r="C20" s="294" t="str">
        <f>IFERROR(VLOOKUP(B20,пр.взв!$B$7:$H$14,2,0),"")</f>
        <v xml:space="preserve">ТЛИШЕВ  Харун  Аминович </v>
      </c>
      <c r="D20" s="286" t="str">
        <f>IFERROR(VLOOKUP(B20,пр.взв!$B$7:$H$14,3,0),"")</f>
        <v>15.11,99, МСМК</v>
      </c>
      <c r="E20" s="286" t="str">
        <f>IFERROR(VLOOKUP(B20,пр.взв!$B$7:$H$14,4,0),"")</f>
        <v>ЮФО</v>
      </c>
      <c r="F20" s="286" t="str">
        <f>IFERROR(VLOOKUP(B20,пр.взв!$B$7:$H$14,5,0),"")</f>
        <v>Краснодарский, Армавир , ВС</v>
      </c>
      <c r="G20" s="307"/>
      <c r="H20" s="307"/>
      <c r="I20" s="212"/>
      <c r="J20" s="212"/>
      <c r="K20" s="327"/>
      <c r="L20" s="330">
        <f>пр.хода!Q13</f>
        <v>4</v>
      </c>
      <c r="M20" s="294" t="str">
        <f>IFERROR(VLOOKUP(L20,пр.взв!$B$7:$H$14,2,0),"")</f>
        <v>КОЗЛОВ Роман Витальевич</v>
      </c>
      <c r="N20" s="286" t="str">
        <f>IFERROR(VLOOKUP(L20,пр.взв!$B$7:$H$14,3,0),"")</f>
        <v>04.05.90, МСМК</v>
      </c>
      <c r="O20" s="286" t="str">
        <f>IFERROR(VLOOKUP(L20,пр.взв!$B$7:$H$14,4,0),"")</f>
        <v>ЦФО</v>
      </c>
      <c r="P20" s="286" t="str">
        <f>IFERROR(VLOOKUP(L20,пр.взв!$B$7:$H$14,5,0),"")</f>
        <v>Рязанская, Рязань, Д</v>
      </c>
      <c r="Q20" s="307"/>
      <c r="R20" s="307"/>
      <c r="S20" s="212"/>
      <c r="T20" s="212"/>
    </row>
    <row r="21" spans="1:20" ht="12.9" customHeight="1" thickBot="1">
      <c r="A21" s="328"/>
      <c r="B21" s="306"/>
      <c r="C21" s="295"/>
      <c r="D21" s="287"/>
      <c r="E21" s="287"/>
      <c r="F21" s="287"/>
      <c r="G21" s="308"/>
      <c r="H21" s="308"/>
      <c r="I21" s="301"/>
      <c r="J21" s="301"/>
      <c r="K21" s="328"/>
      <c r="L21" s="306"/>
      <c r="M21" s="295"/>
      <c r="N21" s="287"/>
      <c r="O21" s="287"/>
      <c r="P21" s="287"/>
      <c r="Q21" s="308"/>
      <c r="R21" s="308"/>
      <c r="S21" s="301"/>
      <c r="T21" s="301"/>
    </row>
    <row r="22" spans="1:20" ht="15.6">
      <c r="B22" s="197">
        <f>B14</f>
        <v>0</v>
      </c>
      <c r="C22" s="198" t="s">
        <v>84</v>
      </c>
      <c r="D22" s="198"/>
      <c r="E22" s="302" t="str">
        <f>E14</f>
        <v>В.к.  58   кг.</v>
      </c>
      <c r="F22" s="302"/>
      <c r="G22" s="198"/>
      <c r="H22" s="198"/>
      <c r="I22" s="198"/>
      <c r="J22" s="198"/>
      <c r="L22" s="197">
        <f>L14</f>
        <v>0</v>
      </c>
      <c r="M22" s="198" t="s">
        <v>84</v>
      </c>
      <c r="N22" s="198"/>
      <c r="O22" s="302" t="str">
        <f>O14</f>
        <v>В.к.  58   кг.</v>
      </c>
      <c r="P22" s="302"/>
      <c r="Q22" s="198"/>
      <c r="R22" s="198"/>
      <c r="S22" s="198"/>
      <c r="T22" s="198"/>
    </row>
    <row r="23" spans="1:20" ht="15">
      <c r="A23" s="325" t="s">
        <v>36</v>
      </c>
      <c r="B23" s="325"/>
      <c r="C23" s="325"/>
      <c r="D23" s="325"/>
      <c r="E23" s="325"/>
      <c r="F23" s="325"/>
      <c r="G23" s="325"/>
      <c r="H23" s="325"/>
      <c r="I23" s="325"/>
      <c r="J23" s="325"/>
      <c r="K23" s="325" t="s">
        <v>37</v>
      </c>
      <c r="L23" s="325"/>
      <c r="M23" s="325"/>
      <c r="N23" s="325"/>
      <c r="O23" s="325"/>
      <c r="P23" s="325"/>
      <c r="Q23" s="325"/>
      <c r="R23" s="325"/>
      <c r="S23" s="325"/>
      <c r="T23" s="325"/>
    </row>
    <row r="24" spans="1:20" ht="16.2" thickBot="1">
      <c r="B24" s="45" t="s">
        <v>28</v>
      </c>
      <c r="C24" s="51"/>
      <c r="D24" s="51"/>
      <c r="E24" s="51"/>
      <c r="F24" s="51"/>
      <c r="G24" s="51"/>
      <c r="H24" s="51"/>
      <c r="I24" s="51"/>
      <c r="J24" s="51"/>
      <c r="L24" s="45" t="s">
        <v>1</v>
      </c>
      <c r="M24" s="51"/>
      <c r="N24" s="51"/>
      <c r="O24" s="51"/>
      <c r="P24" s="51"/>
      <c r="Q24" s="51"/>
      <c r="R24" s="48"/>
      <c r="S24" s="48"/>
      <c r="T24" s="48"/>
    </row>
    <row r="25" spans="1:20" ht="12.75" customHeight="1">
      <c r="A25" s="311" t="s">
        <v>38</v>
      </c>
      <c r="B25" s="313" t="s">
        <v>4</v>
      </c>
      <c r="C25" s="296" t="s">
        <v>5</v>
      </c>
      <c r="D25" s="288" t="s">
        <v>13</v>
      </c>
      <c r="E25" s="290" t="s">
        <v>14</v>
      </c>
      <c r="F25" s="291"/>
      <c r="G25" s="296" t="s">
        <v>15</v>
      </c>
      <c r="H25" s="298" t="s">
        <v>34</v>
      </c>
      <c r="I25" s="300" t="s">
        <v>16</v>
      </c>
      <c r="J25" s="309" t="s">
        <v>17</v>
      </c>
      <c r="K25" s="311" t="s">
        <v>38</v>
      </c>
      <c r="L25" s="313" t="s">
        <v>4</v>
      </c>
      <c r="M25" s="296" t="s">
        <v>5</v>
      </c>
      <c r="N25" s="288" t="s">
        <v>13</v>
      </c>
      <c r="O25" s="290" t="s">
        <v>14</v>
      </c>
      <c r="P25" s="291"/>
      <c r="Q25" s="296" t="s">
        <v>15</v>
      </c>
      <c r="R25" s="298" t="s">
        <v>34</v>
      </c>
      <c r="S25" s="300" t="s">
        <v>16</v>
      </c>
      <c r="T25" s="309" t="s">
        <v>17</v>
      </c>
    </row>
    <row r="26" spans="1:20" ht="13.5" customHeight="1" thickBot="1">
      <c r="A26" s="312"/>
      <c r="B26" s="314" t="s">
        <v>29</v>
      </c>
      <c r="C26" s="297"/>
      <c r="D26" s="289"/>
      <c r="E26" s="292"/>
      <c r="F26" s="293"/>
      <c r="G26" s="297"/>
      <c r="H26" s="299"/>
      <c r="I26" s="301"/>
      <c r="J26" s="310" t="s">
        <v>30</v>
      </c>
      <c r="K26" s="312"/>
      <c r="L26" s="314" t="s">
        <v>29</v>
      </c>
      <c r="M26" s="297"/>
      <c r="N26" s="289"/>
      <c r="O26" s="292"/>
      <c r="P26" s="293"/>
      <c r="Q26" s="297"/>
      <c r="R26" s="299"/>
      <c r="S26" s="301"/>
      <c r="T26" s="310" t="s">
        <v>30</v>
      </c>
    </row>
    <row r="27" spans="1:20">
      <c r="A27" s="315">
        <v>1</v>
      </c>
      <c r="B27" s="318" t="str">
        <f>пр.хода!A21</f>
        <v xml:space="preserve"> </v>
      </c>
      <c r="C27" s="320" t="str">
        <f>IFERROR(VLOOKUP(B27,пр.взв!$B$7:$H$14,2,0),"")</f>
        <v/>
      </c>
      <c r="D27" s="284" t="str">
        <f>IFERROR(VLOOKUP(B27,пр.взв!$B$7:$H$14,3,0),"")</f>
        <v/>
      </c>
      <c r="E27" s="284" t="str">
        <f>IFERROR(VLOOKUP(B27,пр.взв!$B$7:$H$14,4,0),"")</f>
        <v/>
      </c>
      <c r="F27" s="284" t="str">
        <f>IFERROR(VLOOKUP(B27,пр.взв!$B$7:$H$14,5,0),"")</f>
        <v/>
      </c>
      <c r="G27" s="322"/>
      <c r="H27" s="324"/>
      <c r="I27" s="303"/>
      <c r="J27" s="288"/>
      <c r="K27" s="315">
        <v>2</v>
      </c>
      <c r="L27" s="318" t="str">
        <f>пр.хода!U21</f>
        <v xml:space="preserve"> </v>
      </c>
      <c r="M27" s="320" t="str">
        <f>IFERROR(VLOOKUP(L27,пр.взв!$B$7:$H$14,2,0),"")</f>
        <v/>
      </c>
      <c r="N27" s="284" t="str">
        <f>IFERROR(VLOOKUP(L27,пр.взв!$B$7:$H$14,3,0),"")</f>
        <v/>
      </c>
      <c r="O27" s="284" t="str">
        <f>IFERROR(VLOOKUP(L27,пр.взв!$B$7:$H$14,4,0),"")</f>
        <v/>
      </c>
      <c r="P27" s="284" t="str">
        <f>IFERROR(VLOOKUP(L27,пр.взв!$B$7:$H$14,5,0),"")</f>
        <v/>
      </c>
      <c r="Q27" s="322"/>
      <c r="R27" s="324"/>
      <c r="S27" s="303"/>
      <c r="T27" s="288"/>
    </row>
    <row r="28" spans="1:20" ht="12.6" customHeight="1">
      <c r="A28" s="316"/>
      <c r="B28" s="319"/>
      <c r="C28" s="321"/>
      <c r="D28" s="285"/>
      <c r="E28" s="285"/>
      <c r="F28" s="285"/>
      <c r="G28" s="323"/>
      <c r="H28" s="323"/>
      <c r="I28" s="304"/>
      <c r="J28" s="211"/>
      <c r="K28" s="316"/>
      <c r="L28" s="319"/>
      <c r="M28" s="321"/>
      <c r="N28" s="285"/>
      <c r="O28" s="285"/>
      <c r="P28" s="285"/>
      <c r="Q28" s="323"/>
      <c r="R28" s="323"/>
      <c r="S28" s="304"/>
      <c r="T28" s="211"/>
    </row>
    <row r="29" spans="1:20">
      <c r="A29" s="316"/>
      <c r="B29" s="305">
        <f>пр.хода!A23</f>
        <v>7</v>
      </c>
      <c r="C29" s="294" t="str">
        <f>IFERROR(VLOOKUP(B29,пр.взв!$B$7:$H$14,2,0),"")</f>
        <v/>
      </c>
      <c r="D29" s="286" t="str">
        <f>IFERROR(VLOOKUP(B29,пр.взв!$B$7:$H$14,3,0),"")</f>
        <v/>
      </c>
      <c r="E29" s="286" t="str">
        <f>IFERROR(VLOOKUP(B29,пр.взв!$B$7:$H$14,4,0),"")</f>
        <v/>
      </c>
      <c r="F29" s="286" t="str">
        <f>IFERROR(VLOOKUP(B29,пр.взв!$B$7:$H$14,5,0),"")</f>
        <v/>
      </c>
      <c r="G29" s="307"/>
      <c r="H29" s="307"/>
      <c r="I29" s="212"/>
      <c r="J29" s="212"/>
      <c r="K29" s="316"/>
      <c r="L29" s="305">
        <f>пр.хода!U23</f>
        <v>8</v>
      </c>
      <c r="M29" s="294" t="str">
        <f>IFERROR(VLOOKUP(L29,пр.взв!$B$7:$H$14,2,0),"")</f>
        <v/>
      </c>
      <c r="N29" s="286" t="str">
        <f>IFERROR(VLOOKUP(L29,пр.взв!$B$7:$H$14,3,0),"")</f>
        <v/>
      </c>
      <c r="O29" s="286" t="str">
        <f>IFERROR(VLOOKUP(L29,пр.взв!$B$7:$H$14,4,0),"")</f>
        <v/>
      </c>
      <c r="P29" s="286" t="str">
        <f>IFERROR(VLOOKUP(L29,пр.взв!$B$7:$H$14,5,0),"")</f>
        <v/>
      </c>
      <c r="Q29" s="307"/>
      <c r="R29" s="307"/>
      <c r="S29" s="212"/>
      <c r="T29" s="212"/>
    </row>
    <row r="30" spans="1:20" ht="12.9" customHeight="1" thickBot="1">
      <c r="A30" s="317"/>
      <c r="B30" s="306"/>
      <c r="C30" s="295"/>
      <c r="D30" s="287"/>
      <c r="E30" s="287"/>
      <c r="F30" s="287"/>
      <c r="G30" s="308"/>
      <c r="H30" s="308"/>
      <c r="I30" s="301"/>
      <c r="J30" s="301"/>
      <c r="K30" s="317"/>
      <c r="L30" s="306"/>
      <c r="M30" s="295"/>
      <c r="N30" s="287"/>
      <c r="O30" s="287"/>
      <c r="P30" s="287"/>
      <c r="Q30" s="308"/>
      <c r="R30" s="308"/>
      <c r="S30" s="301"/>
      <c r="T30" s="301"/>
    </row>
  </sheetData>
  <mergeCells count="216">
    <mergeCell ref="B1:J1"/>
    <mergeCell ref="L1:T1"/>
    <mergeCell ref="A4:A5"/>
    <mergeCell ref="B4:B5"/>
    <mergeCell ref="C4:C5"/>
    <mergeCell ref="D4:D5"/>
    <mergeCell ref="G4:G5"/>
    <mergeCell ref="E4:F5"/>
    <mergeCell ref="N4:N5"/>
    <mergeCell ref="Q4:Q5"/>
    <mergeCell ref="R4:R5"/>
    <mergeCell ref="J4:J5"/>
    <mergeCell ref="K4:K5"/>
    <mergeCell ref="L4:L5"/>
    <mergeCell ref="M4:M5"/>
    <mergeCell ref="H4:H5"/>
    <mergeCell ref="O4:P5"/>
    <mergeCell ref="I4:I5"/>
    <mergeCell ref="S4:S5"/>
    <mergeCell ref="T4:T5"/>
    <mergeCell ref="E2:F2"/>
    <mergeCell ref="O2:P2"/>
    <mergeCell ref="A6:A9"/>
    <mergeCell ref="B6:B7"/>
    <mergeCell ref="C6:C7"/>
    <mergeCell ref="D6:D7"/>
    <mergeCell ref="F6:F7"/>
    <mergeCell ref="G6:G7"/>
    <mergeCell ref="I8:I9"/>
    <mergeCell ref="J8:J9"/>
    <mergeCell ref="N6:N7"/>
    <mergeCell ref="B8:B9"/>
    <mergeCell ref="C8:C9"/>
    <mergeCell ref="D8:D9"/>
    <mergeCell ref="F8:F9"/>
    <mergeCell ref="G8:G9"/>
    <mergeCell ref="S6:S7"/>
    <mergeCell ref="T6:T7"/>
    <mergeCell ref="S8:S9"/>
    <mergeCell ref="T8:T9"/>
    <mergeCell ref="O8:O9"/>
    <mergeCell ref="O6:O7"/>
    <mergeCell ref="E6:E7"/>
    <mergeCell ref="L8:L9"/>
    <mergeCell ref="M8:M9"/>
    <mergeCell ref="P6:P7"/>
    <mergeCell ref="Q6:Q7"/>
    <mergeCell ref="H8:H9"/>
    <mergeCell ref="N8:N9"/>
    <mergeCell ref="P8:P9"/>
    <mergeCell ref="Q8:Q9"/>
    <mergeCell ref="R6:R7"/>
    <mergeCell ref="J6:J7"/>
    <mergeCell ref="K6:K9"/>
    <mergeCell ref="L6:L7"/>
    <mergeCell ref="M6:M7"/>
    <mergeCell ref="H6:H7"/>
    <mergeCell ref="I6:I7"/>
    <mergeCell ref="R8:R9"/>
    <mergeCell ref="A10:A13"/>
    <mergeCell ref="B10:B11"/>
    <mergeCell ref="C10:C11"/>
    <mergeCell ref="D10:D11"/>
    <mergeCell ref="F10:F11"/>
    <mergeCell ref="G10:G11"/>
    <mergeCell ref="N10:N11"/>
    <mergeCell ref="P10:P11"/>
    <mergeCell ref="Q10:Q11"/>
    <mergeCell ref="M12:M13"/>
    <mergeCell ref="O12:O13"/>
    <mergeCell ref="O10:O11"/>
    <mergeCell ref="R10:R11"/>
    <mergeCell ref="J10:J11"/>
    <mergeCell ref="K10:K13"/>
    <mergeCell ref="L10:L11"/>
    <mergeCell ref="M10:M11"/>
    <mergeCell ref="I12:I13"/>
    <mergeCell ref="S10:S11"/>
    <mergeCell ref="T10:T11"/>
    <mergeCell ref="B12:B13"/>
    <mergeCell ref="C12:C13"/>
    <mergeCell ref="D12:D13"/>
    <mergeCell ref="F12:F13"/>
    <mergeCell ref="G12:G13"/>
    <mergeCell ref="H12:H13"/>
    <mergeCell ref="H10:H11"/>
    <mergeCell ref="I10:I11"/>
    <mergeCell ref="J12:J13"/>
    <mergeCell ref="S12:S13"/>
    <mergeCell ref="T12:T13"/>
    <mergeCell ref="N12:N13"/>
    <mergeCell ref="P12:P13"/>
    <mergeCell ref="Q12:Q13"/>
    <mergeCell ref="R12:R13"/>
    <mergeCell ref="L12:L13"/>
    <mergeCell ref="A16:A17"/>
    <mergeCell ref="B16:B17"/>
    <mergeCell ref="C16:C17"/>
    <mergeCell ref="D16:D17"/>
    <mergeCell ref="Q16:Q17"/>
    <mergeCell ref="R16:R17"/>
    <mergeCell ref="J16:J17"/>
    <mergeCell ref="K16:K17"/>
    <mergeCell ref="L16:L17"/>
    <mergeCell ref="M16:M17"/>
    <mergeCell ref="S16:S17"/>
    <mergeCell ref="T16:T17"/>
    <mergeCell ref="A18:A21"/>
    <mergeCell ref="B18:B19"/>
    <mergeCell ref="C18:C19"/>
    <mergeCell ref="D18:D19"/>
    <mergeCell ref="F18:F19"/>
    <mergeCell ref="G18:G19"/>
    <mergeCell ref="H18:H19"/>
    <mergeCell ref="I18:I19"/>
    <mergeCell ref="P18:P19"/>
    <mergeCell ref="Q18:Q19"/>
    <mergeCell ref="R18:R19"/>
    <mergeCell ref="J18:J19"/>
    <mergeCell ref="K18:K21"/>
    <mergeCell ref="L18:L19"/>
    <mergeCell ref="M18:M19"/>
    <mergeCell ref="L20:L21"/>
    <mergeCell ref="M20:M21"/>
    <mergeCell ref="S18:S19"/>
    <mergeCell ref="T18:T19"/>
    <mergeCell ref="B20:B21"/>
    <mergeCell ref="C20:C21"/>
    <mergeCell ref="D20:D21"/>
    <mergeCell ref="S20:S21"/>
    <mergeCell ref="T20:T21"/>
    <mergeCell ref="A23:J23"/>
    <mergeCell ref="K23:T23"/>
    <mergeCell ref="N20:N21"/>
    <mergeCell ref="P20:P21"/>
    <mergeCell ref="Q20:Q21"/>
    <mergeCell ref="R20:R21"/>
    <mergeCell ref="O20:O21"/>
    <mergeCell ref="E20:E21"/>
    <mergeCell ref="E22:F22"/>
    <mergeCell ref="O22:P22"/>
    <mergeCell ref="A25:A26"/>
    <mergeCell ref="B25:B26"/>
    <mergeCell ref="C25:C26"/>
    <mergeCell ref="D25:D26"/>
    <mergeCell ref="N25:N26"/>
    <mergeCell ref="Q25:Q26"/>
    <mergeCell ref="F20:F21"/>
    <mergeCell ref="G20:G21"/>
    <mergeCell ref="H20:H21"/>
    <mergeCell ref="I20:I21"/>
    <mergeCell ref="J20:J21"/>
    <mergeCell ref="R25:R26"/>
    <mergeCell ref="J25:J26"/>
    <mergeCell ref="K25:K26"/>
    <mergeCell ref="L25:L26"/>
    <mergeCell ref="M25:M26"/>
    <mergeCell ref="S25:S26"/>
    <mergeCell ref="T25:T26"/>
    <mergeCell ref="A27:A30"/>
    <mergeCell ref="B27:B28"/>
    <mergeCell ref="C27:C28"/>
    <mergeCell ref="D27:D28"/>
    <mergeCell ref="F27:F28"/>
    <mergeCell ref="G27:G28"/>
    <mergeCell ref="H27:H28"/>
    <mergeCell ref="I27:I28"/>
    <mergeCell ref="N27:N28"/>
    <mergeCell ref="P27:P28"/>
    <mergeCell ref="Q27:Q28"/>
    <mergeCell ref="R27:R28"/>
    <mergeCell ref="J27:J28"/>
    <mergeCell ref="K27:K30"/>
    <mergeCell ref="L27:L28"/>
    <mergeCell ref="M27:M28"/>
    <mergeCell ref="L29:L30"/>
    <mergeCell ref="S27:S28"/>
    <mergeCell ref="T27:T28"/>
    <mergeCell ref="B29:B30"/>
    <mergeCell ref="C29:C30"/>
    <mergeCell ref="D29:D30"/>
    <mergeCell ref="F29:F30"/>
    <mergeCell ref="G29:G30"/>
    <mergeCell ref="H29:H30"/>
    <mergeCell ref="I29:I30"/>
    <mergeCell ref="J29:J30"/>
    <mergeCell ref="S29:S30"/>
    <mergeCell ref="T29:T30"/>
    <mergeCell ref="N29:N30"/>
    <mergeCell ref="P29:P30"/>
    <mergeCell ref="Q29:Q30"/>
    <mergeCell ref="R29:R30"/>
    <mergeCell ref="O29:O30"/>
    <mergeCell ref="E18:E19"/>
    <mergeCell ref="E12:E13"/>
    <mergeCell ref="E10:E11"/>
    <mergeCell ref="E8:E9"/>
    <mergeCell ref="N18:N19"/>
    <mergeCell ref="N16:N17"/>
    <mergeCell ref="O27:O28"/>
    <mergeCell ref="E29:E30"/>
    <mergeCell ref="E27:E28"/>
    <mergeCell ref="E16:F17"/>
    <mergeCell ref="O16:P17"/>
    <mergeCell ref="E25:F26"/>
    <mergeCell ref="O25:P26"/>
    <mergeCell ref="O18:O19"/>
    <mergeCell ref="M29:M30"/>
    <mergeCell ref="G25:G26"/>
    <mergeCell ref="H25:H26"/>
    <mergeCell ref="I25:I26"/>
    <mergeCell ref="G16:G17"/>
    <mergeCell ref="H16:H17"/>
    <mergeCell ref="I16:I17"/>
    <mergeCell ref="E14:F14"/>
    <mergeCell ref="O14:P14"/>
  </mergeCells>
  <phoneticPr fontId="10" type="noConversion"/>
  <printOptions horizontalCentered="1"/>
  <pageMargins left="0" right="0" top="0" bottom="0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>
    <tabColor indexed="10"/>
  </sheetPr>
  <dimension ref="A1:AO37"/>
  <sheetViews>
    <sheetView workbookViewId="0">
      <selection activeCell="B7" sqref="B7"/>
    </sheetView>
  </sheetViews>
  <sheetFormatPr defaultRowHeight="13.2"/>
  <cols>
    <col min="1" max="1" width="6.88671875" customWidth="1"/>
    <col min="2" max="2" width="8" customWidth="1"/>
    <col min="3" max="3" width="23.5546875" customWidth="1"/>
    <col min="4" max="4" width="13.109375" customWidth="1"/>
    <col min="5" max="5" width="6.33203125" customWidth="1"/>
    <col min="6" max="6" width="13.33203125" customWidth="1"/>
    <col min="7" max="7" width="10.109375" customWidth="1"/>
    <col min="8" max="8" width="19.6640625" customWidth="1"/>
    <col min="9" max="9" width="3.88671875" customWidth="1"/>
    <col min="10" max="10" width="15.6640625" customWidth="1"/>
    <col min="11" max="11" width="4.88671875" customWidth="1"/>
    <col min="12" max="12" width="3.44140625" hidden="1" customWidth="1"/>
    <col min="13" max="13" width="17" hidden="1" customWidth="1"/>
    <col min="14" max="17" width="9.109375" hidden="1" customWidth="1"/>
    <col min="18" max="35" width="0" hidden="1" customWidth="1"/>
  </cols>
  <sheetData>
    <row r="1" spans="1:41" ht="27.75" customHeight="1" thickBot="1">
      <c r="A1" s="347" t="s">
        <v>24</v>
      </c>
      <c r="B1" s="347"/>
      <c r="C1" s="347"/>
      <c r="D1" s="347"/>
      <c r="E1" s="347"/>
      <c r="F1" s="347"/>
      <c r="G1" s="347"/>
      <c r="H1" s="347"/>
      <c r="I1" s="101"/>
      <c r="J1" s="41"/>
      <c r="K1" s="41"/>
      <c r="L1" s="41"/>
      <c r="M1" s="41"/>
      <c r="N1" s="41"/>
      <c r="O1" s="41"/>
      <c r="P1" s="41"/>
      <c r="Q1" s="41"/>
      <c r="R1" s="41"/>
      <c r="S1" s="41"/>
      <c r="T1" s="41">
        <f ca="1">SUMIF(T6:T11,V1,$K$14:$K$17)</f>
        <v>1</v>
      </c>
      <c r="U1" s="41"/>
      <c r="V1" s="41" t="str">
        <f>J12</f>
        <v/>
      </c>
    </row>
    <row r="2" spans="1:41" ht="54" customHeight="1" thickBot="1">
      <c r="A2" s="100"/>
      <c r="B2" s="356" t="s">
        <v>79</v>
      </c>
      <c r="C2" s="356"/>
      <c r="D2" s="357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E2" s="358"/>
      <c r="F2" s="358"/>
      <c r="G2" s="358"/>
      <c r="H2" s="359"/>
      <c r="I2" s="100"/>
      <c r="T2" s="204">
        <f>SUMIF(J14:J16,V1,$K$14:$K$17)</f>
        <v>2</v>
      </c>
      <c r="U2" s="204"/>
      <c r="V2" s="204"/>
      <c r="W2" s="204"/>
      <c r="X2" s="204"/>
    </row>
    <row r="3" spans="1:41" ht="31.5" customHeight="1" thickBot="1">
      <c r="A3" s="100"/>
      <c r="B3" s="360" t="str">
        <f>пр.взв!A3</f>
        <v>26-29.08.2022г.                                              г.Казань</v>
      </c>
      <c r="C3" s="360"/>
      <c r="D3" s="360"/>
      <c r="E3" s="360"/>
      <c r="F3" s="360"/>
      <c r="G3" s="361" t="str">
        <f>пр.взв!D4</f>
        <v>В.к.  58   кг.</v>
      </c>
      <c r="H3" s="362"/>
      <c r="I3" s="100"/>
    </row>
    <row r="4" spans="1:41" ht="12.75" customHeight="1" thickBot="1">
      <c r="A4" s="343" t="s">
        <v>10</v>
      </c>
      <c r="B4" s="345" t="s">
        <v>4</v>
      </c>
      <c r="C4" s="363" t="s">
        <v>5</v>
      </c>
      <c r="D4" s="365" t="s">
        <v>6</v>
      </c>
      <c r="E4" s="367" t="s">
        <v>7</v>
      </c>
      <c r="F4" s="365"/>
      <c r="G4" s="369" t="s">
        <v>9</v>
      </c>
      <c r="H4" s="348" t="s">
        <v>8</v>
      </c>
      <c r="I4" s="100"/>
      <c r="J4" s="342" t="str">
        <f>IFERROR(LEFT(F6,FIND(",",F6)-1),F6)</f>
        <v/>
      </c>
      <c r="K4" s="204">
        <v>1</v>
      </c>
      <c r="L4" s="338" t="s">
        <v>61</v>
      </c>
      <c r="M4" s="340" t="s">
        <v>60</v>
      </c>
      <c r="N4" s="353"/>
      <c r="O4" s="354"/>
      <c r="P4" s="354"/>
      <c r="Q4" s="355"/>
      <c r="S4" s="371" t="s">
        <v>61</v>
      </c>
      <c r="T4" s="340" t="s">
        <v>60</v>
      </c>
      <c r="U4" s="350"/>
      <c r="V4" s="351"/>
      <c r="W4" s="351"/>
      <c r="X4" s="352"/>
      <c r="AC4" s="371" t="s">
        <v>61</v>
      </c>
      <c r="AD4" s="340" t="s">
        <v>60</v>
      </c>
      <c r="AE4" s="350"/>
      <c r="AF4" s="351"/>
      <c r="AG4" s="351"/>
      <c r="AH4" s="352"/>
      <c r="AJ4" s="371" t="s">
        <v>61</v>
      </c>
      <c r="AK4" s="340" t="s">
        <v>60</v>
      </c>
      <c r="AL4" s="350"/>
      <c r="AM4" s="351"/>
      <c r="AN4" s="351"/>
      <c r="AO4" s="352"/>
    </row>
    <row r="5" spans="1:41" ht="16.2" thickBot="1">
      <c r="A5" s="344"/>
      <c r="B5" s="346"/>
      <c r="C5" s="364"/>
      <c r="D5" s="366"/>
      <c r="E5" s="368"/>
      <c r="F5" s="366"/>
      <c r="G5" s="370"/>
      <c r="H5" s="349"/>
      <c r="I5" s="100"/>
      <c r="J5" s="342"/>
      <c r="K5" s="204"/>
      <c r="L5" s="339"/>
      <c r="M5" s="341"/>
      <c r="N5" s="77">
        <v>1</v>
      </c>
      <c r="O5" s="78">
        <v>2</v>
      </c>
      <c r="P5" s="78">
        <v>3</v>
      </c>
      <c r="Q5" s="79">
        <v>5</v>
      </c>
      <c r="S5" s="372"/>
      <c r="T5" s="341"/>
      <c r="U5" s="77">
        <v>1</v>
      </c>
      <c r="V5" s="78">
        <v>2</v>
      </c>
      <c r="W5" s="78">
        <v>3</v>
      </c>
      <c r="X5" s="79">
        <v>5</v>
      </c>
      <c r="Z5" s="106">
        <v>1</v>
      </c>
      <c r="AB5" s="106">
        <v>2</v>
      </c>
      <c r="AC5" s="372"/>
      <c r="AD5" s="341"/>
      <c r="AE5" s="107">
        <v>1</v>
      </c>
      <c r="AF5" s="108">
        <v>2</v>
      </c>
      <c r="AG5" s="108">
        <v>3</v>
      </c>
      <c r="AH5" s="109">
        <v>5</v>
      </c>
      <c r="AJ5" s="372"/>
      <c r="AK5" s="341"/>
      <c r="AL5" s="107">
        <v>1</v>
      </c>
      <c r="AM5" s="108">
        <v>2</v>
      </c>
      <c r="AN5" s="108">
        <v>3</v>
      </c>
      <c r="AO5" s="109">
        <v>5</v>
      </c>
    </row>
    <row r="6" spans="1:41" ht="24" customHeight="1">
      <c r="A6" s="196">
        <v>1</v>
      </c>
      <c r="B6" s="191">
        <f>пр.хода!H9</f>
        <v>0</v>
      </c>
      <c r="C6" s="180" t="str">
        <f>IFERROR(VLOOKUP(B6,пр.взв!$B$7:$H$14,2,0),"")</f>
        <v/>
      </c>
      <c r="D6" s="181" t="str">
        <f>IFERROR(VLOOKUP(B6,пр.взв!$B$7:$H$14,3,0),"")</f>
        <v/>
      </c>
      <c r="E6" s="181" t="str">
        <f>IFERROR(VLOOKUP(B6,пр.взв!$B$7:$H$14,4,0),"")</f>
        <v/>
      </c>
      <c r="F6" s="182" t="str">
        <f>IFERROR(VLOOKUP(B6,пр.взв!$B$7:$H$14,5,0),"")</f>
        <v/>
      </c>
      <c r="G6" s="184" t="str">
        <f>IFERROR(VLOOKUP(B6,пр.взв!$B$7:$H$14,6,0),"")</f>
        <v/>
      </c>
      <c r="H6" s="185" t="str">
        <f>IFERROR(VLOOKUP(B6,пр.взв!$B$7:$H$14,7,0),"")</f>
        <v/>
      </c>
      <c r="I6" s="100"/>
      <c r="J6" s="342" t="s">
        <v>62</v>
      </c>
      <c r="K6" s="204">
        <v>1</v>
      </c>
      <c r="L6" s="80">
        <v>1</v>
      </c>
      <c r="M6" s="76" t="s">
        <v>65</v>
      </c>
      <c r="N6" s="81">
        <f>SUMIF($J$4:$J$7,J4,$K$4:$K$7)</f>
        <v>1</v>
      </c>
      <c r="O6" s="81">
        <f ca="1">SUMIF($I$8:$J$9,"алт",$K$6:$K$9)</f>
        <v>0</v>
      </c>
      <c r="P6" s="82">
        <f>SUMIF($J$10:$J$13,"Алт",$K$10:$K$13)</f>
        <v>0</v>
      </c>
      <c r="Q6" s="82">
        <f>SUMIF($J$14:$J$17,"Алт",$K$14:$K$17)</f>
        <v>0</v>
      </c>
      <c r="S6" s="80">
        <v>1</v>
      </c>
      <c r="T6" s="76" t="str">
        <f>J4</f>
        <v/>
      </c>
      <c r="U6" s="81">
        <f t="shared" ref="U6:U11" si="0">SUMIF($J$4:$J$7,T6,$K$4:$K$7)</f>
        <v>1</v>
      </c>
      <c r="V6" s="81">
        <f t="shared" ref="V6:V11" ca="1" si="1">SUMIF($I$8:$J$9,T6,$K$6:$K$9)</f>
        <v>4</v>
      </c>
      <c r="W6" s="82">
        <f t="shared" ref="W6:W11" si="2">SUMIF($J$10:$J$13,T6,$K$10:$K$13)</f>
        <v>2</v>
      </c>
      <c r="X6" s="82">
        <f>SUMIF($J$14:$J$17,T6,$K$14:$K$17)</f>
        <v>2</v>
      </c>
      <c r="Z6" t="str">
        <f>T6</f>
        <v/>
      </c>
      <c r="AB6" t="str">
        <f>Z6</f>
        <v/>
      </c>
      <c r="AC6" s="110">
        <v>1</v>
      </c>
      <c r="AD6" s="111" t="str">
        <f>AB6</f>
        <v/>
      </c>
      <c r="AE6" s="112">
        <f t="shared" ref="AE6:AE11" si="3">SUMIF($J$4:$J$7,AD6,$K$4:$K$7)</f>
        <v>1</v>
      </c>
      <c r="AF6" s="112">
        <f t="shared" ref="AF6:AF11" ca="1" si="4">SUMIF($I$8:$J$9,AD6,$K$6:$K$9)</f>
        <v>4</v>
      </c>
      <c r="AG6" s="112">
        <f t="shared" ref="AG6:AG11" si="5">SUMIF($J$10:$J$13,AD6,$K$10:$K$13)</f>
        <v>2</v>
      </c>
      <c r="AH6" s="113">
        <f t="shared" ref="AH6:AH11" si="6">SUMIF($J$14:$J$17,AD6,$K$14:$K$17)</f>
        <v>2</v>
      </c>
      <c r="AJ6" s="110">
        <v>1</v>
      </c>
      <c r="AK6" s="111" t="str">
        <f t="shared" ref="AK6:AO11" si="7">IF(AD6=0," ",AD6)</f>
        <v/>
      </c>
      <c r="AL6" s="112">
        <f t="shared" si="7"/>
        <v>1</v>
      </c>
      <c r="AM6" s="112">
        <f t="shared" ca="1" si="7"/>
        <v>4</v>
      </c>
      <c r="AN6" s="112">
        <f t="shared" si="7"/>
        <v>2</v>
      </c>
      <c r="AO6" s="113">
        <f t="shared" si="7"/>
        <v>2</v>
      </c>
    </row>
    <row r="7" spans="1:41" ht="24" customHeight="1">
      <c r="A7" s="178">
        <v>2</v>
      </c>
      <c r="B7" s="179" t="str">
        <f>пр.хода!H14</f>
        <v/>
      </c>
      <c r="C7" s="186" t="str">
        <f>IFERROR(VLOOKUP(B7,пр.взв!$B$7:$H$14,2,0),"")</f>
        <v/>
      </c>
      <c r="D7" s="187" t="str">
        <f>IFERROR(VLOOKUP(B7,пр.взв!$B$7:$H$14,3,0),"")</f>
        <v/>
      </c>
      <c r="E7" s="183" t="str">
        <f>IFERROR(VLOOKUP(B7,пр.взв!$B$7:$H$14,4,0),"")</f>
        <v/>
      </c>
      <c r="F7" s="183" t="str">
        <f>IFERROR(VLOOKUP(B7,пр.взв!$B$7:$H$14,5,0),"")</f>
        <v/>
      </c>
      <c r="G7" s="183" t="str">
        <f>IFERROR(VLOOKUP(B7,пр.взв!$B$7:$H$14,6,0),"")</f>
        <v/>
      </c>
      <c r="H7" s="188" t="str">
        <f>IFERROR(VLOOKUP(B7,пр.взв!$B$7:$H$14,7,0),"")</f>
        <v/>
      </c>
      <c r="I7" s="100"/>
      <c r="J7" s="342"/>
      <c r="K7" s="204"/>
      <c r="L7" s="75">
        <v>2</v>
      </c>
      <c r="M7" s="76" t="s">
        <v>66</v>
      </c>
      <c r="N7" s="81">
        <f>SUMIF($J$4:$J$7,"заб",$K$4:$K$7)</f>
        <v>0</v>
      </c>
      <c r="O7" s="81">
        <f ca="1">SUMIF($I$8:$J$9,"заб",$K$6:$K$9)</f>
        <v>0</v>
      </c>
      <c r="P7" s="82">
        <f>SUMIF($J$10:$J$13,"заб",$K$10:$K$13)</f>
        <v>0</v>
      </c>
      <c r="Q7" s="82">
        <f>SUMIF($J$14:$J$17,"заб",$K$14:$K$17)</f>
        <v>0</v>
      </c>
      <c r="S7" s="75">
        <v>2</v>
      </c>
      <c r="T7" s="76" t="str">
        <f>IF(J8=J4," ",J8)</f>
        <v xml:space="preserve"> </v>
      </c>
      <c r="U7" s="81">
        <f t="shared" si="0"/>
        <v>0</v>
      </c>
      <c r="V7" s="81">
        <f t="shared" ca="1" si="1"/>
        <v>0</v>
      </c>
      <c r="W7" s="82">
        <f t="shared" si="2"/>
        <v>0</v>
      </c>
      <c r="X7" s="82">
        <f>SUMIF($J$14:$J$17,T7,$K$14:$K$17)</f>
        <v>0</v>
      </c>
      <c r="Z7" t="str">
        <f>IF(OR(T7=" "),T8,T7)</f>
        <v xml:space="preserve"> </v>
      </c>
      <c r="AA7">
        <f>IF(U7=U6," ",U7)</f>
        <v>0</v>
      </c>
      <c r="AB7" t="str">
        <f>IF(OR(Z7=" "),Z8,Z7)</f>
        <v xml:space="preserve"> </v>
      </c>
      <c r="AC7" s="114">
        <v>2</v>
      </c>
      <c r="AD7" s="115" t="str">
        <f>IF(OR(AB7=" "),AB8,AB7)</f>
        <v xml:space="preserve"> </v>
      </c>
      <c r="AE7" s="116">
        <f t="shared" si="3"/>
        <v>0</v>
      </c>
      <c r="AF7" s="116">
        <f t="shared" ca="1" si="4"/>
        <v>0</v>
      </c>
      <c r="AG7" s="116">
        <f t="shared" si="5"/>
        <v>0</v>
      </c>
      <c r="AH7" s="117">
        <f t="shared" si="6"/>
        <v>0</v>
      </c>
      <c r="AJ7" s="114">
        <v>2</v>
      </c>
      <c r="AK7" s="115" t="str">
        <f t="shared" si="7"/>
        <v xml:space="preserve"> </v>
      </c>
      <c r="AL7" s="116" t="str">
        <f t="shared" si="7"/>
        <v xml:space="preserve"> </v>
      </c>
      <c r="AM7" s="116" t="str">
        <f t="shared" ca="1" si="7"/>
        <v xml:space="preserve"> </v>
      </c>
      <c r="AN7" s="116" t="str">
        <f t="shared" si="7"/>
        <v xml:space="preserve"> </v>
      </c>
      <c r="AO7" s="117" t="str">
        <f t="shared" si="7"/>
        <v xml:space="preserve"> </v>
      </c>
    </row>
    <row r="8" spans="1:41" ht="24" customHeight="1">
      <c r="A8" s="178">
        <v>3</v>
      </c>
      <c r="B8" s="179">
        <f>пр.хода!E25</f>
        <v>0</v>
      </c>
      <c r="C8" s="186" t="str">
        <f>IFERROR(VLOOKUP(B8,пр.взв!$B$7:$H$14,2,0),"")</f>
        <v/>
      </c>
      <c r="D8" s="187" t="str">
        <f>IFERROR(VLOOKUP(B8,пр.взв!$B$7:$H$14,3,0),"")</f>
        <v/>
      </c>
      <c r="E8" s="183" t="str">
        <f>IFERROR(VLOOKUP(B8,пр.взв!$B$7:$H$14,4,0),"")</f>
        <v/>
      </c>
      <c r="F8" s="183" t="str">
        <f>IFERROR(VLOOKUP(B8,пр.взв!$B$7:$H$14,5,0),"")</f>
        <v/>
      </c>
      <c r="G8" s="183" t="str">
        <f>IFERROR(VLOOKUP(B8,пр.взв!$B$7:$H$14,6,0),"")</f>
        <v/>
      </c>
      <c r="H8" s="188" t="str">
        <f>IFERROR(VLOOKUP(B8,пр.взв!$B$7:$H$14,7,0),"")</f>
        <v/>
      </c>
      <c r="I8" s="100"/>
      <c r="J8" s="204" t="str">
        <f>IFERROR(LEFT(F7,FIND(",",F7)-1),F7)</f>
        <v/>
      </c>
      <c r="K8" s="204">
        <v>1</v>
      </c>
      <c r="L8" s="74">
        <v>3</v>
      </c>
      <c r="M8" s="76" t="s">
        <v>67</v>
      </c>
      <c r="N8" s="81">
        <f>SUMIF($J$4:$J$7,"ирк",$K$4:$K$7)</f>
        <v>0</v>
      </c>
      <c r="O8" s="81">
        <f ca="1">SUMIF($I$8:$J$9,"ирк",$K$6:$K$9)</f>
        <v>0</v>
      </c>
      <c r="P8" s="82">
        <f>SUMIF($J$10:$J$13,"ирк",$K$10:$K$13)</f>
        <v>0</v>
      </c>
      <c r="Q8" s="82">
        <f>SUMIF($J$14:$J$17,"ирк",$K$14:$K$17)</f>
        <v>0</v>
      </c>
      <c r="S8" s="74">
        <v>3</v>
      </c>
      <c r="T8" s="76" t="str">
        <f>IF(OR(J10=J4,J10=J8)," ",J10)</f>
        <v xml:space="preserve"> </v>
      </c>
      <c r="U8" s="81">
        <f t="shared" si="0"/>
        <v>0</v>
      </c>
      <c r="V8" s="81">
        <f t="shared" ca="1" si="1"/>
        <v>0</v>
      </c>
      <c r="W8" s="82">
        <f t="shared" si="2"/>
        <v>0</v>
      </c>
      <c r="X8" s="82">
        <f>SUMIF($J$14:$J$17,T8,$K$14:$K$17)</f>
        <v>0</v>
      </c>
      <c r="Z8" t="str">
        <f>IF(OR(T8=" ",T7=" "),T9,T8)</f>
        <v xml:space="preserve"> </v>
      </c>
      <c r="AB8" t="str">
        <f>IF(OR(Z8=" ",Z7=" "),Z9,Z8)</f>
        <v xml:space="preserve"> </v>
      </c>
      <c r="AC8" s="118">
        <v>3</v>
      </c>
      <c r="AD8" s="115" t="str">
        <f>IF(OR(AB8=" ",AB7=" "),AB9,AB8)</f>
        <v xml:space="preserve"> </v>
      </c>
      <c r="AE8" s="116">
        <f t="shared" si="3"/>
        <v>0</v>
      </c>
      <c r="AF8" s="116">
        <f t="shared" ca="1" si="4"/>
        <v>0</v>
      </c>
      <c r="AG8" s="116">
        <f t="shared" si="5"/>
        <v>0</v>
      </c>
      <c r="AH8" s="117">
        <f t="shared" si="6"/>
        <v>0</v>
      </c>
      <c r="AJ8" s="118">
        <v>3</v>
      </c>
      <c r="AK8" s="115" t="str">
        <f t="shared" si="7"/>
        <v xml:space="preserve"> </v>
      </c>
      <c r="AL8" s="116" t="str">
        <f t="shared" si="7"/>
        <v xml:space="preserve"> </v>
      </c>
      <c r="AM8" s="116" t="str">
        <f t="shared" ca="1" si="7"/>
        <v xml:space="preserve"> </v>
      </c>
      <c r="AN8" s="116" t="str">
        <f t="shared" si="7"/>
        <v xml:space="preserve"> </v>
      </c>
      <c r="AO8" s="117" t="str">
        <f t="shared" si="7"/>
        <v xml:space="preserve"> </v>
      </c>
    </row>
    <row r="9" spans="1:41" ht="24" customHeight="1">
      <c r="A9" s="178">
        <v>3</v>
      </c>
      <c r="B9" s="189">
        <f>пр.хода!Q25</f>
        <v>0</v>
      </c>
      <c r="C9" s="186" t="str">
        <f>IFERROR(VLOOKUP(B9,пр.взв!$B$7:$H$14,2,0),"")</f>
        <v/>
      </c>
      <c r="D9" s="187" t="str">
        <f>IFERROR(VLOOKUP(B9,пр.взв!$B$7:$H$14,3,0),"")</f>
        <v/>
      </c>
      <c r="E9" s="183" t="str">
        <f>IFERROR(VLOOKUP(B9,пр.взв!$B$7:$H$14,4,0),"")</f>
        <v/>
      </c>
      <c r="F9" s="183" t="str">
        <f>IFERROR(VLOOKUP(B9,пр.взв!$B$7:$H$14,5,0),"")</f>
        <v/>
      </c>
      <c r="G9" s="183" t="str">
        <f>IFERROR(VLOOKUP(B9,пр.взв!$B$7:$H$14,6,0),"")</f>
        <v/>
      </c>
      <c r="H9" s="188" t="str">
        <f>IFERROR(VLOOKUP(B9,пр.взв!$B$7:$H$14,7,0),"")</f>
        <v/>
      </c>
      <c r="I9" s="100"/>
      <c r="J9" s="204"/>
      <c r="K9" s="204"/>
      <c r="L9" s="75">
        <v>4</v>
      </c>
      <c r="M9" s="76" t="s">
        <v>68</v>
      </c>
      <c r="N9" s="81">
        <f>SUMIF($J$4:$J$7,"кем",$K$4:$K$7)</f>
        <v>0</v>
      </c>
      <c r="O9" s="81">
        <f ca="1">SUMIF($I$8:$J$9,"кем",$K$6:$K$9)</f>
        <v>0</v>
      </c>
      <c r="P9" s="82">
        <f>SUMIF($J$10:$J$13,"кем",$K$10:$K$13)</f>
        <v>0</v>
      </c>
      <c r="Q9" s="82">
        <f>SUMIF($J$14:$J$17,"кем",$K$14:$K$17)</f>
        <v>0</v>
      </c>
      <c r="S9" s="75">
        <v>4</v>
      </c>
      <c r="T9" s="76" t="str">
        <f>IF(OR(J12=J4,J12=J8,J12=J10)," ",J12)</f>
        <v xml:space="preserve"> </v>
      </c>
      <c r="U9" s="81">
        <f t="shared" si="0"/>
        <v>0</v>
      </c>
      <c r="V9" s="81">
        <f t="shared" ca="1" si="1"/>
        <v>0</v>
      </c>
      <c r="W9" s="82">
        <f t="shared" si="2"/>
        <v>0</v>
      </c>
      <c r="X9" s="82">
        <f>SUMIF($J$14:$J$17,T9,$K$14:$K$17)</f>
        <v>0</v>
      </c>
      <c r="Z9" t="str">
        <f>IF(OR(T7=" ",T8=" ",T9=" "),T10,T9)</f>
        <v xml:space="preserve"> </v>
      </c>
      <c r="AB9" t="str">
        <f>IF(OR(Z7=" ",Z8=" ",Z9=" "),Z10,Z9)</f>
        <v xml:space="preserve"> </v>
      </c>
      <c r="AC9" s="114">
        <v>4</v>
      </c>
      <c r="AD9" s="115" t="str">
        <f>IF(OR(AB7=" ",AB8=" ",AB9=" "),AB10,AB9)</f>
        <v xml:space="preserve"> </v>
      </c>
      <c r="AE9" s="116">
        <f t="shared" si="3"/>
        <v>0</v>
      </c>
      <c r="AF9" s="116">
        <f t="shared" ca="1" si="4"/>
        <v>0</v>
      </c>
      <c r="AG9" s="116">
        <f t="shared" si="5"/>
        <v>0</v>
      </c>
      <c r="AH9" s="117">
        <f t="shared" si="6"/>
        <v>0</v>
      </c>
      <c r="AJ9" s="114">
        <v>4</v>
      </c>
      <c r="AK9" s="115" t="str">
        <f t="shared" si="7"/>
        <v xml:space="preserve"> </v>
      </c>
      <c r="AL9" s="116" t="str">
        <f t="shared" si="7"/>
        <v xml:space="preserve"> </v>
      </c>
      <c r="AM9" s="116" t="str">
        <f t="shared" ca="1" si="7"/>
        <v xml:space="preserve"> </v>
      </c>
      <c r="AN9" s="116" t="str">
        <f t="shared" si="7"/>
        <v xml:space="preserve"> </v>
      </c>
      <c r="AO9" s="117" t="str">
        <f t="shared" si="7"/>
        <v xml:space="preserve"> </v>
      </c>
    </row>
    <row r="10" spans="1:41" ht="24" customHeight="1">
      <c r="A10" s="176" t="s">
        <v>51</v>
      </c>
      <c r="B10" s="189" t="str">
        <f>пр.хода!Z21</f>
        <v xml:space="preserve"> </v>
      </c>
      <c r="C10" s="186" t="str">
        <f>IFERROR(VLOOKUP(B10,пр.взв!$B$7:$H$14,2,0),"")</f>
        <v/>
      </c>
      <c r="D10" s="187" t="str">
        <f>IFERROR(VLOOKUP(B10,пр.взв!$B$7:$H$14,3,0),"")</f>
        <v/>
      </c>
      <c r="E10" s="183" t="str">
        <f>IFERROR(VLOOKUP(B10,пр.взв!$B$7:$H$14,4,0),"")</f>
        <v/>
      </c>
      <c r="F10" s="183" t="str">
        <f>IFERROR(VLOOKUP(B10,пр.взв!$B$7:$H$14,5,0),"")</f>
        <v/>
      </c>
      <c r="G10" s="183" t="str">
        <f>IFERROR(VLOOKUP(B10,пр.взв!$B$7:$H$14,6,0),"")</f>
        <v/>
      </c>
      <c r="H10" s="188" t="str">
        <f>IFERROR(VLOOKUP(B10,пр.взв!$B$7:$H$14,7,0),"")</f>
        <v/>
      </c>
      <c r="I10" s="100"/>
      <c r="J10" s="204" t="str">
        <f>IFERROR(LEFT(F8,FIND(",",F8)-1),F8)</f>
        <v/>
      </c>
      <c r="K10" s="204">
        <v>1</v>
      </c>
      <c r="L10" s="74">
        <v>5</v>
      </c>
      <c r="M10" s="76" t="s">
        <v>69</v>
      </c>
      <c r="N10" s="81">
        <f>SUMIF($J$4:$J$7,"кра",$K$4:$K$7)</f>
        <v>0</v>
      </c>
      <c r="O10" s="81">
        <f ca="1">SUMIF($I$8:$J$9,"кра",$K$6:$K$9)</f>
        <v>0</v>
      </c>
      <c r="P10" s="82">
        <f>SUMIF($J$10:$J$13,"кра",$K$10:$K$13)</f>
        <v>0</v>
      </c>
      <c r="Q10" s="82">
        <f>SUMIF($J$14:$J$17,"кра",$K$14:$K$17)</f>
        <v>0</v>
      </c>
      <c r="S10" s="74">
        <v>5</v>
      </c>
      <c r="T10" s="76" t="str">
        <f>IF(OR(J14=J4,J14=J8,J14=J10,J14=J12)," ",J14)</f>
        <v xml:space="preserve"> </v>
      </c>
      <c r="U10" s="81">
        <f t="shared" si="0"/>
        <v>0</v>
      </c>
      <c r="V10" s="81">
        <f t="shared" ca="1" si="1"/>
        <v>0</v>
      </c>
      <c r="W10" s="82">
        <f t="shared" si="2"/>
        <v>0</v>
      </c>
      <c r="X10" s="82">
        <f>SUMIF($J$14:$J$17,T10,$K$14:$K$17)</f>
        <v>0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118">
        <v>5</v>
      </c>
      <c r="AD10" s="115" t="str">
        <f>IF(OR(AB7=" ",AB8=" ",AB9=" ")," ",AB10)</f>
        <v xml:space="preserve"> </v>
      </c>
      <c r="AE10" s="116">
        <f t="shared" si="3"/>
        <v>0</v>
      </c>
      <c r="AF10" s="116">
        <f t="shared" ca="1" si="4"/>
        <v>0</v>
      </c>
      <c r="AG10" s="116">
        <f t="shared" si="5"/>
        <v>0</v>
      </c>
      <c r="AH10" s="117">
        <f t="shared" si="6"/>
        <v>0</v>
      </c>
      <c r="AJ10" s="118">
        <v>5</v>
      </c>
      <c r="AK10" s="115" t="str">
        <f t="shared" si="7"/>
        <v xml:space="preserve"> </v>
      </c>
      <c r="AL10" s="116" t="str">
        <f t="shared" si="7"/>
        <v xml:space="preserve"> </v>
      </c>
      <c r="AM10" s="116" t="str">
        <f t="shared" ca="1" si="7"/>
        <v xml:space="preserve"> </v>
      </c>
      <c r="AN10" s="116" t="str">
        <f t="shared" si="7"/>
        <v xml:space="preserve"> </v>
      </c>
      <c r="AO10" s="117" t="str">
        <f t="shared" si="7"/>
        <v xml:space="preserve"> </v>
      </c>
    </row>
    <row r="11" spans="1:41" ht="24" customHeight="1" thickBot="1">
      <c r="A11" s="176" t="s">
        <v>51</v>
      </c>
      <c r="B11" s="189" t="str">
        <f>пр.хода!Z22</f>
        <v xml:space="preserve"> </v>
      </c>
      <c r="C11" s="186" t="str">
        <f>IFERROR(VLOOKUP(B11,пр.взв!$B$7:$H$14,2,0),"")</f>
        <v/>
      </c>
      <c r="D11" s="187" t="str">
        <f>IFERROR(VLOOKUP(B11,пр.взв!$B$7:$H$14,3,0),"")</f>
        <v/>
      </c>
      <c r="E11" s="183" t="str">
        <f>IFERROR(VLOOKUP(B11,пр.взв!$B$7:$H$14,4,0),"")</f>
        <v/>
      </c>
      <c r="F11" s="183" t="str">
        <f>IFERROR(VLOOKUP(B11,пр.взв!$B$7:$H$14,5,0),"")</f>
        <v/>
      </c>
      <c r="G11" s="183" t="str">
        <f>IFERROR(VLOOKUP(B11,пр.взв!$B$7:$H$14,6,0),"")</f>
        <v/>
      </c>
      <c r="H11" s="188" t="str">
        <f>IFERROR(VLOOKUP(B11,пр.взв!$B$7:$H$14,7,0),"")</f>
        <v/>
      </c>
      <c r="I11" s="100"/>
      <c r="J11" s="204"/>
      <c r="K11" s="204"/>
      <c r="L11" s="75">
        <v>6</v>
      </c>
      <c r="M11" s="76" t="s">
        <v>70</v>
      </c>
      <c r="N11" s="81">
        <f>SUMIF($J$4:$J$7,"нов",$K$4:$K$7)</f>
        <v>0</v>
      </c>
      <c r="O11" s="81">
        <f ca="1">SUMIF($I$8:$J$9,"нов",$K$6:$K$9)</f>
        <v>0</v>
      </c>
      <c r="P11" s="82">
        <f>SUMIF($J$10:$J$13,"нов",$K$10:$K$13)</f>
        <v>0</v>
      </c>
      <c r="Q11" s="82">
        <f>SUMIF($J$14:$J$17,"нов",$K$14:$K$17)</f>
        <v>0</v>
      </c>
      <c r="S11" s="75">
        <v>6</v>
      </c>
      <c r="T11" s="76" t="str">
        <f>IF(OR(J16=J4,J16=J8,J16=J10,J16=J12,J16=J14)," ",J16)</f>
        <v xml:space="preserve"> </v>
      </c>
      <c r="U11" s="81">
        <f t="shared" si="0"/>
        <v>0</v>
      </c>
      <c r="V11" s="81">
        <f t="shared" ca="1" si="1"/>
        <v>0</v>
      </c>
      <c r="W11" s="82">
        <f t="shared" si="2"/>
        <v>0</v>
      </c>
      <c r="X11" s="82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119">
        <v>6</v>
      </c>
      <c r="AD11" s="120" t="str">
        <f>IF(OR(AB7=" ",AB8=" ",AB9=" ",AB10=" ")," ",AB11)</f>
        <v xml:space="preserve"> </v>
      </c>
      <c r="AE11" s="121">
        <f t="shared" si="3"/>
        <v>0</v>
      </c>
      <c r="AF11" s="121">
        <f t="shared" ca="1" si="4"/>
        <v>0</v>
      </c>
      <c r="AG11" s="121">
        <f t="shared" si="5"/>
        <v>0</v>
      </c>
      <c r="AH11" s="122">
        <f t="shared" si="6"/>
        <v>0</v>
      </c>
      <c r="AJ11" s="119">
        <v>6</v>
      </c>
      <c r="AK11" s="120" t="str">
        <f t="shared" si="7"/>
        <v xml:space="preserve"> </v>
      </c>
      <c r="AL11" s="121" t="str">
        <f t="shared" si="7"/>
        <v xml:space="preserve"> </v>
      </c>
      <c r="AM11" s="121" t="str">
        <f t="shared" ca="1" si="7"/>
        <v xml:space="preserve"> </v>
      </c>
      <c r="AN11" s="121" t="str">
        <f t="shared" si="7"/>
        <v xml:space="preserve"> </v>
      </c>
      <c r="AO11" s="122" t="str">
        <f t="shared" si="7"/>
        <v xml:space="preserve"> </v>
      </c>
    </row>
    <row r="12" spans="1:41" ht="24" customHeight="1" thickBot="1">
      <c r="A12" s="176" t="s">
        <v>40</v>
      </c>
      <c r="B12" s="189">
        <f>пр.хода!Z23</f>
        <v>7</v>
      </c>
      <c r="C12" s="186" t="str">
        <f>IFERROR(VLOOKUP(B12,пр.взв!$B$7:$H$14,2,0),"")</f>
        <v/>
      </c>
      <c r="D12" s="187" t="str">
        <f>IFERROR(VLOOKUP(B12,пр.взв!$B$7:$H$14,3,0),"")</f>
        <v/>
      </c>
      <c r="E12" s="183" t="str">
        <f>IFERROR(VLOOKUP(B12,пр.взв!$B$7:$H$14,4,0),"")</f>
        <v/>
      </c>
      <c r="F12" s="183" t="str">
        <f>IFERROR(VLOOKUP(B12,пр.взв!$B$7:$H$14,5,0),"")</f>
        <v/>
      </c>
      <c r="G12" s="183" t="str">
        <f>IFERROR(VLOOKUP(B12,пр.взв!$B$7:$H$14,6,0),"")</f>
        <v/>
      </c>
      <c r="H12" s="188" t="str">
        <f>IFERROR(VLOOKUP(B12,пр.взв!$B$7:$H$14,7,0),"")</f>
        <v/>
      </c>
      <c r="I12" s="100"/>
      <c r="J12" s="204" t="str">
        <f>IFERROR(LEFT(F9,FIND(",",F9)-1),F9)</f>
        <v/>
      </c>
      <c r="K12" s="204">
        <v>1</v>
      </c>
      <c r="L12" s="74">
        <v>7</v>
      </c>
      <c r="M12" s="76" t="s">
        <v>71</v>
      </c>
      <c r="N12" s="81">
        <f>SUMIF($J$4:$J$7,"омс",$K$4:$K$7)</f>
        <v>0</v>
      </c>
      <c r="O12" s="81">
        <f ca="1">SUMIF($I$8:$J$9,"омс",$K$6:$K$9)</f>
        <v>0</v>
      </c>
      <c r="P12" s="82">
        <f>SUMIF($J$10:$J$13,"омс",$K$10:$K$13)</f>
        <v>0</v>
      </c>
      <c r="Q12" s="82">
        <f>SUMIF($J$14:$J$17,"омс",$K$14:$K$17)</f>
        <v>0</v>
      </c>
      <c r="S12" s="86"/>
      <c r="T12" s="76" t="str">
        <f>IF(OR(J15=J7,J15=J11,J15=J13)," ",J15)</f>
        <v xml:space="preserve"> </v>
      </c>
      <c r="U12" s="88"/>
      <c r="V12" s="88"/>
      <c r="W12" s="89"/>
      <c r="X12" s="89"/>
      <c r="AC12" s="83"/>
      <c r="AD12" s="84"/>
      <c r="AE12" s="123">
        <f>SUM(AE6:AE11)</f>
        <v>1</v>
      </c>
      <c r="AF12" s="123">
        <f ca="1">SUM(AF6:AF11)</f>
        <v>4</v>
      </c>
      <c r="AG12" s="123">
        <f>SUM(AG6:AG11)</f>
        <v>2</v>
      </c>
      <c r="AH12" s="123">
        <f>SUM(AH6:AH11)</f>
        <v>2</v>
      </c>
      <c r="AJ12" s="83"/>
      <c r="AK12" s="84"/>
      <c r="AL12" s="123">
        <f>SUM(AL6:AL11)</f>
        <v>1</v>
      </c>
      <c r="AM12" s="123">
        <f ca="1">SUM(AM6:AM11)</f>
        <v>4</v>
      </c>
      <c r="AN12" s="123">
        <f>SUM(AN6:AN11)</f>
        <v>2</v>
      </c>
      <c r="AO12" s="123">
        <f>SUM(AO6:AO11)</f>
        <v>2</v>
      </c>
    </row>
    <row r="13" spans="1:41" ht="24" customHeight="1" thickBot="1">
      <c r="A13" s="177" t="s">
        <v>40</v>
      </c>
      <c r="B13" s="190">
        <f>пр.хода!Z24</f>
        <v>8</v>
      </c>
      <c r="C13" s="192" t="str">
        <f>IFERROR(VLOOKUP(B13,пр.взв!$B$7:$H$14,2,0),"")</f>
        <v/>
      </c>
      <c r="D13" s="193" t="str">
        <f>IFERROR(VLOOKUP(B13,пр.взв!$B$7:$H$14,3,0),"")</f>
        <v/>
      </c>
      <c r="E13" s="194" t="str">
        <f>IFERROR(VLOOKUP(B13,пр.взв!$B$7:$H$14,4,0),"")</f>
        <v/>
      </c>
      <c r="F13" s="194" t="str">
        <f>IFERROR(VLOOKUP(B13,пр.взв!$B$7:$H$14,5,0),"")</f>
        <v/>
      </c>
      <c r="G13" s="194" t="str">
        <f>IFERROR(VLOOKUP(B13,пр.взв!$B$7:$H$14,6,0),"")</f>
        <v/>
      </c>
      <c r="H13" s="195" t="str">
        <f>IFERROR(VLOOKUP(B13,пр.взв!$B$7:$H$14,7,0),"")</f>
        <v/>
      </c>
      <c r="I13" s="100"/>
      <c r="J13" s="204"/>
      <c r="K13" s="204"/>
      <c r="L13" s="75">
        <v>8</v>
      </c>
      <c r="M13" s="76" t="s">
        <v>72</v>
      </c>
      <c r="N13" s="81">
        <f>SUMIF($J$4:$J$7,"р.а",$K$4:$K$7)</f>
        <v>0</v>
      </c>
      <c r="O13" s="81">
        <f ca="1">SUMIF($I$8:$J$9,"р.а",$K$6:$K$9)</f>
        <v>0</v>
      </c>
      <c r="P13" s="82">
        <f>SUMIF($J$10:$J$13,"р.а",$K$10:$K$13)</f>
        <v>0</v>
      </c>
      <c r="Q13" s="82">
        <f>SUMIF($J$14:$J$17,"р.а",$K$14:$K$17)</f>
        <v>0</v>
      </c>
      <c r="S13" s="90"/>
      <c r="T13" s="87" t="str">
        <f>IF(OR(J16=J8,J16=J12,J16=J14)," ",J16)</f>
        <v xml:space="preserve"> </v>
      </c>
      <c r="U13" s="88"/>
      <c r="V13" s="88"/>
      <c r="W13" s="89"/>
      <c r="X13" s="89"/>
    </row>
    <row r="14" spans="1:41" ht="12.75" customHeight="1">
      <c r="A14" s="100"/>
      <c r="B14" s="100"/>
      <c r="C14" s="100"/>
      <c r="D14" s="100"/>
      <c r="E14" s="100"/>
      <c r="F14" s="100"/>
      <c r="G14" s="100"/>
      <c r="H14" s="100"/>
      <c r="I14" s="100"/>
      <c r="J14" s="204" t="str">
        <f>IFERROR(LEFT(F10,FIND(",",F10)-1),F10)</f>
        <v/>
      </c>
      <c r="K14" s="204">
        <v>1</v>
      </c>
      <c r="L14" s="74">
        <v>9</v>
      </c>
      <c r="M14" s="76" t="s">
        <v>73</v>
      </c>
      <c r="N14" s="81">
        <f>SUMIF($J$4:$J$7,"р.б",$K$4:$K$7)</f>
        <v>0</v>
      </c>
      <c r="O14" s="81">
        <f ca="1">SUMIF($I$8:$J$9,"р.б",$K$6:$K$9)</f>
        <v>0</v>
      </c>
      <c r="P14" s="82">
        <f>SUMIF($J$10:$J$13,"р.б",$K$10:$K$13)</f>
        <v>0</v>
      </c>
      <c r="Q14" s="82">
        <f>SUMIF($J$14:$J$17,"р.б",$K$14:$K$17)</f>
        <v>0</v>
      </c>
      <c r="S14" s="86"/>
      <c r="T14" s="87"/>
      <c r="U14" s="88"/>
      <c r="V14" s="88"/>
      <c r="W14" s="89"/>
      <c r="X14" s="89"/>
    </row>
    <row r="15" spans="1:41" ht="15.6">
      <c r="A15" s="100"/>
      <c r="B15" s="100"/>
      <c r="C15" s="100"/>
      <c r="D15" s="100"/>
      <c r="E15" s="100"/>
      <c r="F15" s="100"/>
      <c r="G15" s="100"/>
      <c r="H15" s="100"/>
      <c r="I15" s="100"/>
      <c r="J15" s="204"/>
      <c r="K15" s="204"/>
      <c r="L15" s="75">
        <v>10</v>
      </c>
      <c r="M15" s="76" t="s">
        <v>74</v>
      </c>
      <c r="N15" s="81">
        <f>SUMIF($J$4:$J$7,"р.х",$K$4:$K$7)</f>
        <v>0</v>
      </c>
      <c r="O15" s="81">
        <f ca="1">SUMIF($I$8:$J$9,"р.х",$K$6:$K$9)</f>
        <v>0</v>
      </c>
      <c r="P15" s="82">
        <f>SUMIF($J$10:$J$13,"р.х",$K$10:$K$13)</f>
        <v>0</v>
      </c>
      <c r="Q15" s="82">
        <f>SUMIF($J$14:$J$17,"р.х",$K$14:$K$17)</f>
        <v>0</v>
      </c>
      <c r="S15" s="90"/>
      <c r="T15" s="87"/>
      <c r="U15" s="88"/>
      <c r="V15" s="88"/>
      <c r="W15" s="89"/>
      <c r="X15" s="89"/>
    </row>
    <row r="16" spans="1:41" ht="12.75" customHeight="1">
      <c r="A16" s="100"/>
      <c r="B16" s="100"/>
      <c r="C16" s="100"/>
      <c r="D16" s="100"/>
      <c r="E16" s="100"/>
      <c r="F16" s="100"/>
      <c r="G16" s="100"/>
      <c r="H16" s="100"/>
      <c r="I16" s="100"/>
      <c r="J16" s="204" t="str">
        <f>IFERROR(LEFT(F11,FIND(",",F11)-1),F11)</f>
        <v/>
      </c>
      <c r="K16" s="204">
        <v>1</v>
      </c>
      <c r="L16" s="74">
        <v>11</v>
      </c>
      <c r="M16" s="124" t="s">
        <v>75</v>
      </c>
      <c r="N16" s="81">
        <f>SUMIF($J$4:$J$7,"том",$K$4:$K$7)</f>
        <v>0</v>
      </c>
      <c r="O16" s="81">
        <f ca="1">SUMIF($I$8:$J$9,"том",$K$6:$K$9)</f>
        <v>0</v>
      </c>
      <c r="P16" s="82">
        <f>SUMIF($J$10:$J$13,"том",$K$10:$K$13)</f>
        <v>0</v>
      </c>
      <c r="Q16" s="82">
        <f>SUMIF($J$14:$J$17,"том",$K$14:$K$17)</f>
        <v>0</v>
      </c>
      <c r="S16" s="86"/>
      <c r="T16" s="91"/>
      <c r="U16" s="88"/>
      <c r="V16" s="88"/>
      <c r="W16" s="89"/>
      <c r="X16" s="89"/>
    </row>
    <row r="17" spans="1:24" ht="16.2" thickBot="1">
      <c r="A17" s="100"/>
      <c r="B17" s="100"/>
      <c r="C17" s="100"/>
      <c r="D17" s="100"/>
      <c r="E17" s="100"/>
      <c r="F17" s="100"/>
      <c r="G17" s="100"/>
      <c r="H17" s="100"/>
      <c r="I17" s="100"/>
      <c r="J17" s="204"/>
      <c r="K17" s="204"/>
      <c r="L17" s="75">
        <v>12</v>
      </c>
      <c r="M17" s="124" t="s">
        <v>76</v>
      </c>
      <c r="N17" s="81">
        <f>SUMIF($J$4:$J$7,"Мос",$K$4:$K$7)</f>
        <v>0</v>
      </c>
      <c r="O17" s="81">
        <f ca="1">SUMIF($I$8:$J$9,"Мос",$K$6:$K$9)</f>
        <v>0</v>
      </c>
      <c r="P17" s="82">
        <f>SUMIF($J$10:$J$13,"Мос",$K$10:$K$13)</f>
        <v>0</v>
      </c>
      <c r="Q17" s="82">
        <f>SUMIF($J$14:$J$17,"Мос",$K$14:$K$17)</f>
        <v>0</v>
      </c>
      <c r="S17" s="90"/>
      <c r="T17" s="91"/>
      <c r="U17" s="88"/>
      <c r="V17" s="88"/>
      <c r="W17" s="89"/>
      <c r="X17" s="89"/>
    </row>
    <row r="18" spans="1:24" ht="12.75" customHeight="1" thickBot="1">
      <c r="A18" s="100"/>
      <c r="B18" s="100"/>
      <c r="C18" s="100"/>
      <c r="D18" s="100"/>
      <c r="E18" s="100"/>
      <c r="F18" s="100"/>
      <c r="G18" s="100"/>
      <c r="H18" s="100"/>
      <c r="I18" s="100"/>
      <c r="L18" s="83"/>
      <c r="M18" s="84"/>
      <c r="N18" s="85">
        <f>SUM(N6:N17)</f>
        <v>1</v>
      </c>
      <c r="O18" s="85">
        <f ca="1">SUM(O6:O17)</f>
        <v>0</v>
      </c>
      <c r="P18" s="85">
        <f>SUM(P6:P17)</f>
        <v>0</v>
      </c>
      <c r="Q18" s="85">
        <f>SUM(Q6:Q17)</f>
        <v>0</v>
      </c>
    </row>
    <row r="19" spans="1:24" ht="12.6" customHeight="1">
      <c r="A19" s="102"/>
      <c r="B19" s="102"/>
      <c r="C19" s="102"/>
      <c r="D19" s="102"/>
      <c r="E19" s="102"/>
      <c r="F19" s="102"/>
      <c r="G19" s="102"/>
      <c r="H19" s="102"/>
      <c r="I19" s="100"/>
    </row>
    <row r="20" spans="1:24" ht="12.75" customHeight="1">
      <c r="A20" s="103"/>
      <c r="B20" s="103"/>
      <c r="C20" s="103"/>
      <c r="D20" s="102"/>
      <c r="E20" s="102"/>
      <c r="F20" s="102"/>
      <c r="G20" s="102"/>
      <c r="H20" s="102"/>
      <c r="I20" s="100"/>
    </row>
    <row r="21" spans="1:24" ht="12.9" customHeight="1">
      <c r="A21" s="104" t="str">
        <f>[1]реквизиты!$A$6</f>
        <v>Гл. судья, судья ВК</v>
      </c>
      <c r="B21" s="103"/>
      <c r="C21" s="103"/>
      <c r="D21" s="102"/>
      <c r="E21" s="102"/>
      <c r="F21" s="102"/>
      <c r="G21" s="105" t="str">
        <f>[1]реквизиты!$G$6</f>
        <v>А.Д.Валиуллов</v>
      </c>
      <c r="H21" s="100"/>
      <c r="I21" s="100"/>
    </row>
    <row r="22" spans="1:24" ht="15.6">
      <c r="A22" s="103"/>
      <c r="B22" s="103"/>
      <c r="C22" s="103"/>
      <c r="D22" s="152"/>
      <c r="E22" s="102"/>
      <c r="F22" s="102"/>
      <c r="G22" s="131" t="str">
        <f>[1]реквизиты!$G$7</f>
        <v>/Татарстан/</v>
      </c>
      <c r="H22" s="100"/>
      <c r="I22" s="100"/>
    </row>
    <row r="23" spans="1:24" ht="15">
      <c r="A23" s="103"/>
      <c r="B23" s="103"/>
      <c r="C23" s="103"/>
      <c r="D23" s="102"/>
      <c r="E23" s="102"/>
      <c r="F23" s="102"/>
      <c r="G23" s="102"/>
      <c r="H23" s="100"/>
      <c r="I23" s="100"/>
    </row>
    <row r="24" spans="1:24" ht="15.6">
      <c r="A24" s="104" t="str">
        <f>пр.хода!B33</f>
        <v>Гл. секретарь, судья ВК</v>
      </c>
      <c r="B24" s="103"/>
      <c r="C24" s="103"/>
      <c r="D24" s="153"/>
      <c r="E24" s="102"/>
      <c r="F24" s="102"/>
      <c r="G24" s="105" t="str">
        <f>[1]реквизиты!$G$8</f>
        <v>В.И.Рожков</v>
      </c>
      <c r="H24" s="100"/>
      <c r="I24" s="100"/>
    </row>
    <row r="25" spans="1:24" ht="15.6">
      <c r="A25" s="103"/>
      <c r="B25" s="103"/>
      <c r="C25" s="103"/>
      <c r="D25" s="102"/>
      <c r="E25" s="102"/>
      <c r="F25" s="102"/>
      <c r="G25" s="131" t="str">
        <f>[1]реквизиты!$G$9</f>
        <v>/Саратовская/</v>
      </c>
      <c r="H25" s="102"/>
      <c r="I25" s="100"/>
    </row>
    <row r="26" spans="1:24">
      <c r="A26" s="102"/>
      <c r="B26" s="102"/>
      <c r="C26" s="102"/>
      <c r="D26" s="102"/>
      <c r="E26" s="102"/>
      <c r="F26" s="102"/>
      <c r="G26" s="102"/>
      <c r="H26" s="102"/>
      <c r="I26" s="100"/>
    </row>
    <row r="27" spans="1:24">
      <c r="A27" s="100"/>
      <c r="B27" s="100"/>
      <c r="C27" s="100"/>
      <c r="D27" s="100"/>
      <c r="E27" s="100"/>
      <c r="F27" s="100"/>
      <c r="G27" s="100"/>
      <c r="H27" s="100"/>
      <c r="I27" s="100"/>
    </row>
    <row r="28" spans="1:24">
      <c r="A28" s="100"/>
      <c r="B28" s="100"/>
      <c r="C28" s="100"/>
      <c r="D28" s="100"/>
      <c r="E28" s="100"/>
      <c r="F28" s="100"/>
      <c r="G28" s="100"/>
      <c r="H28" s="100"/>
      <c r="I28" s="100"/>
    </row>
    <row r="29" spans="1:24">
      <c r="A29" s="100"/>
      <c r="B29" s="100"/>
      <c r="C29" s="100"/>
      <c r="D29" s="100"/>
      <c r="E29" s="100"/>
      <c r="F29" s="100"/>
      <c r="G29" s="100"/>
      <c r="H29" s="100"/>
      <c r="I29" s="102"/>
    </row>
    <row r="30" spans="1:24">
      <c r="I30" s="102"/>
    </row>
    <row r="31" spans="1:24">
      <c r="I31" s="102"/>
    </row>
    <row r="32" spans="1:24">
      <c r="I32" s="102"/>
    </row>
    <row r="33" spans="9:9">
      <c r="I33" s="100"/>
    </row>
    <row r="34" spans="9:9">
      <c r="I34" s="100"/>
    </row>
    <row r="35" spans="9:9">
      <c r="I35" s="100"/>
    </row>
    <row r="36" spans="9:9">
      <c r="I36" s="100"/>
    </row>
    <row r="37" spans="9:9">
      <c r="I37" s="100"/>
    </row>
  </sheetData>
  <sheetProtection formatCells="0" formatColumns="0" formatRows="0" insertColumns="0" insertRows="0" insertHyperlinks="0" deleteColumns="0" deleteRows="0" sort="0" autoFilter="0" pivotTables="0"/>
  <mergeCells count="39">
    <mergeCell ref="AJ4:AJ5"/>
    <mergeCell ref="AK4:AK5"/>
    <mergeCell ref="AL4:AO4"/>
    <mergeCell ref="T2:X2"/>
    <mergeCell ref="S4:S5"/>
    <mergeCell ref="T4:T5"/>
    <mergeCell ref="U4:X4"/>
    <mergeCell ref="AC4:AC5"/>
    <mergeCell ref="AD4:AD5"/>
    <mergeCell ref="A4:A5"/>
    <mergeCell ref="B4:B5"/>
    <mergeCell ref="A1:H1"/>
    <mergeCell ref="H4:H5"/>
    <mergeCell ref="AE4:AH4"/>
    <mergeCell ref="N4:Q4"/>
    <mergeCell ref="B2:C2"/>
    <mergeCell ref="D2:H2"/>
    <mergeCell ref="B3:F3"/>
    <mergeCell ref="G3:H3"/>
    <mergeCell ref="C4:C5"/>
    <mergeCell ref="D4:D5"/>
    <mergeCell ref="E4:F5"/>
    <mergeCell ref="G4:G5"/>
    <mergeCell ref="J16:J17"/>
    <mergeCell ref="K16:K17"/>
    <mergeCell ref="L4:L5"/>
    <mergeCell ref="M4:M5"/>
    <mergeCell ref="J8:J9"/>
    <mergeCell ref="K8:K9"/>
    <mergeCell ref="J10:J11"/>
    <mergeCell ref="K10:K11"/>
    <mergeCell ref="J12:J13"/>
    <mergeCell ref="K12:K13"/>
    <mergeCell ref="J4:J5"/>
    <mergeCell ref="K4:K5"/>
    <mergeCell ref="J6:J7"/>
    <mergeCell ref="K6:K7"/>
    <mergeCell ref="J14:J15"/>
    <mergeCell ref="K14:K15"/>
  </mergeCells>
  <phoneticPr fontId="0" type="noConversion"/>
  <conditionalFormatting sqref="G6:G13">
    <cfRule type="cellIs" dxfId="0" priority="1" operator="equal">
      <formula>0</formula>
    </cfRule>
  </conditionalFormatting>
  <printOptions horizontalCentered="1"/>
  <pageMargins left="0.19685039370078741" right="0.19685039370078741" top="0.98425196850393704" bottom="0.98425196850393704" header="0.51181102362204722" footer="0.51181102362204722"/>
  <pageSetup paperSize="9" orientation="portrait" horizontalDpi="300" verticalDpi="300" r:id="rId1"/>
  <headerFooter alignWithMargins="0"/>
  <ignoredErrors>
    <ignoredError sqref="B7:H13 B6 D6:H6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5">
    <tabColor indexed="17"/>
  </sheetPr>
  <dimension ref="A1:I46"/>
  <sheetViews>
    <sheetView workbookViewId="0">
      <selection activeCell="F23" sqref="F23"/>
    </sheetView>
  </sheetViews>
  <sheetFormatPr defaultRowHeight="13.2"/>
  <cols>
    <col min="1" max="1" width="4.6640625" customWidth="1"/>
    <col min="2" max="2" width="5.44140625" customWidth="1"/>
    <col min="3" max="3" width="24.44140625" customWidth="1"/>
    <col min="4" max="4" width="8.5546875" customWidth="1"/>
    <col min="5" max="5" width="5.5546875" customWidth="1"/>
    <col min="6" max="6" width="12" customWidth="1"/>
    <col min="7" max="7" width="27.33203125" customWidth="1"/>
    <col min="8" max="8" width="7" customWidth="1"/>
    <col min="9" max="9" width="6.44140625" customWidth="1"/>
  </cols>
  <sheetData>
    <row r="1" spans="1:9" ht="33.75" customHeight="1" thickBot="1">
      <c r="A1" s="373" t="str">
        <f>пр.хода!C3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B1" s="374"/>
      <c r="C1" s="374"/>
      <c r="D1" s="374"/>
      <c r="E1" s="374"/>
      <c r="F1" s="374"/>
      <c r="G1" s="374"/>
      <c r="H1" s="374"/>
      <c r="I1" s="374"/>
    </row>
    <row r="2" spans="1:9" ht="27.75" customHeight="1">
      <c r="D2" s="37"/>
      <c r="E2" s="37"/>
      <c r="F2" s="43" t="str">
        <f>HYPERLINK(пр.взв!D4)</f>
        <v>В.к.  58   кг.</v>
      </c>
    </row>
    <row r="3" spans="1:9" ht="13.8">
      <c r="C3" s="7" t="s">
        <v>21</v>
      </c>
    </row>
    <row r="4" spans="1:9" ht="13.8">
      <c r="C4" s="35" t="s">
        <v>11</v>
      </c>
    </row>
    <row r="5" spans="1:9">
      <c r="A5" s="211" t="s">
        <v>12</v>
      </c>
      <c r="B5" s="211" t="s">
        <v>4</v>
      </c>
      <c r="C5" s="385" t="s">
        <v>5</v>
      </c>
      <c r="D5" s="211" t="s">
        <v>13</v>
      </c>
      <c r="E5" s="214" t="s">
        <v>14</v>
      </c>
      <c r="F5" s="215"/>
      <c r="G5" s="211" t="s">
        <v>15</v>
      </c>
      <c r="H5" s="211" t="s">
        <v>16</v>
      </c>
      <c r="I5" s="211" t="s">
        <v>17</v>
      </c>
    </row>
    <row r="6" spans="1:9">
      <c r="A6" s="212"/>
      <c r="B6" s="212"/>
      <c r="C6" s="212"/>
      <c r="D6" s="212"/>
      <c r="E6" s="216"/>
      <c r="F6" s="217"/>
      <c r="G6" s="212"/>
      <c r="H6" s="212"/>
      <c r="I6" s="212"/>
    </row>
    <row r="7" spans="1:9">
      <c r="A7" s="382"/>
      <c r="B7" s="386">
        <f>пр.хода!C22</f>
        <v>0</v>
      </c>
      <c r="C7" s="379" t="str">
        <f>IFERROR(VLOOKUP(B7,пр.взв!$B$7:$H$14,2,0),"")</f>
        <v/>
      </c>
      <c r="D7" s="375" t="str">
        <f>IFERROR(VLOOKUP(B7,пр.взв!$B$7:$H$14,3,0),"")</f>
        <v/>
      </c>
      <c r="E7" s="383" t="str">
        <f>IFERROR(VLOOKUP(B7,пр.взв!$B$7:$H$14,4,0),"")</f>
        <v/>
      </c>
      <c r="F7" s="375" t="str">
        <f>IFERROR(VLOOKUP(B7,пр.взв!$B$7:$H$14,5,0),"")</f>
        <v/>
      </c>
      <c r="G7" s="389"/>
      <c r="H7" s="304"/>
      <c r="I7" s="211"/>
    </row>
    <row r="8" spans="1:9">
      <c r="A8" s="382"/>
      <c r="B8" s="211"/>
      <c r="C8" s="380"/>
      <c r="D8" s="376"/>
      <c r="E8" s="384"/>
      <c r="F8" s="381"/>
      <c r="G8" s="389"/>
      <c r="H8" s="304"/>
      <c r="I8" s="211"/>
    </row>
    <row r="9" spans="1:9" ht="12.6" customHeight="1">
      <c r="A9" s="377"/>
      <c r="B9" s="386" t="str">
        <f>пр.хода!B27</f>
        <v/>
      </c>
      <c r="C9" s="379" t="str">
        <f>IFERROR(VLOOKUP(B9,пр.взв!$B$7:$H$14,2,0),"")</f>
        <v/>
      </c>
      <c r="D9" s="375" t="str">
        <f>IFERROR(VLOOKUP(B9,пр.взв!$B$7:$H$14,3,0),"")</f>
        <v/>
      </c>
      <c r="E9" s="375" t="str">
        <f>IFERROR(VLOOKUP(B9,пр.взв!$B$7:$H$14,4,0),"")</f>
        <v/>
      </c>
      <c r="F9" s="375" t="str">
        <f>IFERROR(VLOOKUP(B9,пр.взв!$B$7:$H$14,5,0),"")</f>
        <v/>
      </c>
      <c r="G9" s="389"/>
      <c r="H9" s="211"/>
      <c r="I9" s="211"/>
    </row>
    <row r="10" spans="1:9" ht="12.6" customHeight="1">
      <c r="A10" s="377"/>
      <c r="B10" s="211"/>
      <c r="C10" s="380"/>
      <c r="D10" s="376"/>
      <c r="E10" s="376"/>
      <c r="F10" s="376"/>
      <c r="G10" s="389"/>
      <c r="H10" s="211"/>
      <c r="I10" s="211"/>
    </row>
    <row r="11" spans="1:9" ht="29.25" customHeight="1">
      <c r="A11" s="6" t="s">
        <v>19</v>
      </c>
      <c r="B11" s="6"/>
    </row>
    <row r="12" spans="1:9" ht="20.100000000000001" customHeight="1">
      <c r="B12" s="6" t="s">
        <v>0</v>
      </c>
      <c r="C12" s="36"/>
      <c r="D12" s="36"/>
      <c r="E12" s="36"/>
      <c r="F12" s="36"/>
      <c r="G12" s="36"/>
      <c r="H12" s="36"/>
      <c r="I12" s="36"/>
    </row>
    <row r="13" spans="1:9" ht="20.100000000000001" customHeight="1">
      <c r="B13" s="6" t="s">
        <v>1</v>
      </c>
      <c r="C13" s="36"/>
      <c r="D13" s="36"/>
      <c r="E13" s="36"/>
      <c r="F13" s="36"/>
      <c r="G13" s="36"/>
      <c r="H13" s="36"/>
      <c r="I13" s="36"/>
    </row>
    <row r="14" spans="1:9" ht="20.100000000000001" customHeight="1"/>
    <row r="15" spans="1:9" ht="20.100000000000001" customHeight="1">
      <c r="C15" s="7" t="s">
        <v>21</v>
      </c>
    </row>
    <row r="16" spans="1:9" ht="24" customHeight="1">
      <c r="C16" s="35" t="s">
        <v>20</v>
      </c>
      <c r="F16" s="43" t="str">
        <f>HYPERLINK(пр.взв!D4)</f>
        <v>В.к.  58   кг.</v>
      </c>
    </row>
    <row r="17" spans="1:9">
      <c r="A17" s="211" t="s">
        <v>12</v>
      </c>
      <c r="B17" s="211" t="s">
        <v>4</v>
      </c>
      <c r="C17" s="385" t="s">
        <v>5</v>
      </c>
      <c r="D17" s="211" t="s">
        <v>13</v>
      </c>
      <c r="E17" s="214" t="s">
        <v>14</v>
      </c>
      <c r="F17" s="215"/>
      <c r="G17" s="211" t="s">
        <v>15</v>
      </c>
      <c r="H17" s="211" t="s">
        <v>16</v>
      </c>
      <c r="I17" s="211" t="s">
        <v>17</v>
      </c>
    </row>
    <row r="18" spans="1:9">
      <c r="A18" s="212"/>
      <c r="B18" s="212"/>
      <c r="C18" s="212"/>
      <c r="D18" s="212"/>
      <c r="E18" s="216"/>
      <c r="F18" s="217"/>
      <c r="G18" s="212"/>
      <c r="H18" s="212"/>
      <c r="I18" s="212"/>
    </row>
    <row r="19" spans="1:9" ht="12.75" customHeight="1">
      <c r="A19" s="382"/>
      <c r="B19" s="378">
        <f>пр.хода!R22</f>
        <v>0</v>
      </c>
      <c r="C19" s="379" t="str">
        <f>IFERROR(VLOOKUP(B19,пр.взв!$B$7:$H$14,2,0),"")</f>
        <v/>
      </c>
      <c r="D19" s="375" t="str">
        <f>IFERROR(VLOOKUP(B19,пр.взв!$B$7:$H$14,3,0),"")</f>
        <v/>
      </c>
      <c r="E19" s="383" t="str">
        <f>IFERROR(VLOOKUP(B19,пр.взв!$B$7:$H$14,4,0),"")</f>
        <v/>
      </c>
      <c r="F19" s="375" t="str">
        <f>IFERROR(VLOOKUP(B19,пр.взв!$B$7:$H$14,5,0),"")</f>
        <v/>
      </c>
      <c r="G19" s="323"/>
      <c r="H19" s="304"/>
      <c r="I19" s="211"/>
    </row>
    <row r="20" spans="1:9" ht="12.6" customHeight="1">
      <c r="A20" s="382"/>
      <c r="B20" s="211"/>
      <c r="C20" s="380"/>
      <c r="D20" s="376"/>
      <c r="E20" s="384"/>
      <c r="F20" s="381"/>
      <c r="G20" s="323"/>
      <c r="H20" s="304"/>
      <c r="I20" s="211"/>
    </row>
    <row r="21" spans="1:9" ht="12.75" customHeight="1">
      <c r="A21" s="377"/>
      <c r="B21" s="386" t="str">
        <f>пр.хода!S27</f>
        <v/>
      </c>
      <c r="C21" s="379" t="str">
        <f>IFERROR(VLOOKUP(B21,пр.взв!$B$7:$H$14,2,0),"")</f>
        <v/>
      </c>
      <c r="D21" s="375" t="str">
        <f>IFERROR(VLOOKUP(B21,пр.взв!$B$7:$H$14,3,0),"")</f>
        <v/>
      </c>
      <c r="E21" s="375" t="str">
        <f>IFERROR(VLOOKUP(B21,пр.взв!$B$7:$H$14,4,0),"")</f>
        <v/>
      </c>
      <c r="F21" s="375" t="str">
        <f>IFERROR(VLOOKUP(B21,пр.взв!$B$7:$H$14,5,0),"")</f>
        <v/>
      </c>
      <c r="G21" s="323"/>
      <c r="H21" s="211"/>
      <c r="I21" s="211"/>
    </row>
    <row r="22" spans="1:9" ht="12.6" customHeight="1">
      <c r="A22" s="377"/>
      <c r="B22" s="211"/>
      <c r="C22" s="380"/>
      <c r="D22" s="376"/>
      <c r="E22" s="376"/>
      <c r="F22" s="376"/>
      <c r="G22" s="323"/>
      <c r="H22" s="211"/>
      <c r="I22" s="211"/>
    </row>
    <row r="23" spans="1:9" ht="29.25" customHeight="1">
      <c r="A23" s="6" t="s">
        <v>19</v>
      </c>
      <c r="B23" s="6"/>
    </row>
    <row r="24" spans="1:9" ht="20.100000000000001" customHeight="1">
      <c r="B24" s="6" t="s">
        <v>0</v>
      </c>
      <c r="C24" s="36"/>
      <c r="D24" s="36"/>
      <c r="E24" s="36"/>
      <c r="F24" s="36"/>
      <c r="G24" s="36"/>
      <c r="H24" s="36"/>
      <c r="I24" s="36"/>
    </row>
    <row r="25" spans="1:9" ht="20.100000000000001" customHeight="1">
      <c r="B25" s="6" t="s">
        <v>1</v>
      </c>
      <c r="C25" s="36"/>
      <c r="D25" s="36"/>
      <c r="E25" s="36"/>
      <c r="F25" s="36"/>
      <c r="G25" s="36"/>
      <c r="H25" s="36"/>
      <c r="I25" s="36"/>
    </row>
    <row r="26" spans="1:9" ht="20.100000000000001" customHeight="1"/>
    <row r="27" spans="1:9" ht="20.100000000000001" customHeight="1"/>
    <row r="28" spans="1:9" ht="7.5" customHeight="1"/>
    <row r="29" spans="1:9" ht="23.25" customHeight="1">
      <c r="C29" s="38" t="s">
        <v>18</v>
      </c>
      <c r="F29" s="43" t="str">
        <f>HYPERLINK(пр.взв!D4)</f>
        <v>В.к.  58   кг.</v>
      </c>
    </row>
    <row r="30" spans="1:9">
      <c r="A30" s="211" t="s">
        <v>12</v>
      </c>
      <c r="B30" s="211" t="s">
        <v>4</v>
      </c>
      <c r="C30" s="385" t="s">
        <v>5</v>
      </c>
      <c r="D30" s="211" t="s">
        <v>13</v>
      </c>
      <c r="E30" s="214" t="s">
        <v>14</v>
      </c>
      <c r="F30" s="215"/>
      <c r="G30" s="211" t="s">
        <v>15</v>
      </c>
      <c r="H30" s="211" t="s">
        <v>16</v>
      </c>
      <c r="I30" s="211" t="s">
        <v>17</v>
      </c>
    </row>
    <row r="31" spans="1:9">
      <c r="A31" s="212"/>
      <c r="B31" s="212"/>
      <c r="C31" s="212"/>
      <c r="D31" s="212"/>
      <c r="E31" s="387"/>
      <c r="F31" s="388"/>
      <c r="G31" s="212"/>
      <c r="H31" s="212"/>
      <c r="I31" s="212"/>
    </row>
    <row r="32" spans="1:9" ht="12.75" customHeight="1">
      <c r="A32" s="382"/>
      <c r="B32" s="378">
        <f>пр.хода!G11</f>
        <v>0</v>
      </c>
      <c r="C32" s="379" t="str">
        <f>IFERROR(VLOOKUP(B32,пр.взв!$B$7:$H$14,2,0),"")</f>
        <v/>
      </c>
      <c r="D32" s="375" t="str">
        <f>IFERROR(VLOOKUP(B32,пр.взв!$B$7:$H$14,3,0),"")</f>
        <v/>
      </c>
      <c r="E32" s="383" t="str">
        <f>IFERROR(VLOOKUP(B32,пр.взв!$B$7:$H$14,4,0),"")</f>
        <v/>
      </c>
      <c r="F32" s="375" t="str">
        <f>IFERROR(VLOOKUP(B32,пр.взв!$B$7:$H$14,5,0),"")</f>
        <v/>
      </c>
      <c r="G32" s="323"/>
      <c r="H32" s="304"/>
      <c r="I32" s="211"/>
    </row>
    <row r="33" spans="1:9" ht="12.6" customHeight="1">
      <c r="A33" s="382"/>
      <c r="B33" s="211"/>
      <c r="C33" s="380"/>
      <c r="D33" s="376"/>
      <c r="E33" s="384"/>
      <c r="F33" s="381"/>
      <c r="G33" s="323"/>
      <c r="H33" s="304"/>
      <c r="I33" s="211"/>
    </row>
    <row r="34" spans="1:9" ht="12.75" customHeight="1">
      <c r="A34" s="377"/>
      <c r="B34" s="378">
        <f>пр.хода!O11</f>
        <v>0</v>
      </c>
      <c r="C34" s="379" t="str">
        <f>IFERROR(VLOOKUP(B34,пр.взв!$B$7:$H$14,2,0),"")</f>
        <v/>
      </c>
      <c r="D34" s="375" t="str">
        <f>IFERROR(VLOOKUP(B34,пр.взв!$B$7:$H$14,3,0),"")</f>
        <v/>
      </c>
      <c r="E34" s="375" t="str">
        <f>IFERROR(VLOOKUP(B34,пр.взв!$B$7:$H$14,4,0),"")</f>
        <v/>
      </c>
      <c r="F34" s="375" t="str">
        <f>IFERROR(VLOOKUP(B34,пр.взв!$B$7:$H$14,5,0),"")</f>
        <v/>
      </c>
      <c r="G34" s="323"/>
      <c r="H34" s="211"/>
      <c r="I34" s="211"/>
    </row>
    <row r="35" spans="1:9" ht="12.6" customHeight="1">
      <c r="A35" s="377"/>
      <c r="B35" s="211"/>
      <c r="C35" s="380"/>
      <c r="D35" s="376"/>
      <c r="E35" s="376"/>
      <c r="F35" s="376"/>
      <c r="G35" s="323"/>
      <c r="H35" s="211"/>
      <c r="I35" s="211"/>
    </row>
    <row r="36" spans="1:9" ht="29.25" customHeight="1">
      <c r="A36" s="6" t="s">
        <v>19</v>
      </c>
      <c r="B36" s="6"/>
    </row>
    <row r="37" spans="1:9" ht="20.100000000000001" customHeight="1">
      <c r="B37" s="6" t="s">
        <v>0</v>
      </c>
      <c r="C37" s="36"/>
      <c r="D37" s="36"/>
      <c r="E37" s="36"/>
      <c r="F37" s="36"/>
      <c r="G37" s="36"/>
      <c r="H37" s="36"/>
      <c r="I37" s="36"/>
    </row>
    <row r="38" spans="1:9" ht="20.100000000000001" customHeight="1">
      <c r="B38" s="6" t="s">
        <v>1</v>
      </c>
      <c r="C38" s="36"/>
      <c r="D38" s="36"/>
      <c r="E38" s="36"/>
      <c r="F38" s="36"/>
      <c r="G38" s="36"/>
      <c r="H38" s="36"/>
      <c r="I38" s="36"/>
    </row>
    <row r="39" spans="1:9" ht="20.100000000000001" customHeight="1"/>
    <row r="40" spans="1:9" ht="20.100000000000001" customHeight="1"/>
    <row r="41" spans="1:9" ht="20.100000000000001" customHeight="1"/>
    <row r="42" spans="1:9" ht="20.100000000000001" customHeight="1">
      <c r="A42" s="8"/>
      <c r="B42" s="6"/>
      <c r="C42" s="6"/>
      <c r="D42" s="6"/>
      <c r="E42" s="6"/>
      <c r="G42" s="39"/>
      <c r="H42" s="10"/>
    </row>
    <row r="43" spans="1:9" ht="20.100000000000001" customHeight="1">
      <c r="A43" s="6"/>
      <c r="B43" s="6"/>
      <c r="C43" s="6"/>
      <c r="D43" s="6"/>
      <c r="E43" s="6"/>
      <c r="G43" s="56"/>
    </row>
    <row r="44" spans="1:9" ht="20.100000000000001" customHeight="1">
      <c r="A44" s="9"/>
      <c r="C44" s="6"/>
      <c r="D44" s="6"/>
      <c r="E44" s="6"/>
      <c r="F44" s="9"/>
      <c r="G44" s="39"/>
      <c r="H44" s="12"/>
    </row>
    <row r="45" spans="1:9" ht="20.100000000000001" customHeight="1"/>
    <row r="46" spans="1:9" ht="20.100000000000001" customHeight="1"/>
  </sheetData>
  <mergeCells count="79">
    <mergeCell ref="I5:I6"/>
    <mergeCell ref="E5:F6"/>
    <mergeCell ref="E34:E35"/>
    <mergeCell ref="E30:F31"/>
    <mergeCell ref="E17:F18"/>
    <mergeCell ref="E19:E20"/>
    <mergeCell ref="E21:E22"/>
    <mergeCell ref="F19:F20"/>
    <mergeCell ref="F21:F22"/>
    <mergeCell ref="G7:G8"/>
    <mergeCell ref="H5:H6"/>
    <mergeCell ref="H7:H8"/>
    <mergeCell ref="I7:I8"/>
    <mergeCell ref="F7:F8"/>
    <mergeCell ref="G9:G10"/>
    <mergeCell ref="H9:H10"/>
    <mergeCell ref="A5:A6"/>
    <mergeCell ref="B5:B6"/>
    <mergeCell ref="C5:C6"/>
    <mergeCell ref="D5:D6"/>
    <mergeCell ref="G5:G6"/>
    <mergeCell ref="A7:A8"/>
    <mergeCell ref="B7:B8"/>
    <mergeCell ref="C7:C8"/>
    <mergeCell ref="D7:D8"/>
    <mergeCell ref="E7:E8"/>
    <mergeCell ref="I9:I10"/>
    <mergeCell ref="A9:A10"/>
    <mergeCell ref="B9:B10"/>
    <mergeCell ref="C9:C10"/>
    <mergeCell ref="D9:D10"/>
    <mergeCell ref="E9:E10"/>
    <mergeCell ref="F9:F10"/>
    <mergeCell ref="G17:G18"/>
    <mergeCell ref="H17:H18"/>
    <mergeCell ref="I17:I18"/>
    <mergeCell ref="A17:A18"/>
    <mergeCell ref="B17:B18"/>
    <mergeCell ref="C17:C18"/>
    <mergeCell ref="D17:D18"/>
    <mergeCell ref="G19:G20"/>
    <mergeCell ref="H19:H20"/>
    <mergeCell ref="I19:I20"/>
    <mergeCell ref="A19:A20"/>
    <mergeCell ref="B19:B20"/>
    <mergeCell ref="C19:C20"/>
    <mergeCell ref="D19:D20"/>
    <mergeCell ref="H21:H22"/>
    <mergeCell ref="I21:I22"/>
    <mergeCell ref="A21:A22"/>
    <mergeCell ref="B21:B22"/>
    <mergeCell ref="C21:C22"/>
    <mergeCell ref="D21:D22"/>
    <mergeCell ref="A30:A31"/>
    <mergeCell ref="B30:B31"/>
    <mergeCell ref="C30:C31"/>
    <mergeCell ref="D30:D31"/>
    <mergeCell ref="G21:G22"/>
    <mergeCell ref="D32:D33"/>
    <mergeCell ref="E32:E33"/>
    <mergeCell ref="G30:G31"/>
    <mergeCell ref="H30:H31"/>
    <mergeCell ref="I30:I31"/>
    <mergeCell ref="A1:I1"/>
    <mergeCell ref="F34:F35"/>
    <mergeCell ref="G34:G35"/>
    <mergeCell ref="H34:H35"/>
    <mergeCell ref="I34:I35"/>
    <mergeCell ref="A34:A35"/>
    <mergeCell ref="B34:B35"/>
    <mergeCell ref="C34:C35"/>
    <mergeCell ref="D34:D35"/>
    <mergeCell ref="F32:F33"/>
    <mergeCell ref="G32:G33"/>
    <mergeCell ref="H32:H33"/>
    <mergeCell ref="I32:I33"/>
    <mergeCell ref="A32:A33"/>
    <mergeCell ref="B32:B33"/>
    <mergeCell ref="C32:C33"/>
  </mergeCells>
  <phoneticPr fontId="10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Лист6">
    <tabColor indexed="15"/>
  </sheetPr>
  <dimension ref="A1:J44"/>
  <sheetViews>
    <sheetView workbookViewId="0">
      <selection activeCell="K11" sqref="K11"/>
    </sheetView>
  </sheetViews>
  <sheetFormatPr defaultRowHeight="13.2"/>
  <cols>
    <col min="1" max="1" width="8.33203125" customWidth="1"/>
    <col min="8" max="8" width="24.109375" customWidth="1"/>
  </cols>
  <sheetData>
    <row r="1" spans="1:10" ht="38.25" customHeight="1" thickBot="1">
      <c r="A1" s="390" t="str">
        <f>пр.взв!B2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B1" s="391"/>
      <c r="C1" s="391"/>
      <c r="D1" s="391"/>
      <c r="E1" s="391"/>
      <c r="F1" s="391"/>
      <c r="G1" s="391"/>
      <c r="H1" s="392"/>
    </row>
    <row r="2" spans="1:10">
      <c r="A2" s="393" t="str">
        <f>пр.взв!A3</f>
        <v>26-29.08.2022г.                                              г.Казань</v>
      </c>
      <c r="B2" s="393"/>
      <c r="C2" s="393"/>
      <c r="D2" s="393"/>
      <c r="E2" s="393"/>
      <c r="F2" s="393"/>
      <c r="G2" s="393"/>
      <c r="H2" s="393"/>
    </row>
    <row r="3" spans="1:10" ht="18" thickBot="1">
      <c r="A3" s="394" t="s">
        <v>45</v>
      </c>
      <c r="B3" s="394"/>
      <c r="C3" s="394"/>
      <c r="D3" s="394"/>
      <c r="E3" s="394"/>
      <c r="F3" s="394"/>
      <c r="G3" s="394"/>
      <c r="H3" s="394"/>
    </row>
    <row r="4" spans="1:10" ht="18" thickBot="1">
      <c r="B4" s="62"/>
      <c r="C4" s="63"/>
      <c r="D4" s="395" t="str">
        <f>пр.взв!D4</f>
        <v>В.к.  58   кг.</v>
      </c>
      <c r="E4" s="396"/>
      <c r="F4" s="397"/>
      <c r="G4" s="63"/>
      <c r="H4" s="63"/>
    </row>
    <row r="5" spans="1:10" ht="18" thickBot="1">
      <c r="A5" s="63"/>
      <c r="B5" s="63"/>
      <c r="C5" s="63"/>
      <c r="D5" s="63"/>
      <c r="E5" s="63"/>
      <c r="F5" s="63"/>
      <c r="G5" s="63"/>
      <c r="H5" s="63"/>
    </row>
    <row r="6" spans="1:10" ht="17.399999999999999">
      <c r="A6" s="398" t="s">
        <v>46</v>
      </c>
      <c r="B6" s="401" t="str">
        <f>IFERROR(VLOOKUP(J6,пр.взв!$B$7:$H$14,2,0),"")</f>
        <v/>
      </c>
      <c r="C6" s="401"/>
      <c r="D6" s="401"/>
      <c r="E6" s="401"/>
      <c r="F6" s="401"/>
      <c r="G6" s="401"/>
      <c r="H6" s="403" t="str">
        <f>IFERROR(VLOOKUP(J6,пр.взв!$B$7:$H$14,3,0),"")</f>
        <v/>
      </c>
      <c r="I6" s="63"/>
      <c r="J6" s="64">
        <f>Ит.пр!B6</f>
        <v>0</v>
      </c>
    </row>
    <row r="7" spans="1:10" ht="17.399999999999999">
      <c r="A7" s="399"/>
      <c r="B7" s="402"/>
      <c r="C7" s="402"/>
      <c r="D7" s="402"/>
      <c r="E7" s="402"/>
      <c r="F7" s="402"/>
      <c r="G7" s="402"/>
      <c r="H7" s="404"/>
      <c r="I7" s="63"/>
      <c r="J7" s="64"/>
    </row>
    <row r="8" spans="1:10" ht="17.399999999999999">
      <c r="A8" s="399"/>
      <c r="B8" s="405" t="str">
        <f>IFERROR(VLOOKUP(J6,пр.взв!$B$7:$H$14,4,0),"")</f>
        <v/>
      </c>
      <c r="C8" s="405"/>
      <c r="D8" s="405"/>
      <c r="E8" s="405" t="str">
        <f>IFERROR(VLOOKUP(J6,пр.взв!$B$7:$H$14,5,0),"")</f>
        <v/>
      </c>
      <c r="F8" s="405"/>
      <c r="G8" s="405"/>
      <c r="H8" s="407"/>
      <c r="I8" s="63"/>
      <c r="J8" s="64"/>
    </row>
    <row r="9" spans="1:10" ht="18" thickBot="1">
      <c r="A9" s="400"/>
      <c r="B9" s="406"/>
      <c r="C9" s="406"/>
      <c r="D9" s="406"/>
      <c r="E9" s="406"/>
      <c r="F9" s="406"/>
      <c r="G9" s="406"/>
      <c r="H9" s="408"/>
      <c r="I9" s="63"/>
      <c r="J9" s="64"/>
    </row>
    <row r="10" spans="1:10" ht="18" thickBot="1">
      <c r="A10" s="63"/>
      <c r="B10" s="63"/>
      <c r="C10" s="63"/>
      <c r="D10" s="63"/>
      <c r="E10" s="63"/>
      <c r="F10" s="63"/>
      <c r="G10" s="63"/>
      <c r="H10" s="63"/>
      <c r="I10" s="63"/>
      <c r="J10" s="64"/>
    </row>
    <row r="11" spans="1:10" ht="18" customHeight="1">
      <c r="A11" s="413" t="s">
        <v>47</v>
      </c>
      <c r="B11" s="401" t="str">
        <f>IFERROR(VLOOKUP(J11,пр.взв!$B$7:$H$14,2,0),"")</f>
        <v/>
      </c>
      <c r="C11" s="401"/>
      <c r="D11" s="401"/>
      <c r="E11" s="401"/>
      <c r="F11" s="401"/>
      <c r="G11" s="401"/>
      <c r="H11" s="403" t="str">
        <f>IFERROR(VLOOKUP(J11,пр.взв!$B$7:$H$14,3,0),"")</f>
        <v/>
      </c>
      <c r="I11" s="63"/>
      <c r="J11" s="64" t="str">
        <f>Ит.пр!B7</f>
        <v/>
      </c>
    </row>
    <row r="12" spans="1:10" ht="18" customHeight="1">
      <c r="A12" s="414"/>
      <c r="B12" s="402"/>
      <c r="C12" s="402"/>
      <c r="D12" s="402"/>
      <c r="E12" s="402"/>
      <c r="F12" s="402"/>
      <c r="G12" s="402"/>
      <c r="H12" s="404"/>
      <c r="I12" s="63"/>
      <c r="J12" s="64"/>
    </row>
    <row r="13" spans="1:10" ht="17.399999999999999">
      <c r="A13" s="414"/>
      <c r="B13" s="405" t="str">
        <f>IFERROR(VLOOKUP(J11,пр.взв!$B$7:$H$14,4,0),"")</f>
        <v/>
      </c>
      <c r="C13" s="405"/>
      <c r="D13" s="405"/>
      <c r="E13" s="405" t="str">
        <f>IFERROR(VLOOKUP(J11,пр.взв!$B$7:$H$14,5,0),"")</f>
        <v/>
      </c>
      <c r="F13" s="405"/>
      <c r="G13" s="405"/>
      <c r="H13" s="407"/>
      <c r="I13" s="63"/>
      <c r="J13" s="64"/>
    </row>
    <row r="14" spans="1:10" ht="18" thickBot="1">
      <c r="A14" s="415"/>
      <c r="B14" s="406"/>
      <c r="C14" s="406"/>
      <c r="D14" s="406"/>
      <c r="E14" s="406"/>
      <c r="F14" s="406"/>
      <c r="G14" s="406"/>
      <c r="H14" s="408"/>
      <c r="I14" s="63"/>
      <c r="J14" s="64"/>
    </row>
    <row r="15" spans="1:10" ht="18" thickBot="1">
      <c r="A15" s="63"/>
      <c r="B15" s="63"/>
      <c r="C15" s="63"/>
      <c r="D15" s="63"/>
      <c r="E15" s="63"/>
      <c r="F15" s="63"/>
      <c r="G15" s="63"/>
      <c r="H15" s="63"/>
      <c r="I15" s="63"/>
      <c r="J15" s="64"/>
    </row>
    <row r="16" spans="1:10" ht="18" customHeight="1">
      <c r="A16" s="416" t="s">
        <v>48</v>
      </c>
      <c r="B16" s="401" t="str">
        <f>IFERROR(VLOOKUP(J16,пр.взв!$B$7:$H$14,2,0),"")</f>
        <v/>
      </c>
      <c r="C16" s="401"/>
      <c r="D16" s="401"/>
      <c r="E16" s="401"/>
      <c r="F16" s="401"/>
      <c r="G16" s="401"/>
      <c r="H16" s="403" t="str">
        <f>IFERROR(VLOOKUP(J16,пр.взв!$B$7:$H$14,3,0),"")</f>
        <v/>
      </c>
      <c r="I16" s="63"/>
      <c r="J16" s="64">
        <f>Ит.пр!B8</f>
        <v>0</v>
      </c>
    </row>
    <row r="17" spans="1:10" ht="18" customHeight="1">
      <c r="A17" s="417"/>
      <c r="B17" s="402"/>
      <c r="C17" s="402"/>
      <c r="D17" s="402"/>
      <c r="E17" s="402"/>
      <c r="F17" s="402"/>
      <c r="G17" s="402"/>
      <c r="H17" s="404"/>
      <c r="I17" s="63"/>
      <c r="J17" s="64"/>
    </row>
    <row r="18" spans="1:10" ht="17.399999999999999">
      <c r="A18" s="417"/>
      <c r="B18" s="405" t="str">
        <f>IFERROR(VLOOKUP(J16,пр.взв!$B$7:$H$14,4,0),"")</f>
        <v/>
      </c>
      <c r="C18" s="405"/>
      <c r="D18" s="405"/>
      <c r="E18" s="405" t="str">
        <f>IFERROR(VLOOKUP(J16,пр.взв!$B$7:$H$14,5,0),"")</f>
        <v/>
      </c>
      <c r="F18" s="405"/>
      <c r="G18" s="405"/>
      <c r="H18" s="407"/>
      <c r="I18" s="63"/>
      <c r="J18" s="64"/>
    </row>
    <row r="19" spans="1:10" ht="18" thickBot="1">
      <c r="A19" s="418"/>
      <c r="B19" s="406"/>
      <c r="C19" s="406"/>
      <c r="D19" s="406"/>
      <c r="E19" s="406"/>
      <c r="F19" s="406"/>
      <c r="G19" s="406"/>
      <c r="H19" s="408"/>
      <c r="I19" s="63"/>
      <c r="J19" s="64"/>
    </row>
    <row r="20" spans="1:10" ht="18" thickBot="1">
      <c r="A20" s="63"/>
      <c r="B20" s="63"/>
      <c r="C20" s="63"/>
      <c r="D20" s="63"/>
      <c r="E20" s="63"/>
      <c r="F20" s="63"/>
      <c r="G20" s="63"/>
      <c r="H20" s="63"/>
      <c r="I20" s="63"/>
      <c r="J20" s="64"/>
    </row>
    <row r="21" spans="1:10" ht="18" customHeight="1">
      <c r="A21" s="416" t="s">
        <v>48</v>
      </c>
      <c r="B21" s="401" t="str">
        <f>IFERROR(VLOOKUP(J21,пр.взв!$B$7:$H$14,2,0),"")</f>
        <v/>
      </c>
      <c r="C21" s="401"/>
      <c r="D21" s="401"/>
      <c r="E21" s="401"/>
      <c r="F21" s="401"/>
      <c r="G21" s="401"/>
      <c r="H21" s="403" t="str">
        <f>IFERROR(VLOOKUP(J21,пр.взв!$B$7:$H$14,3,0),"")</f>
        <v/>
      </c>
      <c r="I21" s="63"/>
      <c r="J21" s="64">
        <f>Ит.пр!B9</f>
        <v>0</v>
      </c>
    </row>
    <row r="22" spans="1:10" ht="18" customHeight="1">
      <c r="A22" s="417"/>
      <c r="B22" s="402"/>
      <c r="C22" s="402"/>
      <c r="D22" s="402"/>
      <c r="E22" s="402"/>
      <c r="F22" s="402"/>
      <c r="G22" s="402"/>
      <c r="H22" s="404"/>
      <c r="I22" s="63"/>
      <c r="J22" s="64"/>
    </row>
    <row r="23" spans="1:10" ht="17.399999999999999">
      <c r="A23" s="417"/>
      <c r="B23" s="405" t="str">
        <f>IFERROR(VLOOKUP(J21,пр.взв!$B$7:$H$14,4,0),"")</f>
        <v/>
      </c>
      <c r="C23" s="405"/>
      <c r="D23" s="405"/>
      <c r="E23" s="405" t="str">
        <f>IFERROR(VLOOKUP(J21,пр.взв!$B$7:$H$14,5,0),"")</f>
        <v/>
      </c>
      <c r="F23" s="405"/>
      <c r="G23" s="405"/>
      <c r="H23" s="407"/>
      <c r="I23" s="63"/>
    </row>
    <row r="24" spans="1:10" ht="18" thickBot="1">
      <c r="A24" s="418"/>
      <c r="B24" s="406"/>
      <c r="C24" s="406"/>
      <c r="D24" s="406"/>
      <c r="E24" s="406"/>
      <c r="F24" s="406"/>
      <c r="G24" s="406"/>
      <c r="H24" s="408"/>
      <c r="I24" s="63"/>
    </row>
    <row r="25" spans="1:10" ht="17.399999999999999">
      <c r="A25" s="63"/>
      <c r="B25" s="63"/>
      <c r="C25" s="63"/>
      <c r="D25" s="63"/>
      <c r="E25" s="63"/>
      <c r="F25" s="63"/>
      <c r="G25" s="63"/>
      <c r="H25" s="63"/>
    </row>
    <row r="26" spans="1:10" ht="17.399999999999999">
      <c r="A26" s="63" t="s">
        <v>49</v>
      </c>
      <c r="B26" s="63"/>
      <c r="C26" s="63"/>
      <c r="D26" s="63"/>
      <c r="E26" s="63"/>
      <c r="F26" s="63"/>
      <c r="G26" s="63"/>
      <c r="H26" s="63"/>
    </row>
    <row r="27" spans="1:10" ht="13.8" thickBot="1"/>
    <row r="28" spans="1:10">
      <c r="A28" s="409" t="str">
        <f>IFERROR(VLOOKUP(J28,пр.взв!$B$7:$H$14,7,0),"")</f>
        <v/>
      </c>
      <c r="B28" s="410"/>
      <c r="C28" s="410"/>
      <c r="D28" s="410"/>
      <c r="E28" s="410"/>
      <c r="F28" s="410"/>
      <c r="G28" s="410"/>
      <c r="H28" s="411"/>
      <c r="J28">
        <f>J6</f>
        <v>0</v>
      </c>
    </row>
    <row r="29" spans="1:10" ht="13.8" thickBot="1">
      <c r="A29" s="412"/>
      <c r="B29" s="406"/>
      <c r="C29" s="406"/>
      <c r="D29" s="406"/>
      <c r="E29" s="406"/>
      <c r="F29" s="406"/>
      <c r="G29" s="406"/>
      <c r="H29" s="408"/>
    </row>
    <row r="31" spans="1:10" hidden="1"/>
    <row r="32" spans="1:10" hidden="1"/>
    <row r="33" spans="1:8" hidden="1"/>
    <row r="34" spans="1:8" ht="9.75" hidden="1" customHeight="1"/>
    <row r="36" spans="1:8" ht="17.399999999999999">
      <c r="A36" s="63" t="s">
        <v>50</v>
      </c>
      <c r="B36" s="63"/>
      <c r="C36" s="63"/>
      <c r="D36" s="63"/>
      <c r="E36" s="63"/>
      <c r="F36" s="63"/>
      <c r="G36" s="63"/>
      <c r="H36" s="63"/>
    </row>
    <row r="37" spans="1:8" ht="17.399999999999999">
      <c r="A37" s="63"/>
      <c r="B37" s="63"/>
      <c r="C37" s="63"/>
      <c r="D37" s="63"/>
      <c r="E37" s="63"/>
      <c r="F37" s="63"/>
      <c r="G37" s="63"/>
      <c r="H37" s="63"/>
    </row>
    <row r="38" spans="1:8" ht="17.399999999999999">
      <c r="A38" s="63"/>
      <c r="B38" s="63"/>
      <c r="C38" s="63"/>
      <c r="D38" s="63"/>
      <c r="E38" s="63"/>
      <c r="F38" s="63"/>
      <c r="G38" s="63"/>
      <c r="H38" s="63"/>
    </row>
    <row r="39" spans="1:8" ht="17.399999999999999">
      <c r="A39" s="65"/>
      <c r="B39" s="65"/>
      <c r="C39" s="65"/>
      <c r="D39" s="65"/>
      <c r="E39" s="65"/>
      <c r="F39" s="65"/>
      <c r="G39" s="65"/>
      <c r="H39" s="65"/>
    </row>
    <row r="40" spans="1:8" ht="17.399999999999999">
      <c r="A40" s="63"/>
      <c r="B40" s="63"/>
      <c r="C40" s="63"/>
      <c r="D40" s="63"/>
      <c r="E40" s="63"/>
      <c r="F40" s="63"/>
      <c r="G40" s="63"/>
      <c r="H40" s="63"/>
    </row>
    <row r="41" spans="1:8" ht="17.399999999999999">
      <c r="A41" s="65"/>
      <c r="B41" s="65"/>
      <c r="C41" s="65"/>
      <c r="D41" s="65"/>
      <c r="E41" s="65"/>
      <c r="F41" s="65"/>
      <c r="G41" s="65"/>
      <c r="H41" s="65"/>
    </row>
    <row r="42" spans="1:8" ht="17.399999999999999">
      <c r="A42" s="66"/>
      <c r="B42" s="66"/>
      <c r="C42" s="66"/>
      <c r="D42" s="66"/>
      <c r="E42" s="66"/>
      <c r="F42" s="66"/>
      <c r="G42" s="66"/>
      <c r="H42" s="66"/>
    </row>
    <row r="43" spans="1:8" ht="17.399999999999999">
      <c r="A43" s="65"/>
      <c r="B43" s="65"/>
      <c r="C43" s="65"/>
      <c r="D43" s="65"/>
      <c r="E43" s="65"/>
      <c r="F43" s="65"/>
      <c r="G43" s="65"/>
      <c r="H43" s="65"/>
    </row>
    <row r="44" spans="1:8" ht="17.399999999999999">
      <c r="A44" s="66"/>
      <c r="B44" s="66"/>
      <c r="C44" s="66"/>
      <c r="D44" s="66"/>
      <c r="E44" s="66"/>
      <c r="F44" s="66"/>
      <c r="G44" s="66"/>
      <c r="H44" s="66"/>
    </row>
  </sheetData>
  <mergeCells count="25">
    <mergeCell ref="A28:H29"/>
    <mergeCell ref="A11:A14"/>
    <mergeCell ref="B11:G12"/>
    <mergeCell ref="H11:H12"/>
    <mergeCell ref="A16:A19"/>
    <mergeCell ref="B16:G17"/>
    <mergeCell ref="H16:H17"/>
    <mergeCell ref="A21:A24"/>
    <mergeCell ref="B21:G22"/>
    <mergeCell ref="H21:H22"/>
    <mergeCell ref="B13:D14"/>
    <mergeCell ref="E13:H14"/>
    <mergeCell ref="B18:D19"/>
    <mergeCell ref="E18:H19"/>
    <mergeCell ref="B23:D24"/>
    <mergeCell ref="E23:H24"/>
    <mergeCell ref="A1:H1"/>
    <mergeCell ref="A2:H2"/>
    <mergeCell ref="A3:H3"/>
    <mergeCell ref="D4:F4"/>
    <mergeCell ref="A6:A9"/>
    <mergeCell ref="B6:G7"/>
    <mergeCell ref="H6:H7"/>
    <mergeCell ref="B8:D9"/>
    <mergeCell ref="E8:H9"/>
  </mergeCells>
  <pageMargins left="0.74803149606299213" right="0.74803149606299213" top="0.78740157480314965" bottom="0.78740157480314965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Лист7">
    <tabColor indexed="13"/>
  </sheetPr>
  <dimension ref="A1:R44"/>
  <sheetViews>
    <sheetView workbookViewId="0">
      <selection activeCell="B6" sqref="B6:B7"/>
    </sheetView>
  </sheetViews>
  <sheetFormatPr defaultRowHeight="13.2"/>
  <cols>
    <col min="1" max="1" width="5" customWidth="1"/>
    <col min="2" max="2" width="20.88671875" customWidth="1"/>
    <col min="3" max="3" width="12.33203125" customWidth="1"/>
    <col min="4" max="4" width="10.44140625" customWidth="1"/>
    <col min="5" max="5" width="4.6640625" customWidth="1"/>
    <col min="6" max="6" width="20.88671875" customWidth="1"/>
    <col min="7" max="7" width="4.6640625" customWidth="1"/>
    <col min="8" max="8" width="19.5546875" customWidth="1"/>
    <col min="9" max="9" width="5.5546875" customWidth="1"/>
  </cols>
  <sheetData>
    <row r="1" spans="1:18" ht="23.25" customHeight="1">
      <c r="C1" s="419" t="s">
        <v>22</v>
      </c>
      <c r="D1" s="420"/>
      <c r="E1" s="420"/>
      <c r="F1" s="420"/>
      <c r="G1" s="420"/>
      <c r="H1" s="420"/>
      <c r="I1" s="420"/>
      <c r="J1" s="421"/>
    </row>
    <row r="2" spans="1:18" ht="26.25" customHeight="1" thickBot="1">
      <c r="A2" s="3"/>
      <c r="B2" s="3"/>
      <c r="C2" s="424" t="str">
        <f>пр.хода!C3</f>
        <v xml:space="preserve"> I Всероссийская спартакиада между субъектами Российской Федерации по летним видам спорта среди сильнейших спортсменов 2022 года.</v>
      </c>
      <c r="D2" s="425"/>
      <c r="E2" s="425"/>
      <c r="F2" s="425"/>
      <c r="G2" s="425"/>
      <c r="H2" s="425"/>
      <c r="I2" s="425"/>
      <c r="J2" s="426"/>
      <c r="K2" s="30"/>
      <c r="L2" s="30"/>
      <c r="M2" s="30"/>
      <c r="N2" s="30"/>
      <c r="O2" s="30"/>
      <c r="P2" s="30"/>
      <c r="Q2" s="30"/>
      <c r="R2" s="30"/>
    </row>
    <row r="3" spans="1:18" ht="12.75" customHeight="1">
      <c r="A3" s="28"/>
      <c r="B3" s="422" t="str">
        <f>пр.хода!C4</f>
        <v>26-29.08.2022г.                                              г.Казань</v>
      </c>
      <c r="C3" s="422"/>
      <c r="D3" s="422"/>
      <c r="E3" s="422"/>
      <c r="F3" s="422"/>
      <c r="G3" s="422"/>
      <c r="H3" s="422"/>
      <c r="I3" s="422"/>
      <c r="J3" s="422"/>
      <c r="K3" s="422"/>
      <c r="L3" s="422"/>
      <c r="M3" s="58"/>
      <c r="N3" s="58"/>
      <c r="O3" s="58"/>
      <c r="P3" s="58"/>
      <c r="Q3" s="58"/>
      <c r="R3" s="58"/>
    </row>
    <row r="4" spans="1:18" ht="27" customHeight="1">
      <c r="A4" s="42"/>
      <c r="B4" s="42"/>
      <c r="C4" s="42"/>
      <c r="D4" s="42"/>
      <c r="E4" s="42"/>
      <c r="F4" s="43" t="str">
        <f>HYPERLINK(пр.взв!D4)</f>
        <v>В.к.  58   кг.</v>
      </c>
      <c r="G4" s="42"/>
      <c r="H4" s="42"/>
      <c r="I4" s="42"/>
      <c r="J4" s="42"/>
      <c r="K4" s="42"/>
      <c r="L4" s="42"/>
      <c r="M4" s="42"/>
    </row>
    <row r="5" spans="1:18" ht="16.2" thickBot="1">
      <c r="A5" s="255" t="s">
        <v>0</v>
      </c>
      <c r="B5" s="255"/>
      <c r="E5" s="13"/>
      <c r="F5" s="13"/>
      <c r="G5" s="13"/>
      <c r="H5" s="13"/>
      <c r="I5" s="13"/>
      <c r="J5" s="13"/>
      <c r="K5" s="13"/>
      <c r="L5" s="13"/>
      <c r="M5" s="13"/>
    </row>
    <row r="6" spans="1:18" ht="13.5" customHeight="1" thickBot="1">
      <c r="A6" s="223">
        <v>1</v>
      </c>
      <c r="B6" s="253" t="str">
        <f>VLOOKUP('стартвый '!A6:A7,пр.взв!B6:C14,2,FALSE)</f>
        <v xml:space="preserve">ХЕРТЕК Саян  Калдар-оолович </v>
      </c>
      <c r="C6" s="224" t="str">
        <f>VLOOKUP(A6,пр.взв!B6:H14,3,FALSE)</f>
        <v>05.09.87, ЗМС</v>
      </c>
      <c r="D6" s="224" t="str">
        <f>VLOOKUP(A6,пр.взв!B6:H14,5,FALSE)</f>
        <v>Москва, Москва, Д</v>
      </c>
      <c r="E6" s="13"/>
      <c r="F6" s="13"/>
      <c r="G6" s="13"/>
      <c r="H6" s="13"/>
      <c r="I6" s="13"/>
      <c r="J6" s="13"/>
      <c r="K6" s="13"/>
      <c r="L6" s="13"/>
      <c r="M6" s="13"/>
    </row>
    <row r="7" spans="1:18" ht="12.75" customHeight="1">
      <c r="A7" s="220"/>
      <c r="B7" s="254"/>
      <c r="C7" s="252"/>
      <c r="D7" s="252"/>
      <c r="E7" s="15"/>
      <c r="F7" s="13"/>
      <c r="G7" s="13"/>
      <c r="H7" s="13"/>
      <c r="I7" s="13"/>
      <c r="J7" s="34"/>
      <c r="K7" s="34"/>
      <c r="L7" s="34"/>
      <c r="M7" s="13"/>
    </row>
    <row r="8" spans="1:18" ht="13.5" customHeight="1" thickBot="1">
      <c r="A8" s="219">
        <v>5</v>
      </c>
      <c r="B8" s="241" t="str">
        <f>VLOOKUP('стартвый '!A8:A9,пр.взв!B8:C14,2,FALSE)</f>
        <v xml:space="preserve">ШАМСУТДИНОВ  Дамир Фаргатович </v>
      </c>
      <c r="C8" s="237" t="str">
        <f>VLOOKUP(A8,пр.взв!B6:H14,3,FALSE)</f>
        <v>01.07.02, МС</v>
      </c>
      <c r="D8" s="237" t="str">
        <f>VLOOKUP(A8,пр.взв!B6:H14,5,FALSE)</f>
        <v>Свердловская, Верхняя Пышма, МФКиС</v>
      </c>
      <c r="E8" s="14"/>
      <c r="F8" s="16"/>
      <c r="G8" s="18"/>
      <c r="H8" s="13"/>
      <c r="I8" s="13"/>
      <c r="J8" s="34"/>
      <c r="K8" s="34"/>
      <c r="L8" s="34"/>
      <c r="M8" s="13"/>
    </row>
    <row r="9" spans="1:18" ht="13.5" customHeight="1" thickBot="1">
      <c r="A9" s="220"/>
      <c r="B9" s="254"/>
      <c r="C9" s="252"/>
      <c r="D9" s="252"/>
      <c r="E9" s="13"/>
      <c r="F9" s="13"/>
      <c r="G9" s="15"/>
      <c r="H9" s="19"/>
      <c r="I9" s="13"/>
      <c r="J9" s="13"/>
      <c r="K9" s="13"/>
      <c r="L9" s="13"/>
      <c r="M9" s="13"/>
    </row>
    <row r="10" spans="1:18" ht="13.5" customHeight="1" thickBot="1">
      <c r="A10" s="223">
        <v>3</v>
      </c>
      <c r="B10" s="253" t="e">
        <f>VLOOKUP('стартвый '!A10:A11,пр.взв!B10:C14,2,FALSE)</f>
        <v>#N/A</v>
      </c>
      <c r="C10" s="224" t="str">
        <f>VLOOKUP(A10,пр.взв!B6:H14,3,FALSE)</f>
        <v>15.11,99, МСМК</v>
      </c>
      <c r="D10" s="224" t="e">
        <f>VLOOKUP(A10,пр.взв!B10:H14,5,FALSE)</f>
        <v>#N/A</v>
      </c>
      <c r="E10" s="13"/>
      <c r="F10" s="13"/>
      <c r="G10" s="14"/>
      <c r="I10" s="18"/>
      <c r="J10" s="13"/>
      <c r="K10" s="13"/>
      <c r="L10" s="13"/>
      <c r="M10" s="13"/>
    </row>
    <row r="11" spans="1:18" ht="12.75" customHeight="1">
      <c r="A11" s="220"/>
      <c r="B11" s="254"/>
      <c r="C11" s="252"/>
      <c r="D11" s="252"/>
      <c r="E11" s="15"/>
      <c r="F11" s="17"/>
      <c r="G11" s="18"/>
      <c r="H11" s="13"/>
      <c r="I11" s="18"/>
      <c r="J11" s="13"/>
      <c r="K11" s="13"/>
      <c r="L11" s="13"/>
      <c r="M11" s="13"/>
    </row>
    <row r="12" spans="1:18" ht="13.5" customHeight="1" thickBot="1">
      <c r="A12" s="219">
        <v>7</v>
      </c>
      <c r="B12" s="241" t="e">
        <f>VLOOKUP('стартвый '!A12:A13,пр.взв!B12:C14,2,FALSE)</f>
        <v>#N/A</v>
      </c>
      <c r="C12" s="237" t="e">
        <f>VLOOKUP(A12,пр.взв!B6:H14,3,FALSE)</f>
        <v>#N/A</v>
      </c>
      <c r="D12" s="237" t="e">
        <f>VLOOKUP(A12,пр.взв!B10:H14,5,FALSE)</f>
        <v>#N/A</v>
      </c>
      <c r="E12" s="14"/>
      <c r="F12" s="13"/>
      <c r="G12" s="13"/>
      <c r="H12" s="13"/>
      <c r="I12" s="18"/>
      <c r="J12" s="13"/>
      <c r="K12" s="13"/>
      <c r="L12" s="13"/>
      <c r="M12" s="13"/>
    </row>
    <row r="13" spans="1:18" ht="13.5" customHeight="1" thickBot="1">
      <c r="A13" s="243"/>
      <c r="B13" s="423"/>
      <c r="C13" s="225"/>
      <c r="D13" s="225"/>
      <c r="E13" s="13"/>
      <c r="F13" s="13"/>
      <c r="G13" s="13"/>
      <c r="H13" s="13"/>
      <c r="I13" s="18"/>
      <c r="J13" s="13"/>
      <c r="K13" s="13"/>
      <c r="L13" s="13"/>
      <c r="M13" s="13"/>
    </row>
    <row r="14" spans="1:18" ht="13.8" thickBot="1">
      <c r="E14" s="13"/>
      <c r="F14" s="13"/>
      <c r="G14" s="13"/>
      <c r="H14" s="13"/>
      <c r="I14" s="18"/>
      <c r="J14" s="13"/>
      <c r="K14" s="13"/>
      <c r="L14" s="13"/>
      <c r="M14" s="13"/>
    </row>
    <row r="15" spans="1:18" ht="17.25" customHeight="1">
      <c r="A15" s="21"/>
      <c r="E15" s="13"/>
      <c r="F15" s="13"/>
      <c r="G15" s="13"/>
      <c r="H15" s="13"/>
      <c r="I15" s="31"/>
      <c r="J15" s="29"/>
      <c r="K15" s="17"/>
      <c r="L15" s="17"/>
      <c r="M15" s="13"/>
    </row>
    <row r="16" spans="1:18" ht="16.2" thickBot="1">
      <c r="A16" s="255" t="s">
        <v>1</v>
      </c>
      <c r="B16" s="255"/>
      <c r="E16" s="13"/>
      <c r="F16" s="13"/>
      <c r="G16" s="13"/>
      <c r="H16" s="13"/>
      <c r="I16" s="32"/>
    </row>
    <row r="17" spans="1:11" ht="13.8" thickBot="1">
      <c r="A17" s="223">
        <v>2</v>
      </c>
      <c r="B17" s="253" t="str">
        <f>VLOOKUP(A17,пр.взв!B7:H14,2,FALSE)</f>
        <v>АТКУНОВ Аймерген  Сергеевич</v>
      </c>
      <c r="C17" s="224" t="str">
        <f>VLOOKUP(A17,пр.взв!B7:H14,3,FALSE)</f>
        <v>14.04.89. МСМК</v>
      </c>
      <c r="D17" s="224" t="str">
        <f>VLOOKUP(A17,пр.взв!B7:H14,5,FALSE)</f>
        <v>Свердловская, Верхняя Пышма, Д</v>
      </c>
      <c r="E17" s="13"/>
      <c r="F17" s="13"/>
      <c r="G17" s="13"/>
      <c r="H17" s="13"/>
      <c r="I17" s="26"/>
    </row>
    <row r="18" spans="1:11">
      <c r="A18" s="220"/>
      <c r="B18" s="254"/>
      <c r="C18" s="252"/>
      <c r="D18" s="252"/>
      <c r="E18" s="15"/>
      <c r="F18" s="13"/>
      <c r="G18" s="13"/>
      <c r="H18" s="13"/>
      <c r="I18" s="26"/>
    </row>
    <row r="19" spans="1:11" ht="13.8" thickBot="1">
      <c r="A19" s="219">
        <v>6</v>
      </c>
      <c r="B19" s="241" t="str">
        <f>VLOOKUP('стартвый '!A19:A20,пр.взв!B7:H14,2,FALSE)</f>
        <v xml:space="preserve">КУЮКОВ Элбек Владимирович </v>
      </c>
      <c r="C19" s="237" t="str">
        <f>VLOOKUP(A19,пр.взв!B7:H14,3,FALSE)</f>
        <v>13.05.95, МС</v>
      </c>
      <c r="D19" s="237" t="str">
        <f>VLOOKUP(A19,пр.взв!B7:H14,5,FALSE)</f>
        <v>Новосибирская, Новосибирск , МС</v>
      </c>
      <c r="E19" s="14"/>
      <c r="F19" s="16"/>
      <c r="G19" s="18"/>
      <c r="H19" s="13"/>
      <c r="I19" s="26"/>
    </row>
    <row r="20" spans="1:11" ht="13.8" thickBot="1">
      <c r="A20" s="220"/>
      <c r="B20" s="254"/>
      <c r="C20" s="252"/>
      <c r="D20" s="252"/>
      <c r="E20" s="13"/>
      <c r="F20" s="13"/>
      <c r="G20" s="15"/>
      <c r="H20" s="19"/>
      <c r="I20" s="26"/>
    </row>
    <row r="21" spans="1:11" ht="13.8" thickBot="1">
      <c r="A21" s="223">
        <v>4</v>
      </c>
      <c r="B21" s="253" t="str">
        <f>VLOOKUP('стартвый '!A21:A22,пр.взв!B7:H14,2,FALSE)</f>
        <v>КОЗЛОВ Роман Витальевич</v>
      </c>
      <c r="C21" s="224" t="str">
        <f>VLOOKUP(A21,пр.взв!B7:H14,3,FALSE)</f>
        <v>04.05.90, МСМК</v>
      </c>
      <c r="D21" s="224" t="e">
        <f>VLOOKUP(A21,пр.взв!B11:H14,5,FALSE)</f>
        <v>#N/A</v>
      </c>
      <c r="E21" s="13"/>
      <c r="F21" s="13"/>
      <c r="G21" s="14"/>
    </row>
    <row r="22" spans="1:11">
      <c r="A22" s="220"/>
      <c r="B22" s="254"/>
      <c r="C22" s="252"/>
      <c r="D22" s="252"/>
      <c r="E22" s="15"/>
      <c r="F22" s="17"/>
      <c r="G22" s="18"/>
      <c r="H22" s="13"/>
    </row>
    <row r="23" spans="1:11" ht="13.8" thickBot="1">
      <c r="A23" s="219">
        <v>8</v>
      </c>
      <c r="B23" s="241" t="e">
        <f>VLOOKUP('стартвый '!A23:A24,пр.взв!B7:H14,2,FALSE)</f>
        <v>#N/A</v>
      </c>
      <c r="C23" s="237" t="e">
        <f>VLOOKUP(A23,пр.взв!B7:H14,3,FALSE)</f>
        <v>#N/A</v>
      </c>
      <c r="D23" s="237" t="e">
        <f>VLOOKUP(A23,пр.взв!B11:H14,5,FALSE)</f>
        <v>#N/A</v>
      </c>
      <c r="E23" s="14"/>
      <c r="F23" s="13"/>
      <c r="G23" s="13"/>
      <c r="H23" s="13"/>
    </row>
    <row r="24" spans="1:11" ht="13.8" thickBot="1">
      <c r="A24" s="243"/>
      <c r="B24" s="423"/>
      <c r="C24" s="225"/>
      <c r="D24" s="225"/>
      <c r="E24" s="13"/>
      <c r="F24" s="13"/>
      <c r="G24" s="13"/>
      <c r="H24" s="13"/>
    </row>
    <row r="27" spans="1:11">
      <c r="A27" s="6" t="s">
        <v>2</v>
      </c>
      <c r="G27" s="6" t="s">
        <v>3</v>
      </c>
    </row>
    <row r="29" spans="1:11">
      <c r="B29" s="23"/>
      <c r="H29" s="23"/>
    </row>
    <row r="30" spans="1:11">
      <c r="B30" s="24"/>
      <c r="H30" s="24"/>
    </row>
    <row r="31" spans="1:11">
      <c r="B31" s="24"/>
      <c r="C31" s="4"/>
      <c r="D31" s="23"/>
      <c r="H31" s="24"/>
      <c r="I31" s="4"/>
      <c r="J31" s="4"/>
      <c r="K31" s="23"/>
    </row>
    <row r="32" spans="1:11">
      <c r="B32" s="25"/>
      <c r="D32" s="24"/>
      <c r="E32" s="26"/>
      <c r="H32" s="25"/>
      <c r="K32" s="24"/>
    </row>
    <row r="33" spans="2:13">
      <c r="D33" s="24"/>
      <c r="E33" s="27"/>
      <c r="F33" s="1"/>
      <c r="K33" s="24"/>
      <c r="L33" s="27"/>
      <c r="M33" s="1"/>
    </row>
    <row r="34" spans="2:13">
      <c r="D34" s="24"/>
      <c r="K34" s="24"/>
    </row>
    <row r="35" spans="2:13">
      <c r="C35" s="1"/>
      <c r="D35" s="25"/>
      <c r="I35" s="1"/>
      <c r="J35" s="1"/>
      <c r="K35" s="25"/>
    </row>
    <row r="38" spans="2:13">
      <c r="B38" s="8" t="str">
        <f>пр.хода!B31</f>
        <v>Гл. судья, судья ВК</v>
      </c>
      <c r="C38" s="6"/>
      <c r="D38" s="6"/>
      <c r="E38" s="6"/>
      <c r="I38" s="9" t="str">
        <f>пр.хода!N31</f>
        <v>А.Д.Валиуллов</v>
      </c>
      <c r="K38" s="10" t="str">
        <f>пр.хода!R31</f>
        <v>/Татарстан/</v>
      </c>
    </row>
    <row r="39" spans="2:13">
      <c r="B39" s="6"/>
      <c r="C39" s="6"/>
      <c r="D39" s="6"/>
      <c r="E39" s="6"/>
    </row>
    <row r="40" spans="2:13">
      <c r="B40" s="9" t="str">
        <f>пр.хода!B33</f>
        <v>Гл. секретарь, судья ВК</v>
      </c>
      <c r="D40" s="6"/>
      <c r="E40" s="11"/>
      <c r="F40" s="33"/>
      <c r="G40" s="1"/>
      <c r="H40" s="1"/>
      <c r="I40" s="9" t="str">
        <f>пр.хода!N33</f>
        <v>В.И.Рожков</v>
      </c>
      <c r="K40" s="12" t="s">
        <v>80</v>
      </c>
    </row>
    <row r="41" spans="2:13">
      <c r="L41" s="5"/>
      <c r="M41" s="5"/>
    </row>
    <row r="42" spans="2:13">
      <c r="D42" s="2"/>
      <c r="M42" s="5"/>
    </row>
    <row r="43" spans="2:13">
      <c r="M43" s="5"/>
    </row>
    <row r="44" spans="2:13">
      <c r="L44" s="5"/>
      <c r="M44" s="5"/>
    </row>
  </sheetData>
  <mergeCells count="37">
    <mergeCell ref="A23:A24"/>
    <mergeCell ref="B23:B24"/>
    <mergeCell ref="C23:C24"/>
    <mergeCell ref="D23:D24"/>
    <mergeCell ref="D21:D22"/>
    <mergeCell ref="C1:J1"/>
    <mergeCell ref="A19:A20"/>
    <mergeCell ref="B19:B20"/>
    <mergeCell ref="C19:C20"/>
    <mergeCell ref="D19:D20"/>
    <mergeCell ref="D17:D18"/>
    <mergeCell ref="A12:A13"/>
    <mergeCell ref="B3:L3"/>
    <mergeCell ref="B12:B13"/>
    <mergeCell ref="A8:A9"/>
    <mergeCell ref="B8:B9"/>
    <mergeCell ref="C8:C9"/>
    <mergeCell ref="D8:D9"/>
    <mergeCell ref="A5:B5"/>
    <mergeCell ref="C2:J2"/>
    <mergeCell ref="C12:C13"/>
    <mergeCell ref="A6:A7"/>
    <mergeCell ref="B6:B7"/>
    <mergeCell ref="C6:C7"/>
    <mergeCell ref="D6:D7"/>
    <mergeCell ref="B21:B22"/>
    <mergeCell ref="C21:C22"/>
    <mergeCell ref="A10:A11"/>
    <mergeCell ref="B10:B11"/>
    <mergeCell ref="C10:C11"/>
    <mergeCell ref="D10:D11"/>
    <mergeCell ref="A21:A22"/>
    <mergeCell ref="D12:D13"/>
    <mergeCell ref="A16:B16"/>
    <mergeCell ref="B17:B18"/>
    <mergeCell ref="C17:C18"/>
    <mergeCell ref="A17:A18"/>
  </mergeCells>
  <phoneticPr fontId="10" type="noConversion"/>
  <printOptions horizontalCentered="1" verticalCentered="1"/>
  <pageMargins left="0.19685039370078741" right="0.19685039370078741" top="0.19685039370078741" bottom="0.19685039370078741" header="0.51181102362204722" footer="0.51181102362204722"/>
  <pageSetup paperSize="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2</vt:i4>
      </vt:variant>
    </vt:vector>
  </HeadingPairs>
  <TitlesOfParts>
    <vt:vector size="9" baseType="lpstr">
      <vt:lpstr>пр.взв</vt:lpstr>
      <vt:lpstr>пр.хода</vt:lpstr>
      <vt:lpstr>круги</vt:lpstr>
      <vt:lpstr>Ит.пр</vt:lpstr>
      <vt:lpstr>полуфинал</vt:lpstr>
      <vt:lpstr>нагр. лист</vt:lpstr>
      <vt:lpstr>стартвый </vt:lpstr>
      <vt:lpstr>разряд</vt:lpstr>
      <vt:lpstr>субъект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Валерий Рожков</cp:lastModifiedBy>
  <cp:lastPrinted>2022-08-26T16:11:39Z</cp:lastPrinted>
  <dcterms:created xsi:type="dcterms:W3CDTF">1996-10-08T23:32:33Z</dcterms:created>
  <dcterms:modified xsi:type="dcterms:W3CDTF">2022-08-26T16:12:01Z</dcterms:modified>
</cp:coreProperties>
</file>