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ЭтаКнига" defaultThemeVersion="124226"/>
  <bookViews>
    <workbookView xWindow="1215" yWindow="-225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45621"/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G12" i="1" l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<sst xmlns="http://schemas.openxmlformats.org/spreadsheetml/2006/main" count="242" uniqueCount="114">
  <si>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</si>
  <si>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</si>
  <si>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</si>
  <si>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</si>
  <si>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</si>
  <si>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</si>
  <si>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</si>
  <si>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</si>
  <si>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</si>
  <si>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</si>
  <si>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</si>
  <si>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</si>
  <si>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</si>
  <si>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</si>
  <si>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</si>
  <si>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</si>
  <si>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</si>
  <si>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</si>
  <si>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</si>
  <si>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</si>
  <si>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</si>
  <si>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</si>
  <si>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</si>
  <si>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</si>
  <si>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</si>
  <si>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</si>
  <si>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</si>
  <si>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</si>
  <si>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</si>
  <si>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</si>
  <si>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</si>
  <si>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</si>
  <si>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</si>
  <si>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</si>
  <si>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</si>
  <si>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</si>
  <si>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</si>
  <si>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</si>
  <si>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</si>
  <si>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</si>
  <si>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</si>
  <si>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</si>
  <si>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</si>
  <si>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</si>
  <si>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</si>
  <si>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</si>
  <si>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</si>
  <si>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</si>
  <si>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</si>
  <si>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</si>
  <si>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</si>
  <si>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</si>
  <si>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</si>
  <si>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</si>
  <si>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</si>
  <si>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</si>
  <si>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</si>
  <si>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</si>
  <si>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</si>
  <si>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</si>
  <si>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</si>
  <si>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</si>
  <si>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</si>
  <si>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</si>
  <si>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</si>
  <si>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</si>
  <si>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</si>
  <si>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</si>
  <si>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</si>
  <si>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</si>
  <si>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</si>
  <si>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</si>
  <si>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</si>
  <si>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</si>
  <si>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</si>
  <si>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</si>
  <si>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</si>
  <si>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</si>
  <si>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</si>
  <si>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</si>
  <si>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</si>
  <si>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</si>
  <si>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</si>
  <si>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</si>
  <si>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</si>
  <si>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</si>
  <si>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ХОМЯЧКОВА Анастасия Михайловна</t>
  </si>
  <si>
    <t>16.09.97, ЗМС</t>
  </si>
  <si>
    <t>ЦФО</t>
  </si>
  <si>
    <t>Владимирская, Юрьев-Польский</t>
  </si>
  <si>
    <t>Сенюков Ю.А. Гадалов А.В.</t>
  </si>
  <si>
    <t xml:space="preserve">МАТВЕЕВА  Анастасия  Владимировна </t>
  </si>
  <si>
    <t>16.04.00, МС</t>
  </si>
  <si>
    <t>ПФО</t>
  </si>
  <si>
    <t xml:space="preserve">Оренбургская, Бузулук </t>
  </si>
  <si>
    <t>Плотников П.Д.</t>
  </si>
  <si>
    <t>АЛЛЕНОВА Елена Дмитриеана</t>
  </si>
  <si>
    <t>23.03.03, МС</t>
  </si>
  <si>
    <t>Тульская, Тула, МО</t>
  </si>
  <si>
    <t>Афонина И.П., Ворфоломеев В.П.</t>
  </si>
  <si>
    <t>БАЛАШОВА Анна Викторовна</t>
  </si>
  <si>
    <t>18.11.83, ЗМС</t>
  </si>
  <si>
    <t>УФО</t>
  </si>
  <si>
    <t>Свердловская, Верхняя Пышма , Д</t>
  </si>
  <si>
    <t>Суханов М.И, Стенников В.Г</t>
  </si>
  <si>
    <t xml:space="preserve">РЕЧКАЛОВА  Дарья  Андреевна </t>
  </si>
  <si>
    <t>19.06.03, МС</t>
  </si>
  <si>
    <t>Свердловская, Екатеринбург , МС</t>
  </si>
  <si>
    <t>Коростелёв А.Б.</t>
  </si>
  <si>
    <t xml:space="preserve">ЛИХОТА Ольга Дмитриевна </t>
  </si>
  <si>
    <t>02.06.00, КМС</t>
  </si>
  <si>
    <t>Свердловская, Екатеринбург, ВС</t>
  </si>
  <si>
    <t>Никифорова ИВ</t>
  </si>
  <si>
    <t>В.к.  80 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</si>
</sst>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5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  <font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70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30" xfId="0" applyNumberFormat="1" applyFont="1" applyBorder="1" applyAlignment="1" applyProtection="1">
      <alignment vertical="center" wrapText="1"/>
      <protection locked="0"/>
    </xf>
    <xf numFmtId="0" fontId="5" fillId="0" borderId="44" xfId="0" applyNumberFormat="1" applyFont="1" applyBorder="1" applyAlignment="1" applyProtection="1">
      <alignment vertical="center" wrapText="1"/>
      <protection locked="0"/>
    </xf>
    <xf numFmtId="0" fontId="5" fillId="0" borderId="74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Border="1" applyAlignment="1" applyProtection="1">
      <alignment vertical="center" wrapText="1"/>
      <protection locked="0"/>
    </xf>
    <xf numFmtId="0" fontId="5" fillId="0" borderId="46" xfId="0" applyNumberFormat="1" applyFont="1" applyBorder="1" applyAlignment="1" applyProtection="1">
      <alignment vertical="center" wrapText="1"/>
      <protection locked="0"/>
    </xf>
    <xf numFmtId="0" fontId="5" fillId="0" borderId="88" xfId="0" applyNumberFormat="1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44" fillId="0" borderId="87" xfId="1" applyFont="1" applyBorder="1" applyAlignment="1" applyProtection="1">
      <alignment horizontal="left" vertical="center" wrapText="1"/>
    </xf>
    <xf numFmtId="0" fontId="44" fillId="0" borderId="87" xfId="1" applyFont="1" applyBorder="1" applyAlignment="1" applyProtection="1">
      <alignment horizontal="center" vertical="center" wrapText="1"/>
    </xf>
    <xf numFmtId="0" fontId="44" fillId="0" borderId="3" xfId="1" applyFont="1" applyBorder="1" applyAlignment="1" applyProtection="1">
      <alignment horizontal="left" vertical="center" wrapText="1"/>
    </xf>
    <xf numFmtId="0" fontId="44" fillId="0" borderId="3" xfId="1" applyFont="1" applyBorder="1" applyAlignment="1" applyProtection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47625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 refreshError="1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AK11" sqref="AK11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4" t="s">
        <v>81</v>
      </c>
      <c r="B1" s="244"/>
      <c r="C1" s="244"/>
      <c r="D1" s="244"/>
      <c r="E1" s="244"/>
      <c r="F1" s="244"/>
      <c r="G1" s="244"/>
      <c r="H1" s="244"/>
    </row>
    <row r="2" spans="1:35" ht="55.5" customHeight="1">
      <c r="A2" s="187"/>
      <c r="B2" s="243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43"/>
      <c r="D2" s="243"/>
      <c r="E2" s="243"/>
      <c r="F2" s="243"/>
      <c r="G2" s="243"/>
      <c r="H2" s="188"/>
      <c r="I2" s="151"/>
      <c r="J2" s="151"/>
      <c r="K2" s="151"/>
    </row>
    <row r="3" spans="1:35" ht="17.25" customHeight="1">
      <c r="A3" s="247" t="str">
        <f>[1]реквизиты!$A$3</f>
        <v>26-29.08.2022г.                                              г.Казань</v>
      </c>
      <c r="B3" s="247"/>
      <c r="C3" s="247"/>
      <c r="D3" s="247"/>
      <c r="E3" s="247"/>
      <c r="F3" s="247"/>
      <c r="G3" s="247"/>
      <c r="H3" s="247"/>
    </row>
    <row r="4" spans="1:35" ht="19.5" customHeight="1">
      <c r="D4" s="8" t="s">
        <v>113</v>
      </c>
      <c r="E4" s="8"/>
      <c r="Y4" s="237" t="s">
        <v>77</v>
      </c>
      <c r="Z4" s="237"/>
      <c r="AA4" s="237"/>
      <c r="AB4" s="237"/>
      <c r="AC4" s="237"/>
      <c r="AD4" s="237"/>
      <c r="AE4" s="237"/>
    </row>
    <row r="5" spans="1:35" ht="12.75" customHeight="1" thickBot="1">
      <c r="A5" s="245" t="s">
        <v>82</v>
      </c>
      <c r="B5" s="252" t="s">
        <v>4</v>
      </c>
      <c r="C5" s="245" t="s">
        <v>5</v>
      </c>
      <c r="D5" s="245" t="s">
        <v>6</v>
      </c>
      <c r="E5" s="248" t="s">
        <v>7</v>
      </c>
      <c r="F5" s="249"/>
      <c r="G5" s="245" t="s">
        <v>9</v>
      </c>
      <c r="H5" s="245" t="s">
        <v>8</v>
      </c>
      <c r="Q5" s="238"/>
      <c r="R5" s="238"/>
      <c r="S5" s="238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46"/>
      <c r="B6" s="246"/>
      <c r="C6" s="246"/>
      <c r="D6" s="246"/>
      <c r="E6" s="250"/>
      <c r="F6" s="251"/>
      <c r="G6" s="246"/>
      <c r="H6" s="246"/>
      <c r="J6" s="111"/>
      <c r="K6" s="111"/>
      <c r="L6" s="111"/>
      <c r="M6" s="111"/>
      <c r="N6" s="111"/>
      <c r="O6" s="111"/>
      <c r="P6" s="189"/>
      <c r="Q6" s="189" t="str">
        <f>N7</f>
        <v>ЗМС</v>
      </c>
      <c r="R6" s="189" t="str">
        <f>N8</f>
        <v>КМС</v>
      </c>
      <c r="S6" s="190" t="str">
        <f>N9</f>
        <v>МС</v>
      </c>
      <c r="T6" s="190" t="str">
        <f>N10</f>
        <v/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78</v>
      </c>
      <c r="Z6" s="119" t="str">
        <f t="shared" ref="Z6:AF6" si="0">Q6</f>
        <v>ЗМС</v>
      </c>
      <c r="AA6" s="119" t="str">
        <f t="shared" si="0"/>
        <v>КМС</v>
      </c>
      <c r="AB6" s="191" t="str">
        <f t="shared" si="0"/>
        <v>МС</v>
      </c>
      <c r="AC6" s="191" t="str">
        <f t="shared" si="0"/>
        <v/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52</v>
      </c>
      <c r="B7" s="193">
        <v>1</v>
      </c>
      <c r="C7" s="194" t="s">
        <v>100</v>
      </c>
      <c r="D7" s="195" t="s">
        <v>101</v>
      </c>
      <c r="E7" s="196" t="s">
        <v>102</v>
      </c>
      <c r="F7" s="195" t="s">
        <v>103</v>
      </c>
      <c r="G7" s="197"/>
      <c r="H7" s="198" t="s">
        <v>104</v>
      </c>
      <c r="I7" s="32"/>
      <c r="J7" s="199">
        <v>1</v>
      </c>
      <c r="K7" s="184" t="str">
        <f>IFERROR(RIGHT(D7,LEN(D7)-FIND("*",SUBSTITUTE(D7," ","*",LEN(D7)-LEN(SUBSTITUTE(D7," ",""))))),D7)</f>
        <v>ЗМС</v>
      </c>
      <c r="L7" s="184" t="str">
        <f>IFERROR(LEFT(F7,FIND(",",F7)-1),F7)</f>
        <v>Свердловская</v>
      </c>
      <c r="M7" s="200" t="str">
        <f t="array" ref="M7">IFERROR(INDEX(субъект,MATCH(SUM(COUNTIF(M$6:M6,субъект)),COUNTIF(субъект,"&lt;"&amp;субъект),0)),"")</f>
        <v>Владимирская</v>
      </c>
      <c r="N7" s="200" t="str">
        <f t="array" ref="N7">IFERROR(INDEX(разряд,MATCH(SUM(COUNTIF(N$6:N6,разряд)),COUNTIF(разряд,"&lt;"&amp;разряд),0)),"")</f>
        <v>ЗМС</v>
      </c>
      <c r="O7" s="201">
        <v>1</v>
      </c>
      <c r="P7" s="120" t="str">
        <f t="shared" ref="P7:P14" si="1">M7</f>
        <v>Владимирская</v>
      </c>
      <c r="Q7" s="202">
        <f t="shared" ref="Q7:Q14" si="2">SUMIFS($J$7:$J$30,$L$7:$L$30,P7,$K$7:$K$30,Q$6)</f>
        <v>1</v>
      </c>
      <c r="R7" s="202">
        <f t="shared" ref="R7:R14" si="3">SUMIFS($J$7:$J$30,$L$7:$L$30,P7,$K$7:$K$30,R$6)</f>
        <v>0</v>
      </c>
      <c r="S7" s="203">
        <f t="shared" ref="S7:S14" si="4">SUMIFS($J$7:$J$30,$L$7:$L$30,P7,$K$7:$K$30,S$6)</f>
        <v>0</v>
      </c>
      <c r="T7" s="204">
        <f t="shared" ref="T7:T14" si="5">SUMIFS($J$7:$J$30,$L$7:$L$30,P7,$K$7:$K$30,T$6)</f>
        <v>0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>Владимирская</v>
      </c>
      <c r="Z7" s="150">
        <f>IF(Q7=0," ",Q7)</f>
        <v>1</v>
      </c>
      <c r="AA7" s="150" t="str">
        <f>IF(R7=0," ",R7)</f>
        <v xml:space="preserve"> </v>
      </c>
      <c r="AB7" s="150" t="str">
        <f>IF(S7=0," ",S7)</f>
        <v xml:space="preserve"> </v>
      </c>
      <c r="AC7" s="150" t="str">
        <f>IF(T7=0," ",T7)</f>
        <v xml:space="preserve"> 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39">
        <f>SUM(Z7:AF14)</f>
        <v>6</v>
      </c>
      <c r="AI7" s="240"/>
    </row>
    <row r="8" spans="1:35" ht="24" customHeight="1" thickBot="1">
      <c r="A8" s="192" t="s">
        <v>53</v>
      </c>
      <c r="B8" s="193">
        <v>2</v>
      </c>
      <c r="C8" s="194" t="s">
        <v>86</v>
      </c>
      <c r="D8" s="195" t="s">
        <v>87</v>
      </c>
      <c r="E8" s="196" t="s">
        <v>88</v>
      </c>
      <c r="F8" s="195" t="s">
        <v>89</v>
      </c>
      <c r="G8" s="197"/>
      <c r="H8" s="198" t="s">
        <v>90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ЗМС</v>
      </c>
      <c r="L8" s="184" t="str">
        <f t="shared" ref="L8:L14" si="11">IFERROR(LEFT(F8,FIND(",",F8)-1),F8)</f>
        <v>Владимирская</v>
      </c>
      <c r="M8" s="200" t="str">
        <f t="array" ref="M8">IFERROR(INDEX(субъект,MATCH(SUM(COUNTIF(M$6:M7,субъект)),COUNTIF(субъект,"&lt;"&amp;субъект),0)),"")</f>
        <v>Оренбургская</v>
      </c>
      <c r="N8" s="200" t="str">
        <f t="array" ref="N8">IFERROR(INDEX(разряд,MATCH(SUM(COUNTIF(N$6:N7,разряд)),COUNTIF(разряд,"&lt;"&amp;разряд),0)),"")</f>
        <v>КМС</v>
      </c>
      <c r="O8" s="201">
        <v>2</v>
      </c>
      <c r="P8" s="120" t="str">
        <f t="shared" si="1"/>
        <v>Оренбургская</v>
      </c>
      <c r="Q8" s="202">
        <f t="shared" si="2"/>
        <v>0</v>
      </c>
      <c r="R8" s="202">
        <f t="shared" si="3"/>
        <v>0</v>
      </c>
      <c r="S8" s="203">
        <f t="shared" si="4"/>
        <v>1</v>
      </c>
      <c r="T8" s="204">
        <f t="shared" si="5"/>
        <v>0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>Оренбургская</v>
      </c>
      <c r="Z8" s="118" t="str">
        <f>IF($Y$8=$Y$7," ",IF(Q8=0," ",Q8))</f>
        <v xml:space="preserve"> </v>
      </c>
      <c r="AA8" s="118" t="str">
        <f>IF($Y$8=$Y$7," ",IF(R8=0," ",R8))</f>
        <v xml:space="preserve"> </v>
      </c>
      <c r="AB8" s="118">
        <f>IF($Y$8=$Y$7," ",IF(S8=0," ",S8))</f>
        <v>1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41"/>
      <c r="AI8" s="242"/>
    </row>
    <row r="9" spans="1:35" ht="24" customHeight="1">
      <c r="A9" s="192" t="s">
        <v>54</v>
      </c>
      <c r="B9" s="193">
        <v>3</v>
      </c>
      <c r="C9" s="194" t="s">
        <v>96</v>
      </c>
      <c r="D9" s="195" t="s">
        <v>97</v>
      </c>
      <c r="E9" s="196" t="s">
        <v>88</v>
      </c>
      <c r="F9" s="195" t="s">
        <v>98</v>
      </c>
      <c r="G9" s="197"/>
      <c r="H9" s="198" t="s">
        <v>99</v>
      </c>
      <c r="I9" s="32"/>
      <c r="J9" s="199">
        <v>1</v>
      </c>
      <c r="K9" s="184" t="str">
        <f t="shared" si="10"/>
        <v>МС</v>
      </c>
      <c r="L9" s="184" t="str">
        <f t="shared" si="11"/>
        <v>Тульская</v>
      </c>
      <c r="M9" s="200" t="str">
        <f t="array" ref="M9">IFERROR(INDEX(субъект,MATCH(SUM(COUNTIF(M$6:M8,субъект)),COUNTIF(субъект,"&lt;"&amp;субъект),0)),"")</f>
        <v>Свердловская</v>
      </c>
      <c r="N9" s="200" t="str">
        <f t="array" ref="N9">IFERROR(INDEX(разряд,MATCH(SUM(COUNTIF(N$6:N8,разряд)),COUNTIF(разряд,"&lt;"&amp;разряд),0)),"")</f>
        <v>МС</v>
      </c>
      <c r="O9" s="201">
        <v>3</v>
      </c>
      <c r="P9" s="120" t="str">
        <f t="shared" si="1"/>
        <v>Свердловская</v>
      </c>
      <c r="Q9" s="202">
        <f t="shared" si="2"/>
        <v>1</v>
      </c>
      <c r="R9" s="202">
        <f t="shared" si="3"/>
        <v>1</v>
      </c>
      <c r="S9" s="203">
        <f t="shared" si="4"/>
        <v>1</v>
      </c>
      <c r="T9" s="204">
        <f t="shared" si="5"/>
        <v>0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>Свердловская</v>
      </c>
      <c r="Z9" s="118">
        <f>IF(OR($Y9=$Y7,$Y9=$Y8)," ",IF(Q9=0," ",Q9))</f>
        <v>1</v>
      </c>
      <c r="AA9" s="118">
        <f>IF(OR($Y9=$Y7,$Y9=$Y8)," ",IF(R9=0," ",R9))</f>
        <v>1</v>
      </c>
      <c r="AB9" s="118">
        <f>IF(OR($Y9=$Y7,$Y9=$Y8)," ",IF(S9=0," ",S9))</f>
        <v>1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55</v>
      </c>
      <c r="B10" s="193">
        <v>4</v>
      </c>
      <c r="C10" s="194" t="s">
        <v>105</v>
      </c>
      <c r="D10" s="195" t="s">
        <v>106</v>
      </c>
      <c r="E10" s="196" t="s">
        <v>102</v>
      </c>
      <c r="F10" s="195" t="s">
        <v>107</v>
      </c>
      <c r="G10" s="197"/>
      <c r="H10" s="198" t="s">
        <v>108</v>
      </c>
      <c r="I10" s="32"/>
      <c r="J10" s="199">
        <v>1</v>
      </c>
      <c r="K10" s="184" t="str">
        <f t="shared" si="10"/>
        <v>МС</v>
      </c>
      <c r="L10" s="184" t="str">
        <f t="shared" si="11"/>
        <v>Свердловская</v>
      </c>
      <c r="M10" s="200" t="str">
        <f t="array" ref="M10">IFERROR(INDEX(субъект,MATCH(SUM(COUNTIF(M$6:M9,субъект)),COUNTIF(субъект,"&lt;"&amp;субъект),0)),"")</f>
        <v>Тульская</v>
      </c>
      <c r="N10" s="200" t="str">
        <f t="array" ref="N10">IFERROR(INDEX(разряд,MATCH(SUM(COUNTIF(N$6:N9,разряд)),COUNTIF(разряд,"&lt;"&amp;разряд),0)),"")</f>
        <v/>
      </c>
      <c r="O10" s="201">
        <v>4</v>
      </c>
      <c r="P10" s="120" t="str">
        <f t="shared" si="1"/>
        <v>Тульская</v>
      </c>
      <c r="Q10" s="202">
        <f t="shared" si="2"/>
        <v>0</v>
      </c>
      <c r="R10" s="202">
        <f t="shared" si="3"/>
        <v>0</v>
      </c>
      <c r="S10" s="203">
        <f t="shared" si="4"/>
        <v>1</v>
      </c>
      <c r="T10" s="204">
        <f t="shared" si="5"/>
        <v>0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>Тульская</v>
      </c>
      <c r="Z10" s="118" t="str">
        <f>IF(OR($Y10=$Y8,$Y10=$Y9,$Y10=$Y7)," ",IF(Q10=0," ",Q10))</f>
        <v xml:space="preserve"> </v>
      </c>
      <c r="AA10" s="118" t="str">
        <f>IF(OR($Y10=$Y8,$Y10=$Y9,$Y10=$Y7)," ",IF(R10=0," ",R10))</f>
        <v xml:space="preserve"> </v>
      </c>
      <c r="AB10" s="118">
        <f>IF(OR($Y10=$Y8,$Y10=$Y9,$Y10=$Y7)," ",IF(S10=0," ",S10))</f>
        <v>1</v>
      </c>
      <c r="AC10" s="118" t="str">
        <f>IF(OR($Y10=$Y8,$Y10=$Y9,$Y10=$Y7)," ",IF(T10=0," ",T10))</f>
        <v xml:space="preserve"> 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56</v>
      </c>
      <c r="B11" s="193">
        <v>5</v>
      </c>
      <c r="C11" s="194" t="s">
        <v>91</v>
      </c>
      <c r="D11" s="195" t="s">
        <v>92</v>
      </c>
      <c r="E11" s="196" t="s">
        <v>93</v>
      </c>
      <c r="F11" s="195" t="s">
        <v>94</v>
      </c>
      <c r="G11" s="197"/>
      <c r="H11" s="198" t="s">
        <v>95</v>
      </c>
      <c r="I11" s="32"/>
      <c r="J11" s="199">
        <v>1</v>
      </c>
      <c r="K11" s="184" t="str">
        <f t="shared" si="10"/>
        <v>МС</v>
      </c>
      <c r="L11" s="184" t="str">
        <f t="shared" si="11"/>
        <v>Оренбургская</v>
      </c>
      <c r="M11" s="200" t="str">
        <f t="array" ref="M11">IFERROR(INDEX(субъект,MATCH(SUM(COUNTIF(M$6:M10,субъект)),COUNTIF(субъект,"&lt;"&amp;субъект),0)),"")</f>
        <v/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/>
      </c>
      <c r="Q11" s="202">
        <f t="shared" si="2"/>
        <v>0</v>
      </c>
      <c r="R11" s="202">
        <f t="shared" si="3"/>
        <v>0</v>
      </c>
      <c r="S11" s="203">
        <f t="shared" si="4"/>
        <v>0</v>
      </c>
      <c r="T11" s="204">
        <f t="shared" si="5"/>
        <v>0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/>
      </c>
      <c r="Z11" s="118" t="str">
        <f>IF(OR($Y11=$Y9,$Y11=$Y10,$Y11=$Y8,$Y11=$Y7)," ",IF(Q11=0," ",Q11))</f>
        <v xml:space="preserve"> </v>
      </c>
      <c r="AA11" s="118" t="str">
        <f>IF(OR($Y11=$Y9,$Y11=$Y10,$Y11=$Y8,$Y11=$Y7)," ",IF(R11=0," ",R11))</f>
        <v xml:space="preserve"> </v>
      </c>
      <c r="AB11" s="118" t="str">
        <f>IF(OR($Y11=$Y9,$Y11=$Y10,$Y11=$Y8,$Y11=$Y7)," ",IF(S11=0," ",S11))</f>
        <v xml:space="preserve"> 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57</v>
      </c>
      <c r="B12" s="193">
        <v>6</v>
      </c>
      <c r="C12" s="194" t="s">
        <v>109</v>
      </c>
      <c r="D12" s="195" t="s">
        <v>110</v>
      </c>
      <c r="E12" s="194" t="s">
        <v>102</v>
      </c>
      <c r="F12" s="195" t="s">
        <v>111</v>
      </c>
      <c r="G12" s="194"/>
      <c r="H12" s="198" t="s">
        <v>112</v>
      </c>
      <c r="I12" s="32"/>
      <c r="J12" s="199">
        <v>1</v>
      </c>
      <c r="K12" s="184" t="str">
        <f t="shared" si="10"/>
        <v>КМС</v>
      </c>
      <c r="L12" s="184" t="str">
        <f t="shared" si="11"/>
        <v>Свердловская</v>
      </c>
      <c r="M12" s="200" t="str">
        <f t="array" ref="M12">IFERROR(INDEX(субъект,MATCH(SUM(COUNTIF(M$6:M11,субъект)),COUNTIF(субъект,"&lt;"&amp;субъект),0)),"")</f>
        <v/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/>
      </c>
      <c r="Q12" s="202">
        <f t="shared" si="2"/>
        <v>0</v>
      </c>
      <c r="R12" s="202">
        <f t="shared" si="3"/>
        <v>0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/>
      </c>
      <c r="Z12" s="118" t="str">
        <f>IF(OR($Y12=$Y10,$Y12=$Y11,$Y12=$Y9,$Y12=$Y8,$Y12=$Y7)," ",IF(Q12=0," ",Q12))</f>
        <v xml:space="preserve"> </v>
      </c>
      <c r="AA12" s="118" t="str">
        <f>IF(OR($Y12=$Y10,$Y12=$Y11,$Y12=$Y9,$Y12=$Y8,$Y12=$Y7)," ",IF(R12=0," ",R12))</f>
        <v xml:space="preserve"> 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58</v>
      </c>
      <c r="B13" s="207">
        <v>7</v>
      </c>
      <c r="C13" s="183"/>
      <c r="D13" s="183"/>
      <c r="E13" s="183"/>
      <c r="F13" s="195"/>
      <c r="G13" s="208"/>
      <c r="H13" s="209"/>
      <c r="I13" s="32"/>
      <c r="J13" s="199">
        <v>1</v>
      </c>
      <c r="K13" s="184">
        <f t="shared" si="10"/>
        <v>0</v>
      </c>
      <c r="L13" s="184">
        <f t="shared" si="11"/>
        <v>0</v>
      </c>
      <c r="M13" s="200" t="str">
        <f t="array" ref="M13">IFERROR(INDEX(субъект,MATCH(SUM(COUNTIF(M$6:M12,субъект)),COUNTIF(субъект,"&lt;"&amp;субъект),0)),"")</f>
        <v/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/>
      </c>
      <c r="Q13" s="202">
        <f t="shared" si="2"/>
        <v>0</v>
      </c>
      <c r="R13" s="202">
        <f t="shared" si="3"/>
        <v>0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59</v>
      </c>
      <c r="B14" s="207">
        <v>8</v>
      </c>
      <c r="C14" s="183"/>
      <c r="D14" s="183"/>
      <c r="E14" s="183"/>
      <c r="F14" s="183"/>
      <c r="G14" s="208"/>
      <c r="H14" s="209"/>
      <c r="I14" s="32"/>
      <c r="J14" s="199">
        <v>1</v>
      </c>
      <c r="K14" s="184">
        <f t="shared" si="10"/>
        <v>0</v>
      </c>
      <c r="L14" s="184">
        <f t="shared" si="11"/>
        <v>0</v>
      </c>
      <c r="M14" s="200" t="str">
        <f t="array" ref="M14">IFERROR(INDEX(субъект,MATCH(SUM(COUNTIF(M$6:M13,субъект)),COUNTIF(субъект,"&lt;"&amp;субъект),0)),"")</f>
        <v/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/>
      </c>
      <c r="Q14" s="202">
        <f t="shared" si="2"/>
        <v>0</v>
      </c>
      <c r="R14" s="202">
        <f t="shared" si="3"/>
        <v>0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41</v>
      </c>
      <c r="D15" s="157"/>
      <c r="E15" s="157"/>
      <c r="F15" s="157"/>
      <c r="G15" s="157"/>
      <c r="H15" s="157"/>
      <c r="I15" s="3"/>
      <c r="J15" s="234"/>
      <c r="K15" s="235"/>
      <c r="L15" s="236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34"/>
      <c r="K16" s="235"/>
      <c r="L16" s="236"/>
      <c r="M16" s="156"/>
      <c r="N16" s="156"/>
      <c r="O16" s="3"/>
    </row>
    <row r="17" spans="1:15">
      <c r="A17" s="5" t="s">
        <v>42</v>
      </c>
      <c r="D17" s="157"/>
      <c r="E17" s="157"/>
      <c r="F17" s="157"/>
      <c r="G17" s="157"/>
      <c r="H17" s="157"/>
      <c r="J17" s="234"/>
      <c r="K17" s="235"/>
      <c r="L17" s="236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34"/>
      <c r="K18" s="235"/>
      <c r="L18" s="236"/>
      <c r="M18" s="156"/>
      <c r="N18" s="156"/>
      <c r="O18" s="3"/>
    </row>
    <row r="19" spans="1:15">
      <c r="A19" s="5" t="s">
        <v>43</v>
      </c>
      <c r="D19" s="157"/>
      <c r="E19" s="157"/>
      <c r="F19" s="157"/>
      <c r="G19" s="157"/>
      <c r="H19" s="157"/>
      <c r="J19" s="234"/>
      <c r="K19" s="235"/>
      <c r="L19" s="236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34"/>
      <c r="K20" s="235"/>
      <c r="L20" s="236"/>
      <c r="M20" s="156"/>
      <c r="N20" s="156"/>
      <c r="O20" s="3"/>
    </row>
    <row r="21" spans="1:15">
      <c r="A21" s="5" t="s">
        <v>44</v>
      </c>
      <c r="D21" s="157"/>
      <c r="E21" s="157"/>
      <c r="F21" s="157"/>
      <c r="G21" s="157"/>
      <c r="H21" s="157"/>
      <c r="J21" s="234"/>
      <c r="K21" s="235"/>
      <c r="L21" s="236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34"/>
      <c r="K22" s="235"/>
      <c r="L22" s="236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1333500</xdr:colOff>
                    <xdr:row>5</xdr:row>
                    <xdr:rowOff>0</xdr:rowOff>
                  </from>
                  <to>
                    <xdr:col>5</xdr:col>
                    <xdr:colOff>1581150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295275</xdr:colOff>
                    <xdr:row>3</xdr:row>
                    <xdr:rowOff>47625</xdr:rowOff>
                  </from>
                  <to>
                    <xdr:col>1</xdr:col>
                    <xdr:colOff>542925</xdr:colOff>
                    <xdr:row>3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abSelected="1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81" t="s">
        <v>24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X1" s="116"/>
      <c r="Y1" s="116"/>
      <c r="Z1" s="116"/>
      <c r="AA1" s="116"/>
    </row>
    <row r="2" spans="1:28" ht="26.25" customHeight="1" thickBot="1">
      <c r="A2" s="88"/>
      <c r="B2" s="88"/>
      <c r="C2" s="282" t="s">
        <v>23</v>
      </c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88"/>
      <c r="T2" s="88"/>
      <c r="U2" s="88"/>
      <c r="X2" s="116"/>
      <c r="Y2" s="116"/>
      <c r="Z2" s="116"/>
      <c r="AA2" s="116"/>
    </row>
    <row r="3" spans="1:28" ht="39" customHeight="1" thickBot="1">
      <c r="A3" s="88"/>
      <c r="B3" s="88"/>
      <c r="C3" s="29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8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99" t="str">
        <f>пр.взв!A3</f>
        <v>26-29.08.2022г.                                              г.Казань</v>
      </c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314" t="str">
        <f>HYPERLINK(пр.взв!D4)</f>
        <v>В.к.  80   кг.</v>
      </c>
      <c r="I5" s="315"/>
      <c r="J5" s="315"/>
      <c r="K5" s="315"/>
      <c r="L5" s="315"/>
      <c r="M5" s="315"/>
      <c r="N5" s="316"/>
      <c r="O5" s="306" t="str">
        <f>W5&amp;" "&amp;AB5</f>
        <v>6 участников</v>
      </c>
      <c r="P5" s="307"/>
      <c r="Q5" s="308"/>
      <c r="R5" s="159"/>
      <c r="S5" s="88"/>
      <c r="T5" s="88"/>
      <c r="U5" s="88"/>
      <c r="W5">
        <f>пр.взв!AH7</f>
        <v>6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289" t="s">
        <v>0</v>
      </c>
      <c r="B7" s="289"/>
      <c r="C7" s="88"/>
      <c r="D7" s="88"/>
      <c r="E7" s="80"/>
      <c r="F7" s="80"/>
      <c r="G7" s="80"/>
      <c r="H7" s="80"/>
      <c r="I7" s="317" t="s">
        <v>18</v>
      </c>
      <c r="J7" s="317"/>
      <c r="K7" s="317"/>
      <c r="L7" s="317"/>
      <c r="M7" s="317"/>
      <c r="N7" s="80"/>
      <c r="O7" s="80"/>
      <c r="P7" s="80"/>
      <c r="Q7" s="65"/>
      <c r="R7" s="26"/>
      <c r="S7" s="89"/>
      <c r="T7" s="285" t="s">
        <v>1</v>
      </c>
      <c r="U7" s="285"/>
      <c r="X7" s="116"/>
      <c r="Y7" s="116"/>
      <c r="Z7" s="116"/>
      <c r="AA7" s="116"/>
    </row>
    <row r="8" spans="1:28" ht="12.75" customHeight="1" thickBot="1">
      <c r="A8" s="257">
        <v>1</v>
      </c>
      <c r="B8" s="287" t="str">
        <f>IFERROR(VLOOKUP(пр.хода!A8,пр.взв!$B$7:$H$14,2,0),"")</f>
        <v>БАЛАШОВА Анна Викторовна</v>
      </c>
      <c r="C8" s="258" t="str">
        <f>IFERROR(VLOOKUP(A8,пр.взв!$B$7:$H$14,3,0),"")</f>
        <v>18.11.83, ЗМС</v>
      </c>
      <c r="D8" s="258" t="str">
        <f>IFERROR(VLOOKUP(A8,пр.взв!$B$7:$H$14,5,0),"")</f>
        <v>Свердловская, Верхняя Пышма , Д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287" t="str">
        <f>IFERROR(VLOOKUP(U8,пр.взв!$B$7:$H$14,2,0),"")</f>
        <v>ХОМЯЧКОВА Анастасия Михайловна</v>
      </c>
      <c r="S8" s="258" t="str">
        <f>IFERROR(VLOOKUP(U8,пр.взв!$B$7:$H$14,3,0),"")</f>
        <v>16.09.97, ЗМС</v>
      </c>
      <c r="T8" s="258" t="str">
        <f>IFERROR(VLOOKUP(U8,пр.взв!$B$7:$H$14,5,0),"")</f>
        <v>Владимирская, Юрьев-Польский</v>
      </c>
      <c r="U8" s="279">
        <v>2</v>
      </c>
      <c r="X8" s="116"/>
      <c r="Y8" s="116"/>
      <c r="Z8" s="116"/>
      <c r="AA8" s="116"/>
    </row>
    <row r="9" spans="1:28" ht="12.75" customHeight="1">
      <c r="A9" s="254"/>
      <c r="B9" s="288"/>
      <c r="C9" s="286"/>
      <c r="D9" s="286"/>
      <c r="E9" s="66"/>
      <c r="F9" s="80"/>
      <c r="G9" s="81"/>
      <c r="H9" s="53"/>
      <c r="I9" s="290" t="str">
        <f>IFERROR(VLOOKUP(H9,пр.взв!$B$7:$H$14,2,0),"")</f>
        <v/>
      </c>
      <c r="J9" s="291"/>
      <c r="K9" s="291"/>
      <c r="L9" s="291"/>
      <c r="M9" s="292"/>
      <c r="N9" s="80"/>
      <c r="O9" s="80"/>
      <c r="P9" s="80"/>
      <c r="Q9" s="66"/>
      <c r="R9" s="288"/>
      <c r="S9" s="286"/>
      <c r="T9" s="286"/>
      <c r="U9" s="283"/>
      <c r="X9" s="116"/>
      <c r="Y9" s="116"/>
      <c r="Z9" s="116"/>
      <c r="AA9" s="116"/>
    </row>
    <row r="10" spans="1:28" ht="12.75" customHeight="1" thickBot="1">
      <c r="A10" s="253">
        <v>5</v>
      </c>
      <c r="B10" s="255" t="str">
        <f>IFERROR(VLOOKUP(пр.хода!A10,пр.взв!$B$7:$H$14,2,0),"")</f>
        <v xml:space="preserve">МАТВЕЕВА  Анастасия  Владимировна </v>
      </c>
      <c r="C10" s="272" t="str">
        <f>IFERROR(VLOOKUP(A10,пр.взв!$B$7:$H$14,3,0),"")</f>
        <v>16.04.00, МС</v>
      </c>
      <c r="D10" s="272" t="str">
        <f>IFERROR(VLOOKUP(A10,пр.взв!$B$7:$H$14,5,0),"")</f>
        <v xml:space="preserve">Оренбургская, Бузулук </v>
      </c>
      <c r="E10" s="72"/>
      <c r="F10" s="82"/>
      <c r="G10" s="83"/>
      <c r="H10" s="84"/>
      <c r="I10" s="293"/>
      <c r="J10" s="294"/>
      <c r="K10" s="294"/>
      <c r="L10" s="294"/>
      <c r="M10" s="295"/>
      <c r="N10" s="80"/>
      <c r="O10" s="85"/>
      <c r="P10" s="82"/>
      <c r="Q10" s="72"/>
      <c r="R10" s="255" t="str">
        <f>IFERROR(VLOOKUP(U10,пр.взв!$B$7:$H$14,2,0),"")</f>
        <v xml:space="preserve">ЛИХОТА Ольга Дмитриевна </v>
      </c>
      <c r="S10" s="272" t="str">
        <f>IFERROR(VLOOKUP(U10,пр.взв!$B$7:$H$14,3,0),"")</f>
        <v>02.06.00, КМС</v>
      </c>
      <c r="T10" s="272" t="str">
        <f>IFERROR(VLOOKUP(U10,пр.взв!$B$7:$H$14,5,0),"")</f>
        <v>Свердловская, Екатеринбург, ВС</v>
      </c>
      <c r="U10" s="279">
        <v>6</v>
      </c>
      <c r="X10" s="116"/>
      <c r="Y10" s="116"/>
      <c r="Z10" s="116"/>
      <c r="AA10" s="116"/>
    </row>
    <row r="11" spans="1:28" ht="12.75" customHeight="1" thickBot="1">
      <c r="A11" s="254"/>
      <c r="B11" s="256"/>
      <c r="C11" s="273"/>
      <c r="D11" s="273"/>
      <c r="E11" s="80"/>
      <c r="F11" s="84"/>
      <c r="G11" s="66"/>
      <c r="H11" s="86"/>
      <c r="I11" s="80"/>
      <c r="J11" s="80"/>
      <c r="K11" s="73"/>
      <c r="L11" s="80"/>
      <c r="M11" s="80"/>
      <c r="N11" s="84"/>
      <c r="O11" s="66"/>
      <c r="P11" s="84"/>
      <c r="Q11" s="80"/>
      <c r="R11" s="256"/>
      <c r="S11" s="273"/>
      <c r="T11" s="273"/>
      <c r="U11" s="283"/>
      <c r="X11" s="116"/>
      <c r="Y11" s="116"/>
      <c r="Z11" s="116"/>
      <c r="AA11" s="116"/>
    </row>
    <row r="12" spans="1:28" ht="12.75" customHeight="1" thickBot="1">
      <c r="A12" s="257">
        <v>3</v>
      </c>
      <c r="B12" s="274" t="str">
        <f>IFERROR(VLOOKUP(пр.хода!A12,пр.взв!$B$7:$H$14,2,0),"")</f>
        <v>АЛЛЕНОВА Елена Дмитриеана</v>
      </c>
      <c r="C12" s="270" t="str">
        <f>IFERROR(VLOOKUP(A12,пр.взв!$B$7:$H$14,3,0),"")</f>
        <v>23.03.03, МС</v>
      </c>
      <c r="D12" s="270" t="str">
        <f>IFERROR(VLOOKUP(A12,пр.взв!$B$7:$H$14,5,0),"")</f>
        <v>Тульская, Тула, МО</v>
      </c>
      <c r="E12" s="80"/>
      <c r="F12" s="84"/>
      <c r="G12" s="72"/>
      <c r="H12" s="86"/>
      <c r="I12" s="80"/>
      <c r="J12" s="80"/>
      <c r="K12" s="80"/>
      <c r="L12" s="80"/>
      <c r="M12" s="80"/>
      <c r="N12" s="84"/>
      <c r="O12" s="72"/>
      <c r="P12" s="84"/>
      <c r="Q12" s="80"/>
      <c r="R12" s="274" t="str">
        <f>IFERROR(VLOOKUP(U12,пр.взв!$B$7:$H$14,2,0),"")</f>
        <v xml:space="preserve">РЕЧКАЛОВА  Дарья  Андреевна </v>
      </c>
      <c r="S12" s="270" t="str">
        <f>IFERROR(VLOOKUP(U12,пр.взв!$B$7:$H$14,3,0),"")</f>
        <v>19.06.03, МС</v>
      </c>
      <c r="T12" s="270" t="str">
        <f>IFERROR(VLOOKUP(U12,пр.взв!$B$7:$H$14,5,0),"")</f>
        <v>Свердловская, Екатеринбург , МС</v>
      </c>
      <c r="U12" s="284">
        <v>4</v>
      </c>
      <c r="X12" s="116"/>
      <c r="Y12" s="116"/>
      <c r="Z12" s="116"/>
      <c r="AA12" s="116"/>
    </row>
    <row r="13" spans="1:28" ht="12.75" customHeight="1" thickBot="1">
      <c r="A13" s="254"/>
      <c r="B13" s="275"/>
      <c r="C13" s="271"/>
      <c r="D13" s="271"/>
      <c r="E13" s="66">
        <v>3</v>
      </c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>
        <v>4</v>
      </c>
      <c r="R13" s="275"/>
      <c r="S13" s="271"/>
      <c r="T13" s="271"/>
      <c r="U13" s="283"/>
      <c r="X13" s="116"/>
      <c r="Y13" s="116"/>
      <c r="Z13" s="116"/>
      <c r="AA13" s="116"/>
    </row>
    <row r="14" spans="1:28" ht="12.75" customHeight="1" thickBot="1">
      <c r="A14" s="253">
        <v>7</v>
      </c>
      <c r="B14" s="466">
        <f>IFERROR(VLOOKUP(пр.хода!A14,пр.взв!$B$7:$H$14,2,0),"")</f>
        <v>0</v>
      </c>
      <c r="C14" s="467">
        <f>IFERROR(VLOOKUP(A14,пр.взв!$B$7:$H$14,3,0),"")</f>
        <v>0</v>
      </c>
      <c r="D14" s="467">
        <f>IFERROR(VLOOKUP(A14,пр.взв!$B$7:$H$14,5,0),"")</f>
        <v>0</v>
      </c>
      <c r="E14" s="72"/>
      <c r="F14" s="80"/>
      <c r="G14" s="81"/>
      <c r="H14" s="53" t="str">
        <f>Y25</f>
        <v/>
      </c>
      <c r="I14" s="300" t="str">
        <f>IFERROR(VLOOKUP(H14,пр.взв!$B$7:$H$14,2,0),"")</f>
        <v/>
      </c>
      <c r="J14" s="301"/>
      <c r="K14" s="301"/>
      <c r="L14" s="301"/>
      <c r="M14" s="302"/>
      <c r="N14" s="80"/>
      <c r="O14" s="80"/>
      <c r="P14" s="80"/>
      <c r="Q14" s="72"/>
      <c r="R14" s="466">
        <f>IFERROR(VLOOKUP(U14,пр.взв!$B$7:$H$14,2,0),"")</f>
        <v>0</v>
      </c>
      <c r="S14" s="467">
        <f>IFERROR(VLOOKUP(U14,пр.взв!$B$7:$H$14,3,0),"")</f>
        <v>0</v>
      </c>
      <c r="T14" s="467">
        <f>IFERROR(VLOOKUP(U14,пр.взв!$B$7:$H$14,5,0),"")</f>
        <v>0</v>
      </c>
      <c r="U14" s="279">
        <v>8</v>
      </c>
      <c r="X14" s="116"/>
      <c r="Y14" s="116"/>
      <c r="Z14" s="116"/>
      <c r="AA14" s="116"/>
    </row>
    <row r="15" spans="1:28" ht="12.75" customHeight="1" thickBot="1">
      <c r="A15" s="277"/>
      <c r="B15" s="468"/>
      <c r="C15" s="469"/>
      <c r="D15" s="469"/>
      <c r="E15" s="80"/>
      <c r="F15" s="80"/>
      <c r="G15" s="81"/>
      <c r="H15" s="84"/>
      <c r="I15" s="303"/>
      <c r="J15" s="304"/>
      <c r="K15" s="304"/>
      <c r="L15" s="304"/>
      <c r="M15" s="305"/>
      <c r="N15" s="80"/>
      <c r="O15" s="80"/>
      <c r="P15" s="80"/>
      <c r="Q15" s="80"/>
      <c r="R15" s="468"/>
      <c r="S15" s="469"/>
      <c r="T15" s="469"/>
      <c r="U15" s="280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276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278" t="s">
        <v>3</v>
      </c>
      <c r="X17" s="116"/>
      <c r="Y17" s="116"/>
      <c r="Z17" s="116"/>
      <c r="AA17" s="116"/>
    </row>
    <row r="18" spans="1:27" ht="12.75" customHeight="1">
      <c r="A18" s="276"/>
      <c r="B18" s="88"/>
      <c r="C18" s="88"/>
      <c r="D18" s="88"/>
      <c r="E18" s="88"/>
      <c r="F18" s="88"/>
      <c r="G18" s="313" t="s">
        <v>25</v>
      </c>
      <c r="H18" s="313"/>
      <c r="I18" s="313"/>
      <c r="J18" s="313"/>
      <c r="K18" s="313"/>
      <c r="L18" s="313"/>
      <c r="M18" s="313"/>
      <c r="N18" s="313"/>
      <c r="O18" s="313"/>
      <c r="P18" s="88"/>
      <c r="Q18" s="88"/>
      <c r="R18" s="89"/>
      <c r="S18" s="89"/>
      <c r="T18" s="89"/>
      <c r="U18" s="278"/>
      <c r="X18" s="116"/>
      <c r="Y18" s="116" t="s">
        <v>63</v>
      </c>
      <c r="Z18" s="116" t="s">
        <v>64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 t="str">
        <f>IF(G11="","",IF(G11=E9,E13,E9))</f>
        <v/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 t="str">
        <f>IF(O11="","",IF(O11=Q9,Q13,Q9))</f>
        <v/>
      </c>
      <c r="Z20" s="113"/>
      <c r="AA20" s="111"/>
    </row>
    <row r="21" spans="1:27" ht="12.75" customHeight="1">
      <c r="A21" s="68" t="str">
        <f>Y21</f>
        <v xml:space="preserve"> </v>
      </c>
      <c r="B21" s="270" t="str">
        <f>IFERROR(VLOOKUP(A21,пр.взв!$B$7:$H$14,2,0),"")</f>
        <v/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6" t="str">
        <f>IFERROR(VLOOKUP(U21,пр.взв!$B$7:$H$14,2,0),"")</f>
        <v/>
      </c>
      <c r="T21" s="267"/>
      <c r="U21" s="69" t="str">
        <f>Y22</f>
        <v xml:space="preserve"> </v>
      </c>
      <c r="V21" s="88"/>
      <c r="X21" s="111"/>
      <c r="Y21" s="112" t="str">
        <f>IF(A10=""," ",IF(E9=""," ",IF(E9=A8,A10,IF(E9=A10,A8,"Х"))))</f>
        <v xml:space="preserve"> </v>
      </c>
      <c r="Z21" s="113" t="str">
        <f>IF(C22=""," ",IF(C22=E25,B27,C22))</f>
        <v xml:space="preserve"> </v>
      </c>
      <c r="AA21" s="111"/>
    </row>
    <row r="22" spans="1:27" ht="12.75" customHeight="1">
      <c r="A22" s="68"/>
      <c r="B22" s="271"/>
      <c r="C22" s="163"/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309"/>
      <c r="T22" s="310"/>
      <c r="U22" s="69"/>
      <c r="V22" s="88"/>
      <c r="X22" s="111"/>
      <c r="Y22" s="112" t="str">
        <f>IF(U10=""," ",IF(Q9=""," ",IF(Q9=U8,U10,IF(Q9=U10,U8,"Х"))))</f>
        <v xml:space="preserve"> </v>
      </c>
      <c r="Z22" s="113" t="str">
        <f>IF(R22=""," ",IF(R22=Q25,S27,R22))</f>
        <v xml:space="preserve"> </v>
      </c>
      <c r="AA22" s="111"/>
    </row>
    <row r="23" spans="1:27" ht="12.75" customHeight="1">
      <c r="A23" s="68">
        <f>Y23</f>
        <v>7</v>
      </c>
      <c r="B23" s="272">
        <f>IFERROR(VLOOKUP(A23,пр.взв!$B$7:$H$14,2,0),"")</f>
        <v>0</v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311">
        <f>IFERROR(VLOOKUP(U23,пр.взв!$B$7:$H$14,2,0),"")</f>
        <v>0</v>
      </c>
      <c r="T23" s="312"/>
      <c r="U23" s="69">
        <f>Y24</f>
        <v>8</v>
      </c>
      <c r="V23" s="88"/>
      <c r="X23" s="111"/>
      <c r="Y23" s="112">
        <f>IF(A14=""," ",IF(E13=""," ",IF(E13=A12,A14,IF(E13=A14,A12,"Х"))))</f>
        <v>7</v>
      </c>
      <c r="Z23" s="113">
        <f>IF(A23="","",IF(A23=C22,A21,A23))</f>
        <v>7</v>
      </c>
      <c r="AA23" s="111"/>
    </row>
    <row r="24" spans="1:27" ht="13.5" thickBot="1">
      <c r="A24" s="90"/>
      <c r="B24" s="273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68"/>
      <c r="T24" s="269"/>
      <c r="U24" s="69"/>
      <c r="V24" s="88"/>
      <c r="X24" s="111"/>
      <c r="Y24" s="112">
        <f>IF(U14=""," ",IF(Q13=""," ",IF(Q13=U12,U14,IF(Q13=U14,U12,"Х"))))</f>
        <v>8</v>
      </c>
      <c r="Z24" s="113">
        <f>IF(U23="","",IF(U23=R22,U21,U23))</f>
        <v>8</v>
      </c>
      <c r="AA24" s="111"/>
    </row>
    <row r="25" spans="1:27">
      <c r="A25" s="88"/>
      <c r="B25" s="88"/>
      <c r="C25" s="91"/>
      <c r="D25" s="167"/>
      <c r="E25" s="170"/>
      <c r="F25" s="261" t="str">
        <f>IFERROR(VLOOKUP(E25,пр.взв!$B$7:$H$14,2,0),"")</f>
        <v/>
      </c>
      <c r="G25" s="261"/>
      <c r="H25" s="261"/>
      <c r="I25" s="262"/>
      <c r="J25" s="88"/>
      <c r="K25" s="88"/>
      <c r="L25" s="88"/>
      <c r="M25" s="260" t="str">
        <f>IFERROR(VLOOKUP(Q25,пр.взв!$B$7:$H$14,2,0),"")</f>
        <v/>
      </c>
      <c r="N25" s="261"/>
      <c r="O25" s="261"/>
      <c r="P25" s="262"/>
      <c r="Q25" s="171"/>
      <c r="R25" s="169"/>
      <c r="S25" s="88"/>
      <c r="T25" s="88"/>
      <c r="U25" s="88"/>
      <c r="V25" s="88"/>
      <c r="X25" s="111"/>
      <c r="Y25" s="111" t="str">
        <f>IF(H9="","",IF(H9=G11,O11,G11))</f>
        <v/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263"/>
      <c r="G26" s="264"/>
      <c r="H26" s="264"/>
      <c r="I26" s="265"/>
      <c r="J26" s="8"/>
      <c r="K26" s="8"/>
      <c r="L26" s="8"/>
      <c r="M26" s="263"/>
      <c r="N26" s="264"/>
      <c r="O26" s="264"/>
      <c r="P26" s="265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>
      <c r="A27" s="28"/>
      <c r="B27" s="8" t="str">
        <f>Y20</f>
        <v/>
      </c>
      <c r="C27" s="266" t="str">
        <f>IFERROR(VLOOKUP(B27,пр.взв!$B$7:$H$14,2,0),"")</f>
        <v/>
      </c>
      <c r="D27" s="267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258" t="str">
        <f>IFERROR(VLOOKUP(S27,пр.взв!$B$7:$H$14,2,0),"")</f>
        <v/>
      </c>
      <c r="S27" s="174" t="str">
        <f>Y19</f>
        <v/>
      </c>
      <c r="T27" s="88"/>
      <c r="U27" s="88"/>
      <c r="V27" s="88"/>
      <c r="X27" s="111"/>
      <c r="Y27" s="111"/>
      <c r="Z27" s="111"/>
      <c r="AA27" s="111"/>
    </row>
    <row r="28" spans="1:27" ht="13.5" thickBot="1">
      <c r="A28" s="91"/>
      <c r="B28" s="88"/>
      <c r="C28" s="268"/>
      <c r="D28" s="269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259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3.75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6.5">
      <c r="A31" s="88"/>
      <c r="B31" s="182" t="s">
        <v>85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33" t="str">
        <f>[1]реквизиты!$G$6</f>
        <v>А.Д.Валиуллов</v>
      </c>
      <c r="O31" s="88"/>
      <c r="P31" s="91"/>
      <c r="Q31" s="91"/>
      <c r="R31" s="181" t="str">
        <f>[1]реквизиты!$G$7</f>
        <v>/Татарстан/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6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33" t="str">
        <f>[1]реквизиты!$G$8</f>
        <v>В.И.Рожков</v>
      </c>
      <c r="O33" s="88"/>
      <c r="P33" s="179"/>
      <c r="Q33" s="179"/>
      <c r="R33" s="181" t="str">
        <f>[1]реквизиты!$G$9</f>
        <v>/Саратовская/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workbookViewId="0">
      <selection activeCell="D27" sqref="D27:D28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customWidth="1"/>
    <col min="6" max="6" width="12.42578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customWidth="1"/>
    <col min="16" max="16" width="11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71" t="s">
        <v>32</v>
      </c>
      <c r="C1" s="371"/>
      <c r="D1" s="371"/>
      <c r="E1" s="371"/>
      <c r="F1" s="371"/>
      <c r="G1" s="371"/>
      <c r="H1" s="371"/>
      <c r="I1" s="371"/>
      <c r="J1" s="371"/>
      <c r="L1" s="371" t="s">
        <v>32</v>
      </c>
      <c r="M1" s="371"/>
      <c r="N1" s="371"/>
      <c r="O1" s="371"/>
      <c r="P1" s="371"/>
      <c r="Q1" s="371"/>
      <c r="R1" s="371"/>
      <c r="S1" s="371"/>
      <c r="T1" s="371"/>
    </row>
    <row r="2" spans="1:20" ht="15.75" customHeight="1">
      <c r="B2" s="231">
        <v>0</v>
      </c>
      <c r="C2" s="232" t="s">
        <v>84</v>
      </c>
      <c r="D2" s="232"/>
      <c r="E2" s="336" t="str">
        <f>пр.взв!D4</f>
        <v>В.к.  80   кг.</v>
      </c>
      <c r="F2" s="336"/>
      <c r="G2" s="232"/>
      <c r="H2" s="232"/>
      <c r="I2" s="232"/>
      <c r="J2" s="232"/>
      <c r="L2" s="231">
        <f>B2</f>
        <v>0</v>
      </c>
      <c r="M2" s="232" t="s">
        <v>84</v>
      </c>
      <c r="N2" s="232"/>
      <c r="O2" s="336" t="str">
        <f>E2</f>
        <v>В.к.  80   кг.</v>
      </c>
      <c r="P2" s="336"/>
      <c r="Q2" s="232"/>
      <c r="R2" s="232"/>
      <c r="S2" s="232"/>
      <c r="T2" s="232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45" t="s">
        <v>38</v>
      </c>
      <c r="B4" s="347" t="s">
        <v>4</v>
      </c>
      <c r="C4" s="330" t="s">
        <v>5</v>
      </c>
      <c r="D4" s="322" t="s">
        <v>13</v>
      </c>
      <c r="E4" s="324" t="s">
        <v>14</v>
      </c>
      <c r="F4" s="325"/>
      <c r="G4" s="330" t="s">
        <v>15</v>
      </c>
      <c r="H4" s="332" t="s">
        <v>34</v>
      </c>
      <c r="I4" s="334" t="s">
        <v>16</v>
      </c>
      <c r="J4" s="343" t="s">
        <v>17</v>
      </c>
      <c r="K4" s="345" t="s">
        <v>38</v>
      </c>
      <c r="L4" s="347" t="s">
        <v>4</v>
      </c>
      <c r="M4" s="330" t="s">
        <v>5</v>
      </c>
      <c r="N4" s="322" t="s">
        <v>13</v>
      </c>
      <c r="O4" s="324" t="s">
        <v>14</v>
      </c>
      <c r="P4" s="325"/>
      <c r="Q4" s="330" t="s">
        <v>15</v>
      </c>
      <c r="R4" s="332" t="s">
        <v>34</v>
      </c>
      <c r="S4" s="334" t="s">
        <v>16</v>
      </c>
      <c r="T4" s="343" t="s">
        <v>17</v>
      </c>
    </row>
    <row r="5" spans="1:20" ht="13.5" customHeight="1" thickBot="1">
      <c r="A5" s="346"/>
      <c r="B5" s="348" t="s">
        <v>29</v>
      </c>
      <c r="C5" s="331"/>
      <c r="D5" s="323"/>
      <c r="E5" s="326"/>
      <c r="F5" s="327"/>
      <c r="G5" s="331"/>
      <c r="H5" s="333"/>
      <c r="I5" s="335"/>
      <c r="J5" s="344" t="s">
        <v>30</v>
      </c>
      <c r="K5" s="346"/>
      <c r="L5" s="348" t="s">
        <v>29</v>
      </c>
      <c r="M5" s="331"/>
      <c r="N5" s="323"/>
      <c r="O5" s="326"/>
      <c r="P5" s="327"/>
      <c r="Q5" s="331"/>
      <c r="R5" s="333"/>
      <c r="S5" s="335"/>
      <c r="T5" s="344" t="s">
        <v>30</v>
      </c>
    </row>
    <row r="6" spans="1:20">
      <c r="A6" s="349">
        <v>1</v>
      </c>
      <c r="B6" s="366">
        <v>1</v>
      </c>
      <c r="C6" s="369" t="str">
        <f>IFERROR(VLOOKUP(B6,пр.взв!$B$7:$H$14,2,0),"")</f>
        <v>БАЛАШОВА Анна Викторовна</v>
      </c>
      <c r="D6" s="365" t="str">
        <f>IFERROR(VLOOKUP(B6,пр.взв!$B$7:$H$14,3,0),"")</f>
        <v>18.11.83, ЗМС</v>
      </c>
      <c r="E6" s="318" t="str">
        <f>IFERROR(VLOOKUP(B6,пр.взв!$B$7:$H$14,4,0),"")</f>
        <v>УФО</v>
      </c>
      <c r="F6" s="365" t="str">
        <f>IFERROR(VLOOKUP(B6,пр.взв!$B$7:$H$14,5,0),"")</f>
        <v>Свердловская, Верхняя Пышма , Д</v>
      </c>
      <c r="G6" s="356"/>
      <c r="H6" s="358"/>
      <c r="I6" s="337"/>
      <c r="J6" s="322"/>
      <c r="K6" s="349">
        <v>3</v>
      </c>
      <c r="L6" s="366">
        <v>2</v>
      </c>
      <c r="M6" s="369" t="str">
        <f>IFERROR(VLOOKUP(L6,пр.взв!$B$7:$H$14,2,0),"")</f>
        <v>ХОМЯЧКОВА Анастасия Михайловна</v>
      </c>
      <c r="N6" s="365" t="str">
        <f>IFERROR(VLOOKUP(L6,пр.взв!$B$7:$H$14,3,0),"")</f>
        <v>16.09.97, ЗМС</v>
      </c>
      <c r="O6" s="318" t="str">
        <f>IFERROR(VLOOKUP(L6,пр.взв!$B$7:$H$14,4,0),"")</f>
        <v>ЦФО</v>
      </c>
      <c r="P6" s="365" t="str">
        <f>IFERROR(VLOOKUP(L6,пр.взв!$B$7:$H$14,5,0),"")</f>
        <v>Владимирская, Юрьев-Польский</v>
      </c>
      <c r="Q6" s="356"/>
      <c r="R6" s="358"/>
      <c r="S6" s="337"/>
      <c r="T6" s="322"/>
    </row>
    <row r="7" spans="1:20">
      <c r="A7" s="350"/>
      <c r="B7" s="367"/>
      <c r="C7" s="370"/>
      <c r="D7" s="357"/>
      <c r="E7" s="319"/>
      <c r="F7" s="357"/>
      <c r="G7" s="357"/>
      <c r="H7" s="357"/>
      <c r="I7" s="338"/>
      <c r="J7" s="245"/>
      <c r="K7" s="350"/>
      <c r="L7" s="367"/>
      <c r="M7" s="370"/>
      <c r="N7" s="357"/>
      <c r="O7" s="319"/>
      <c r="P7" s="357"/>
      <c r="Q7" s="357"/>
      <c r="R7" s="357"/>
      <c r="S7" s="338"/>
      <c r="T7" s="245"/>
    </row>
    <row r="8" spans="1:20">
      <c r="A8" s="350"/>
      <c r="B8" s="367">
        <v>5</v>
      </c>
      <c r="C8" s="328" t="str">
        <f>IFERROR(VLOOKUP(B8,пр.взв!$B$7:$H$14,2,0),"")</f>
        <v xml:space="preserve">МАТВЕЕВА  Анастасия  Владимировна </v>
      </c>
      <c r="D8" s="320" t="str">
        <f>IFERROR(VLOOKUP(B8,пр.взв!$B$7:$H$14,3,0),"")</f>
        <v>16.04.00, МС</v>
      </c>
      <c r="E8" s="320" t="str">
        <f>IFERROR(VLOOKUP(B8,пр.взв!$B$7:$H$14,4,0),"")</f>
        <v>ПФО</v>
      </c>
      <c r="F8" s="320" t="str">
        <f>IFERROR(VLOOKUP(B8,пр.взв!$B$7:$H$14,5,0),"")</f>
        <v xml:space="preserve">Оренбургская, Бузулук </v>
      </c>
      <c r="G8" s="341"/>
      <c r="H8" s="341"/>
      <c r="I8" s="246"/>
      <c r="J8" s="246"/>
      <c r="K8" s="350"/>
      <c r="L8" s="367">
        <v>6</v>
      </c>
      <c r="M8" s="328" t="str">
        <f>IFERROR(VLOOKUP(L8,пр.взв!$B$7:$H$14,2,0),"")</f>
        <v xml:space="preserve">ЛИХОТА Ольга Дмитриевна </v>
      </c>
      <c r="N8" s="320" t="str">
        <f>IFERROR(VLOOKUP(L8,пр.взв!$B$7:$H$14,3,0),"")</f>
        <v>02.06.00, КМС</v>
      </c>
      <c r="O8" s="320" t="str">
        <f>IFERROR(VLOOKUP(L8,пр.взв!$B$7:$H$14,4,0),"")</f>
        <v>УФО</v>
      </c>
      <c r="P8" s="320" t="str">
        <f>IFERROR(VLOOKUP(L8,пр.взв!$B$7:$H$14,5,0),"")</f>
        <v>Свердловская, Екатеринбург, ВС</v>
      </c>
      <c r="Q8" s="341"/>
      <c r="R8" s="341"/>
      <c r="S8" s="246"/>
      <c r="T8" s="246"/>
    </row>
    <row r="9" spans="1:20" ht="12.95" customHeight="1" thickBot="1">
      <c r="A9" s="351"/>
      <c r="B9" s="368"/>
      <c r="C9" s="329"/>
      <c r="D9" s="321"/>
      <c r="E9" s="321"/>
      <c r="F9" s="321"/>
      <c r="G9" s="342"/>
      <c r="H9" s="342"/>
      <c r="I9" s="335"/>
      <c r="J9" s="335"/>
      <c r="K9" s="351"/>
      <c r="L9" s="368"/>
      <c r="M9" s="329"/>
      <c r="N9" s="321"/>
      <c r="O9" s="321"/>
      <c r="P9" s="321"/>
      <c r="Q9" s="342"/>
      <c r="R9" s="342"/>
      <c r="S9" s="335"/>
      <c r="T9" s="335"/>
    </row>
    <row r="10" spans="1:20">
      <c r="A10" s="349">
        <v>2</v>
      </c>
      <c r="B10" s="366">
        <v>3</v>
      </c>
      <c r="C10" s="354" t="str">
        <f>IFERROR(VLOOKUP(B10,пр.взв!$B$7:$H$14,2,0),"")</f>
        <v>АЛЛЕНОВА Елена Дмитриеана</v>
      </c>
      <c r="D10" s="318" t="str">
        <f>IFERROR(VLOOKUP(B10,пр.взв!$B$7:$H$14,3,0),"")</f>
        <v>23.03.03, МС</v>
      </c>
      <c r="E10" s="318" t="str">
        <f>IFERROR(VLOOKUP(B10,пр.взв!$B$7:$H$14,4,0),"")</f>
        <v>ЦФО</v>
      </c>
      <c r="F10" s="318" t="str">
        <f>IFERROR(VLOOKUP(B10,пр.взв!$B$7:$H$14,5,0),"")</f>
        <v>Тульская, Тула, МО</v>
      </c>
      <c r="G10" s="356"/>
      <c r="H10" s="358"/>
      <c r="I10" s="337"/>
      <c r="J10" s="365"/>
      <c r="K10" s="349">
        <v>4</v>
      </c>
      <c r="L10" s="366">
        <v>4</v>
      </c>
      <c r="M10" s="354" t="str">
        <f>IFERROR(VLOOKUP(L10,пр.взв!$B$7:$H$14,2,0),"")</f>
        <v xml:space="preserve">РЕЧКАЛОВА  Дарья  Андреевна </v>
      </c>
      <c r="N10" s="318" t="str">
        <f>IFERROR(VLOOKUP(L10,пр.взв!$B$7:$H$14,3,0),"")</f>
        <v>19.06.03, МС</v>
      </c>
      <c r="O10" s="318" t="str">
        <f>IFERROR(VLOOKUP(L10,пр.взв!$B$7:$H$14,4,0),"")</f>
        <v>УФО</v>
      </c>
      <c r="P10" s="318" t="str">
        <f>IFERROR(VLOOKUP(L10,пр.взв!$B$7:$H$14,5,0),"")</f>
        <v>Свердловская, Екатеринбург , МС</v>
      </c>
      <c r="Q10" s="356"/>
      <c r="R10" s="358"/>
      <c r="S10" s="337"/>
      <c r="T10" s="365"/>
    </row>
    <row r="11" spans="1:20" ht="12.6" customHeight="1">
      <c r="A11" s="350"/>
      <c r="B11" s="367"/>
      <c r="C11" s="355"/>
      <c r="D11" s="319"/>
      <c r="E11" s="319"/>
      <c r="F11" s="319"/>
      <c r="G11" s="357"/>
      <c r="H11" s="357"/>
      <c r="I11" s="338"/>
      <c r="J11" s="245"/>
      <c r="K11" s="350"/>
      <c r="L11" s="367"/>
      <c r="M11" s="355"/>
      <c r="N11" s="319"/>
      <c r="O11" s="319"/>
      <c r="P11" s="319"/>
      <c r="Q11" s="357"/>
      <c r="R11" s="357"/>
      <c r="S11" s="338"/>
      <c r="T11" s="245"/>
    </row>
    <row r="12" spans="1:20">
      <c r="A12" s="350"/>
      <c r="B12" s="367">
        <v>7</v>
      </c>
      <c r="C12" s="328">
        <f>IFERROR(VLOOKUP(B12,пр.взв!$B$7:$H$14,2,0),"")</f>
        <v>0</v>
      </c>
      <c r="D12" s="320">
        <f>IFERROR(VLOOKUP(B12,пр.взв!$B$7:$H$14,3,0),"")</f>
        <v>0</v>
      </c>
      <c r="E12" s="320">
        <f>IFERROR(VLOOKUP(B12,пр.взв!$B$7:$H$14,4,0),"")</f>
        <v>0</v>
      </c>
      <c r="F12" s="320">
        <f>IFERROR(VLOOKUP(B12,пр.взв!$B$7:$H$14,5,0),"")</f>
        <v>0</v>
      </c>
      <c r="G12" s="341"/>
      <c r="H12" s="341"/>
      <c r="I12" s="246"/>
      <c r="J12" s="246"/>
      <c r="K12" s="350"/>
      <c r="L12" s="367">
        <v>8</v>
      </c>
      <c r="M12" s="328">
        <f>IFERROR(VLOOKUP(L12,пр.взв!$B$7:$H$14,2,0),"")</f>
        <v>0</v>
      </c>
      <c r="N12" s="320">
        <f>IFERROR(VLOOKUP(L12,пр.взв!$B$7:$H$14,3,0),"")</f>
        <v>0</v>
      </c>
      <c r="O12" s="320">
        <f>IFERROR(VLOOKUP(L12,пр.взв!$B$7:$H$14,4,0),"")</f>
        <v>0</v>
      </c>
      <c r="P12" s="320">
        <f>IFERROR(VLOOKUP(L12,пр.взв!$B$7:$H$14,5,0),"")</f>
        <v>0</v>
      </c>
      <c r="Q12" s="341"/>
      <c r="R12" s="341"/>
      <c r="S12" s="246"/>
      <c r="T12" s="246"/>
    </row>
    <row r="13" spans="1:20" ht="12.95" customHeight="1" thickBot="1">
      <c r="A13" s="351"/>
      <c r="B13" s="368"/>
      <c r="C13" s="329"/>
      <c r="D13" s="321"/>
      <c r="E13" s="321"/>
      <c r="F13" s="321"/>
      <c r="G13" s="342"/>
      <c r="H13" s="342"/>
      <c r="I13" s="335"/>
      <c r="J13" s="335"/>
      <c r="K13" s="351"/>
      <c r="L13" s="368"/>
      <c r="M13" s="329"/>
      <c r="N13" s="321"/>
      <c r="O13" s="321"/>
      <c r="P13" s="321"/>
      <c r="Q13" s="342"/>
      <c r="R13" s="342"/>
      <c r="S13" s="335"/>
      <c r="T13" s="335"/>
    </row>
    <row r="14" spans="1:20" ht="15.75">
      <c r="B14" s="231">
        <f>B2</f>
        <v>0</v>
      </c>
      <c r="C14" s="232" t="s">
        <v>84</v>
      </c>
      <c r="D14" s="232"/>
      <c r="E14" s="336" t="str">
        <f>E2</f>
        <v>В.к.  80   кг.</v>
      </c>
      <c r="F14" s="336"/>
      <c r="G14" s="232"/>
      <c r="H14" s="232"/>
      <c r="I14" s="232"/>
      <c r="J14" s="232"/>
      <c r="L14" s="231">
        <f>L2</f>
        <v>0</v>
      </c>
      <c r="M14" s="232" t="s">
        <v>84</v>
      </c>
      <c r="N14" s="232"/>
      <c r="O14" s="336" t="str">
        <f>O2</f>
        <v>В.к.  80   кг.</v>
      </c>
      <c r="P14" s="336"/>
      <c r="Q14" s="232"/>
      <c r="R14" s="232"/>
      <c r="S14" s="232"/>
      <c r="T14" s="232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45" t="s">
        <v>38</v>
      </c>
      <c r="B16" s="347" t="s">
        <v>4</v>
      </c>
      <c r="C16" s="330" t="s">
        <v>5</v>
      </c>
      <c r="D16" s="322" t="s">
        <v>13</v>
      </c>
      <c r="E16" s="324" t="s">
        <v>14</v>
      </c>
      <c r="F16" s="325"/>
      <c r="G16" s="330" t="s">
        <v>15</v>
      </c>
      <c r="H16" s="332" t="s">
        <v>34</v>
      </c>
      <c r="I16" s="334" t="s">
        <v>16</v>
      </c>
      <c r="J16" s="343" t="s">
        <v>17</v>
      </c>
      <c r="K16" s="345" t="s">
        <v>38</v>
      </c>
      <c r="L16" s="347" t="s">
        <v>4</v>
      </c>
      <c r="M16" s="330" t="s">
        <v>5</v>
      </c>
      <c r="N16" s="322" t="s">
        <v>13</v>
      </c>
      <c r="O16" s="324" t="s">
        <v>14</v>
      </c>
      <c r="P16" s="325"/>
      <c r="Q16" s="330" t="s">
        <v>15</v>
      </c>
      <c r="R16" s="332" t="s">
        <v>34</v>
      </c>
      <c r="S16" s="334" t="s">
        <v>16</v>
      </c>
      <c r="T16" s="343" t="s">
        <v>17</v>
      </c>
    </row>
    <row r="17" spans="1:20" ht="13.5" customHeight="1" thickBot="1">
      <c r="A17" s="346"/>
      <c r="B17" s="348" t="s">
        <v>29</v>
      </c>
      <c r="C17" s="331"/>
      <c r="D17" s="323"/>
      <c r="E17" s="326"/>
      <c r="F17" s="327"/>
      <c r="G17" s="331"/>
      <c r="H17" s="333"/>
      <c r="I17" s="335"/>
      <c r="J17" s="344" t="s">
        <v>30</v>
      </c>
      <c r="K17" s="346"/>
      <c r="L17" s="348" t="s">
        <v>29</v>
      </c>
      <c r="M17" s="331"/>
      <c r="N17" s="323"/>
      <c r="O17" s="326"/>
      <c r="P17" s="327"/>
      <c r="Q17" s="331"/>
      <c r="R17" s="333"/>
      <c r="S17" s="335"/>
      <c r="T17" s="344" t="s">
        <v>30</v>
      </c>
    </row>
    <row r="18" spans="1:20">
      <c r="A18" s="360">
        <v>1</v>
      </c>
      <c r="B18" s="363">
        <f>пр.хода!E9</f>
        <v>0</v>
      </c>
      <c r="C18" s="354" t="str">
        <f>IFERROR(VLOOKUP(B18,пр.взв!$B$7:$H$14,2,0),"")</f>
        <v/>
      </c>
      <c r="D18" s="318" t="str">
        <f>IFERROR(VLOOKUP(B18,пр.взв!$B$7:$H$14,3,0),"")</f>
        <v/>
      </c>
      <c r="E18" s="318" t="str">
        <f>IFERROR(VLOOKUP(B18,пр.взв!$B$7:$H$14,4,0),"")</f>
        <v/>
      </c>
      <c r="F18" s="318" t="str">
        <f>IFERROR(VLOOKUP(B18,пр.взв!$B$7:$H$14,5,0),"")</f>
        <v/>
      </c>
      <c r="G18" s="356"/>
      <c r="H18" s="358"/>
      <c r="I18" s="337"/>
      <c r="J18" s="322"/>
      <c r="K18" s="360">
        <v>2</v>
      </c>
      <c r="L18" s="363">
        <f>пр.хода!Q9</f>
        <v>0</v>
      </c>
      <c r="M18" s="354" t="str">
        <f>IFERROR(VLOOKUP(L18,пр.взв!$B$7:$H$14,2,0),"")</f>
        <v/>
      </c>
      <c r="N18" s="318" t="str">
        <f>IFERROR(VLOOKUP(L18,пр.взв!$B$7:$H$14,3,0),"")</f>
        <v/>
      </c>
      <c r="O18" s="318" t="str">
        <f>IFERROR(VLOOKUP(L18,пр.взв!$B$7:$H$14,4,0),"")</f>
        <v/>
      </c>
      <c r="P18" s="318" t="str">
        <f>IFERROR(VLOOKUP(L18,пр.взв!$B$7:$H$14,5,0),"")</f>
        <v/>
      </c>
      <c r="Q18" s="356"/>
      <c r="R18" s="358"/>
      <c r="S18" s="337"/>
      <c r="T18" s="322"/>
    </row>
    <row r="19" spans="1:20" ht="12.6" customHeight="1">
      <c r="A19" s="361"/>
      <c r="B19" s="353"/>
      <c r="C19" s="355"/>
      <c r="D19" s="319"/>
      <c r="E19" s="319"/>
      <c r="F19" s="319"/>
      <c r="G19" s="357"/>
      <c r="H19" s="357"/>
      <c r="I19" s="338"/>
      <c r="J19" s="245"/>
      <c r="K19" s="361"/>
      <c r="L19" s="353"/>
      <c r="M19" s="355"/>
      <c r="N19" s="319"/>
      <c r="O19" s="319"/>
      <c r="P19" s="319"/>
      <c r="Q19" s="357"/>
      <c r="R19" s="357"/>
      <c r="S19" s="338"/>
      <c r="T19" s="245"/>
    </row>
    <row r="20" spans="1:20">
      <c r="A20" s="361"/>
      <c r="B20" s="364">
        <f>пр.хода!E13</f>
        <v>3</v>
      </c>
      <c r="C20" s="328" t="str">
        <f>IFERROR(VLOOKUP(B20,пр.взв!$B$7:$H$14,2,0),"")</f>
        <v>АЛЛЕНОВА Елена Дмитриеана</v>
      </c>
      <c r="D20" s="320" t="str">
        <f>IFERROR(VLOOKUP(B20,пр.взв!$B$7:$H$14,3,0),"")</f>
        <v>23.03.03, МС</v>
      </c>
      <c r="E20" s="320" t="str">
        <f>IFERROR(VLOOKUP(B20,пр.взв!$B$7:$H$14,4,0),"")</f>
        <v>ЦФО</v>
      </c>
      <c r="F20" s="320" t="str">
        <f>IFERROR(VLOOKUP(B20,пр.взв!$B$7:$H$14,5,0),"")</f>
        <v>Тульская, Тула, МО</v>
      </c>
      <c r="G20" s="341"/>
      <c r="H20" s="341"/>
      <c r="I20" s="246"/>
      <c r="J20" s="246"/>
      <c r="K20" s="361"/>
      <c r="L20" s="364">
        <f>пр.хода!Q13</f>
        <v>4</v>
      </c>
      <c r="M20" s="328" t="str">
        <f>IFERROR(VLOOKUP(L20,пр.взв!$B$7:$H$14,2,0),"")</f>
        <v xml:space="preserve">РЕЧКАЛОВА  Дарья  Андреевна </v>
      </c>
      <c r="N20" s="320" t="str">
        <f>IFERROR(VLOOKUP(L20,пр.взв!$B$7:$H$14,3,0),"")</f>
        <v>19.06.03, МС</v>
      </c>
      <c r="O20" s="320" t="str">
        <f>IFERROR(VLOOKUP(L20,пр.взв!$B$7:$H$14,4,0),"")</f>
        <v>УФО</v>
      </c>
      <c r="P20" s="320" t="str">
        <f>IFERROR(VLOOKUP(L20,пр.взв!$B$7:$H$14,5,0),"")</f>
        <v>Свердловская, Екатеринбург , МС</v>
      </c>
      <c r="Q20" s="341"/>
      <c r="R20" s="341"/>
      <c r="S20" s="246"/>
      <c r="T20" s="246"/>
    </row>
    <row r="21" spans="1:20" ht="12.95" customHeight="1" thickBot="1">
      <c r="A21" s="362"/>
      <c r="B21" s="340"/>
      <c r="C21" s="329"/>
      <c r="D21" s="321"/>
      <c r="E21" s="321"/>
      <c r="F21" s="321"/>
      <c r="G21" s="342"/>
      <c r="H21" s="342"/>
      <c r="I21" s="335"/>
      <c r="J21" s="335"/>
      <c r="K21" s="362"/>
      <c r="L21" s="340"/>
      <c r="M21" s="329"/>
      <c r="N21" s="321"/>
      <c r="O21" s="321"/>
      <c r="P21" s="321"/>
      <c r="Q21" s="342"/>
      <c r="R21" s="342"/>
      <c r="S21" s="335"/>
      <c r="T21" s="335"/>
    </row>
    <row r="22" spans="1:20" ht="15.75">
      <c r="B22" s="231">
        <f>B14</f>
        <v>0</v>
      </c>
      <c r="C22" s="232" t="s">
        <v>84</v>
      </c>
      <c r="D22" s="232"/>
      <c r="E22" s="336" t="str">
        <f>E14</f>
        <v>В.к.  80   кг.</v>
      </c>
      <c r="F22" s="336"/>
      <c r="G22" s="232"/>
      <c r="H22" s="232"/>
      <c r="I22" s="232"/>
      <c r="J22" s="232"/>
      <c r="L22" s="231">
        <f>L14</f>
        <v>0</v>
      </c>
      <c r="M22" s="232" t="s">
        <v>84</v>
      </c>
      <c r="N22" s="232"/>
      <c r="O22" s="336" t="str">
        <f>O14</f>
        <v>В.к.  80   кг.</v>
      </c>
      <c r="P22" s="336"/>
      <c r="Q22" s="232"/>
      <c r="R22" s="232"/>
      <c r="S22" s="232"/>
      <c r="T22" s="232"/>
    </row>
    <row r="23" spans="1:20" ht="15">
      <c r="A23" s="359" t="s">
        <v>36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37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45" t="s">
        <v>38</v>
      </c>
      <c r="B25" s="347" t="s">
        <v>4</v>
      </c>
      <c r="C25" s="330" t="s">
        <v>5</v>
      </c>
      <c r="D25" s="322" t="s">
        <v>13</v>
      </c>
      <c r="E25" s="324" t="s">
        <v>14</v>
      </c>
      <c r="F25" s="325"/>
      <c r="G25" s="330" t="s">
        <v>15</v>
      </c>
      <c r="H25" s="332" t="s">
        <v>34</v>
      </c>
      <c r="I25" s="334" t="s">
        <v>16</v>
      </c>
      <c r="J25" s="343" t="s">
        <v>17</v>
      </c>
      <c r="K25" s="345" t="s">
        <v>38</v>
      </c>
      <c r="L25" s="347" t="s">
        <v>4</v>
      </c>
      <c r="M25" s="330" t="s">
        <v>5</v>
      </c>
      <c r="N25" s="322" t="s">
        <v>13</v>
      </c>
      <c r="O25" s="324" t="s">
        <v>14</v>
      </c>
      <c r="P25" s="325"/>
      <c r="Q25" s="330" t="s">
        <v>15</v>
      </c>
      <c r="R25" s="332" t="s">
        <v>34</v>
      </c>
      <c r="S25" s="334" t="s">
        <v>16</v>
      </c>
      <c r="T25" s="343" t="s">
        <v>17</v>
      </c>
    </row>
    <row r="26" spans="1:20" ht="13.5" customHeight="1" thickBot="1">
      <c r="A26" s="346"/>
      <c r="B26" s="348" t="s">
        <v>29</v>
      </c>
      <c r="C26" s="331"/>
      <c r="D26" s="323"/>
      <c r="E26" s="326"/>
      <c r="F26" s="327"/>
      <c r="G26" s="331"/>
      <c r="H26" s="333"/>
      <c r="I26" s="335"/>
      <c r="J26" s="344" t="s">
        <v>30</v>
      </c>
      <c r="K26" s="346"/>
      <c r="L26" s="348" t="s">
        <v>29</v>
      </c>
      <c r="M26" s="331"/>
      <c r="N26" s="323"/>
      <c r="O26" s="326"/>
      <c r="P26" s="327"/>
      <c r="Q26" s="331"/>
      <c r="R26" s="333"/>
      <c r="S26" s="335"/>
      <c r="T26" s="344" t="s">
        <v>30</v>
      </c>
    </row>
    <row r="27" spans="1:20">
      <c r="A27" s="349">
        <v>1</v>
      </c>
      <c r="B27" s="352" t="str">
        <f>пр.хода!A21</f>
        <v xml:space="preserve"> </v>
      </c>
      <c r="C27" s="354" t="str">
        <f>IFERROR(VLOOKUP(B27,пр.взв!$B$7:$H$14,2,0),"")</f>
        <v/>
      </c>
      <c r="D27" s="318" t="str">
        <f>IFERROR(VLOOKUP(B27,пр.взв!$B$7:$H$14,3,0),"")</f>
        <v/>
      </c>
      <c r="E27" s="318" t="str">
        <f>IFERROR(VLOOKUP(B27,пр.взв!$B$7:$H$14,4,0),"")</f>
        <v/>
      </c>
      <c r="F27" s="318" t="str">
        <f>IFERROR(VLOOKUP(B27,пр.взв!$B$7:$H$14,5,0),"")</f>
        <v/>
      </c>
      <c r="G27" s="356"/>
      <c r="H27" s="358"/>
      <c r="I27" s="337"/>
      <c r="J27" s="322"/>
      <c r="K27" s="349">
        <v>2</v>
      </c>
      <c r="L27" s="352" t="str">
        <f>пр.хода!U21</f>
        <v xml:space="preserve"> </v>
      </c>
      <c r="M27" s="354" t="str">
        <f>IFERROR(VLOOKUP(L27,пр.взв!$B$7:$H$14,2,0),"")</f>
        <v/>
      </c>
      <c r="N27" s="318" t="str">
        <f>IFERROR(VLOOKUP(L27,пр.взв!$B$7:$H$14,3,0),"")</f>
        <v/>
      </c>
      <c r="O27" s="318" t="str">
        <f>IFERROR(VLOOKUP(L27,пр.взв!$B$7:$H$14,4,0),"")</f>
        <v/>
      </c>
      <c r="P27" s="318" t="str">
        <f>IFERROR(VLOOKUP(L27,пр.взв!$B$7:$H$14,5,0),"")</f>
        <v/>
      </c>
      <c r="Q27" s="356"/>
      <c r="R27" s="358"/>
      <c r="S27" s="337"/>
      <c r="T27" s="322"/>
    </row>
    <row r="28" spans="1:20" ht="12.6" customHeight="1">
      <c r="A28" s="350"/>
      <c r="B28" s="353"/>
      <c r="C28" s="355"/>
      <c r="D28" s="319"/>
      <c r="E28" s="319"/>
      <c r="F28" s="319"/>
      <c r="G28" s="357"/>
      <c r="H28" s="357"/>
      <c r="I28" s="338"/>
      <c r="J28" s="245"/>
      <c r="K28" s="350"/>
      <c r="L28" s="353"/>
      <c r="M28" s="355"/>
      <c r="N28" s="319"/>
      <c r="O28" s="319"/>
      <c r="P28" s="319"/>
      <c r="Q28" s="357"/>
      <c r="R28" s="357"/>
      <c r="S28" s="338"/>
      <c r="T28" s="245"/>
    </row>
    <row r="29" spans="1:20">
      <c r="A29" s="350"/>
      <c r="B29" s="339">
        <f>пр.хода!A23</f>
        <v>7</v>
      </c>
      <c r="C29" s="328">
        <f>IFERROR(VLOOKUP(B29,пр.взв!$B$7:$H$14,2,0),"")</f>
        <v>0</v>
      </c>
      <c r="D29" s="320">
        <f>IFERROR(VLOOKUP(B29,пр.взв!$B$7:$H$14,3,0),"")</f>
        <v>0</v>
      </c>
      <c r="E29" s="320">
        <f>IFERROR(VLOOKUP(B29,пр.взв!$B$7:$H$14,4,0),"")</f>
        <v>0</v>
      </c>
      <c r="F29" s="320">
        <f>IFERROR(VLOOKUP(B29,пр.взв!$B$7:$H$14,5,0),"")</f>
        <v>0</v>
      </c>
      <c r="G29" s="341"/>
      <c r="H29" s="341"/>
      <c r="I29" s="246"/>
      <c r="J29" s="246"/>
      <c r="K29" s="350"/>
      <c r="L29" s="339">
        <f>пр.хода!U23</f>
        <v>8</v>
      </c>
      <c r="M29" s="328">
        <f>IFERROR(VLOOKUP(L29,пр.взв!$B$7:$H$14,2,0),"")</f>
        <v>0</v>
      </c>
      <c r="N29" s="320">
        <f>IFERROR(VLOOKUP(L29,пр.взв!$B$7:$H$14,3,0),"")</f>
        <v>0</v>
      </c>
      <c r="O29" s="320">
        <f>IFERROR(VLOOKUP(L29,пр.взв!$B$7:$H$14,4,0),"")</f>
        <v>0</v>
      </c>
      <c r="P29" s="320">
        <f>IFERROR(VLOOKUP(L29,пр.взв!$B$7:$H$14,5,0),"")</f>
        <v>0</v>
      </c>
      <c r="Q29" s="341"/>
      <c r="R29" s="341"/>
      <c r="S29" s="246"/>
      <c r="T29" s="246"/>
    </row>
    <row r="30" spans="1:20" ht="12.95" customHeight="1" thickBot="1">
      <c r="A30" s="351"/>
      <c r="B30" s="340"/>
      <c r="C30" s="329"/>
      <c r="D30" s="321"/>
      <c r="E30" s="321"/>
      <c r="F30" s="321"/>
      <c r="G30" s="342"/>
      <c r="H30" s="342"/>
      <c r="I30" s="335"/>
      <c r="J30" s="335"/>
      <c r="K30" s="351"/>
      <c r="L30" s="340"/>
      <c r="M30" s="329"/>
      <c r="N30" s="321"/>
      <c r="O30" s="321"/>
      <c r="P30" s="321"/>
      <c r="Q30" s="342"/>
      <c r="R30" s="342"/>
      <c r="S30" s="335"/>
      <c r="T30" s="335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workbookViewId="0">
      <selection activeCell="B7" sqref="B7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13.28515625" customWidth="1"/>
    <col min="7" max="7" width="10.140625" customWidth="1"/>
    <col min="8" max="8" width="19.7109375" customWidth="1"/>
    <col min="9" max="9" width="3.85546875" customWidth="1"/>
    <col min="10" max="10" width="15.7109375" customWidth="1"/>
    <col min="11" max="11" width="4.85546875" customWidth="1"/>
    <col min="12" max="12" width="3.42578125" hidden="1" customWidth="1"/>
    <col min="13" max="13" width="17" hidden="1" customWidth="1"/>
    <col min="14" max="17" width="9.140625" hidden="1" customWidth="1"/>
    <col min="18" max="35" width="0" hidden="1" customWidth="1"/>
  </cols>
  <sheetData>
    <row r="1" spans="1:41" ht="27.75" customHeight="1" thickBot="1">
      <c r="A1" s="382" t="s">
        <v>24</v>
      </c>
      <c r="B1" s="382"/>
      <c r="C1" s="382"/>
      <c r="D1" s="382"/>
      <c r="E1" s="382"/>
      <c r="F1" s="382"/>
      <c r="G1" s="382"/>
      <c r="H1" s="382"/>
      <c r="I1" s="124"/>
      <c r="J1" s="48"/>
      <c r="K1" s="48"/>
      <c r="L1" s="48"/>
      <c r="M1" s="48"/>
      <c r="N1" s="48"/>
      <c r="O1" s="48"/>
      <c r="P1" s="48"/>
      <c r="Q1" s="48"/>
      <c r="R1" s="48"/>
      <c r="S1" s="48"/>
      <c r="T1" s="48">
        <f ca="1">SUMIF(T6:T11,V1,$K$14:$K$17)</f>
        <v>1</v>
      </c>
      <c r="U1" s="48"/>
      <c r="V1" s="48" t="str">
        <f>J12</f>
        <v/>
      </c>
    </row>
    <row r="2" spans="1:41" ht="54" customHeight="1" thickBot="1">
      <c r="A2" s="122"/>
      <c r="B2" s="391" t="s">
        <v>79</v>
      </c>
      <c r="C2" s="391"/>
      <c r="D2" s="39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93"/>
      <c r="F2" s="393"/>
      <c r="G2" s="393"/>
      <c r="H2" s="394"/>
      <c r="I2" s="122"/>
      <c r="T2" s="238">
        <f>SUMIF(J14:J16,V1,$K$14:$K$17)</f>
        <v>2</v>
      </c>
      <c r="U2" s="238"/>
      <c r="V2" s="238"/>
      <c r="W2" s="238"/>
      <c r="X2" s="238"/>
    </row>
    <row r="3" spans="1:41" ht="31.5" customHeight="1" thickBot="1">
      <c r="A3" s="122"/>
      <c r="B3" s="395" t="str">
        <f>пр.взв!A3</f>
        <v>26-29.08.2022г.                                              г.Казань</v>
      </c>
      <c r="C3" s="395"/>
      <c r="D3" s="395"/>
      <c r="E3" s="395"/>
      <c r="F3" s="395"/>
      <c r="G3" s="396" t="str">
        <f>пр.взв!D4</f>
        <v>В.к.  80   кг.</v>
      </c>
      <c r="H3" s="397"/>
      <c r="I3" s="122"/>
    </row>
    <row r="4" spans="1:41" ht="12.75" customHeight="1" thickBot="1">
      <c r="A4" s="378" t="s">
        <v>10</v>
      </c>
      <c r="B4" s="380" t="s">
        <v>4</v>
      </c>
      <c r="C4" s="398" t="s">
        <v>5</v>
      </c>
      <c r="D4" s="400" t="s">
        <v>6</v>
      </c>
      <c r="E4" s="402" t="s">
        <v>7</v>
      </c>
      <c r="F4" s="400"/>
      <c r="G4" s="404" t="s">
        <v>9</v>
      </c>
      <c r="H4" s="383" t="s">
        <v>8</v>
      </c>
      <c r="I4" s="122"/>
      <c r="J4" s="377" t="str">
        <f>IFERROR(LEFT(F6,FIND(",",F6)-1),F6)</f>
        <v/>
      </c>
      <c r="K4" s="372">
        <v>1</v>
      </c>
      <c r="L4" s="373" t="s">
        <v>61</v>
      </c>
      <c r="M4" s="375" t="s">
        <v>60</v>
      </c>
      <c r="N4" s="388"/>
      <c r="O4" s="389"/>
      <c r="P4" s="389"/>
      <c r="Q4" s="390"/>
      <c r="S4" s="406" t="s">
        <v>61</v>
      </c>
      <c r="T4" s="375" t="s">
        <v>60</v>
      </c>
      <c r="U4" s="385"/>
      <c r="V4" s="386"/>
      <c r="W4" s="386"/>
      <c r="X4" s="387"/>
      <c r="AC4" s="406" t="s">
        <v>61</v>
      </c>
      <c r="AD4" s="375" t="s">
        <v>60</v>
      </c>
      <c r="AE4" s="385"/>
      <c r="AF4" s="386"/>
      <c r="AG4" s="386"/>
      <c r="AH4" s="387"/>
      <c r="AJ4" s="406" t="s">
        <v>61</v>
      </c>
      <c r="AK4" s="375" t="s">
        <v>60</v>
      </c>
      <c r="AL4" s="385"/>
      <c r="AM4" s="386"/>
      <c r="AN4" s="386"/>
      <c r="AO4" s="387"/>
    </row>
    <row r="5" spans="1:41" ht="16.5" thickBot="1">
      <c r="A5" s="379"/>
      <c r="B5" s="381"/>
      <c r="C5" s="399"/>
      <c r="D5" s="401"/>
      <c r="E5" s="403"/>
      <c r="F5" s="401"/>
      <c r="G5" s="405"/>
      <c r="H5" s="384"/>
      <c r="I5" s="122"/>
      <c r="J5" s="377"/>
      <c r="K5" s="372"/>
      <c r="L5" s="374"/>
      <c r="M5" s="376"/>
      <c r="N5" s="96">
        <v>1</v>
      </c>
      <c r="O5" s="97">
        <v>2</v>
      </c>
      <c r="P5" s="97">
        <v>3</v>
      </c>
      <c r="Q5" s="98">
        <v>5</v>
      </c>
      <c r="S5" s="407"/>
      <c r="T5" s="376"/>
      <c r="U5" s="96">
        <v>1</v>
      </c>
      <c r="V5" s="97">
        <v>2</v>
      </c>
      <c r="W5" s="97">
        <v>3</v>
      </c>
      <c r="X5" s="98">
        <v>5</v>
      </c>
      <c r="Z5" s="131">
        <v>1</v>
      </c>
      <c r="AB5" s="131">
        <v>2</v>
      </c>
      <c r="AC5" s="407"/>
      <c r="AD5" s="376"/>
      <c r="AE5" s="132">
        <v>1</v>
      </c>
      <c r="AF5" s="133">
        <v>2</v>
      </c>
      <c r="AG5" s="133">
        <v>3</v>
      </c>
      <c r="AH5" s="134">
        <v>5</v>
      </c>
      <c r="AJ5" s="407"/>
      <c r="AK5" s="376"/>
      <c r="AL5" s="132">
        <v>1</v>
      </c>
      <c r="AM5" s="133">
        <v>2</v>
      </c>
      <c r="AN5" s="133">
        <v>3</v>
      </c>
      <c r="AO5" s="134">
        <v>5</v>
      </c>
    </row>
    <row r="6" spans="1:41" ht="24" customHeight="1">
      <c r="A6" s="230">
        <v>1</v>
      </c>
      <c r="B6" s="225">
        <f>пр.хода!H9</f>
        <v>0</v>
      </c>
      <c r="C6" s="214" t="str">
        <f>IFERROR(VLOOKUP(B6,пр.взв!$B$7:$H$14,2,0),"")</f>
        <v/>
      </c>
      <c r="D6" s="215" t="str">
        <f>IFERROR(VLOOKUP(B6,пр.взв!$B$7:$H$14,3,0),"")</f>
        <v/>
      </c>
      <c r="E6" s="215" t="str">
        <f>IFERROR(VLOOKUP(B6,пр.взв!$B$7:$H$14,4,0),"")</f>
        <v/>
      </c>
      <c r="F6" s="216" t="str">
        <f>IFERROR(VLOOKUP(B6,пр.взв!$B$7:$H$14,5,0),"")</f>
        <v/>
      </c>
      <c r="G6" s="218" t="str">
        <f>IFERROR(VLOOKUP(B6,пр.взв!$B$7:$H$14,6,0),"")</f>
        <v/>
      </c>
      <c r="H6" s="219" t="str">
        <f>IFERROR(VLOOKUP(B6,пр.взв!$B$7:$H$14,7,0),"")</f>
        <v/>
      </c>
      <c r="I6" s="122"/>
      <c r="J6" s="377" t="s">
        <v>62</v>
      </c>
      <c r="K6" s="372">
        <v>1</v>
      </c>
      <c r="L6" s="99">
        <v>1</v>
      </c>
      <c r="M6" s="95" t="s">
        <v>65</v>
      </c>
      <c r="N6" s="100">
        <f>SUMIF($J$4:$J$7,J4,$K$4:$K$7)</f>
        <v>1</v>
      </c>
      <c r="O6" s="100">
        <f ca="1">SUMIF($I$8:$J$9,"алт",$K$6:$K$9)</f>
        <v>0</v>
      </c>
      <c r="P6" s="101">
        <f>SUMIF($J$10:$J$13,"Алт",$K$10:$K$13)</f>
        <v>0</v>
      </c>
      <c r="Q6" s="101">
        <f>SUMIF($J$14:$J$17,"Алт",$K$14:$K$17)</f>
        <v>0</v>
      </c>
      <c r="S6" s="99">
        <v>1</v>
      </c>
      <c r="T6" s="95" t="str">
        <f>J4</f>
        <v/>
      </c>
      <c r="U6" s="100">
        <f t="shared" ref="U6:U11" si="0">SUMIF($J$4:$J$7,T6,$K$4:$K$7)</f>
        <v>1</v>
      </c>
      <c r="V6" s="100">
        <f t="shared" ref="V6:V11" ca="1" si="1">SUMIF($I$8:$J$9,T6,$K$6:$K$9)</f>
        <v>4</v>
      </c>
      <c r="W6" s="101">
        <f t="shared" ref="W6:W11" si="2">SUMIF($J$10:$J$13,T6,$K$10:$K$13)</f>
        <v>2</v>
      </c>
      <c r="X6" s="101">
        <f>SUMIF($J$14:$J$17,T6,$K$14:$K$17)</f>
        <v>2</v>
      </c>
      <c r="Z6" t="str">
        <f>T6</f>
        <v/>
      </c>
      <c r="AB6" t="str">
        <f>Z6</f>
        <v/>
      </c>
      <c r="AC6" s="135">
        <v>1</v>
      </c>
      <c r="AD6" s="136" t="str">
        <f>AB6</f>
        <v/>
      </c>
      <c r="AE6" s="137">
        <f t="shared" ref="AE6:AE11" si="3">SUMIF($J$4:$J$7,AD6,$K$4:$K$7)</f>
        <v>1</v>
      </c>
      <c r="AF6" s="137">
        <f t="shared" ref="AF6:AF11" ca="1" si="4">SUMIF($I$8:$J$9,AD6,$K$6:$K$9)</f>
        <v>4</v>
      </c>
      <c r="AG6" s="137">
        <f t="shared" ref="AG6:AG11" si="5">SUMIF($J$10:$J$13,AD6,$K$10:$K$13)</f>
        <v>2</v>
      </c>
      <c r="AH6" s="138">
        <f t="shared" ref="AH6:AH11" si="6">SUMIF($J$14:$J$17,AD6,$K$14:$K$17)</f>
        <v>2</v>
      </c>
      <c r="AJ6" s="135">
        <v>1</v>
      </c>
      <c r="AK6" s="136" t="str">
        <f t="shared" ref="AK6:AO11" si="7">IF(AD6=0," ",AD6)</f>
        <v/>
      </c>
      <c r="AL6" s="137">
        <f t="shared" si="7"/>
        <v>1</v>
      </c>
      <c r="AM6" s="137">
        <f t="shared" ca="1" si="7"/>
        <v>4</v>
      </c>
      <c r="AN6" s="137">
        <f t="shared" si="7"/>
        <v>2</v>
      </c>
      <c r="AO6" s="138">
        <f t="shared" si="7"/>
        <v>2</v>
      </c>
    </row>
    <row r="7" spans="1:41" ht="24" customHeight="1">
      <c r="A7" s="212">
        <v>2</v>
      </c>
      <c r="B7" s="213" t="str">
        <f>пр.хода!H14</f>
        <v/>
      </c>
      <c r="C7" s="220" t="str">
        <f>IFERROR(VLOOKUP(B7,пр.взв!$B$7:$H$14,2,0),"")</f>
        <v/>
      </c>
      <c r="D7" s="221" t="str">
        <f>IFERROR(VLOOKUP(B7,пр.взв!$B$7:$H$14,3,0),"")</f>
        <v/>
      </c>
      <c r="E7" s="217" t="str">
        <f>IFERROR(VLOOKUP(B7,пр.взв!$B$7:$H$14,4,0),"")</f>
        <v/>
      </c>
      <c r="F7" s="217" t="str">
        <f>IFERROR(VLOOKUP(B7,пр.взв!$B$7:$H$14,5,0),"")</f>
        <v/>
      </c>
      <c r="G7" s="217" t="str">
        <f>IFERROR(VLOOKUP(B7,пр.взв!$B$7:$H$14,6,0),"")</f>
        <v/>
      </c>
      <c r="H7" s="222" t="str">
        <f>IFERROR(VLOOKUP(B7,пр.взв!$B$7:$H$14,7,0),"")</f>
        <v/>
      </c>
      <c r="I7" s="122"/>
      <c r="J7" s="377"/>
      <c r="K7" s="372"/>
      <c r="L7" s="94">
        <v>2</v>
      </c>
      <c r="M7" s="95" t="s">
        <v>66</v>
      </c>
      <c r="N7" s="100">
        <f>SUMIF($J$4:$J$7,"заб",$K$4:$K$7)</f>
        <v>0</v>
      </c>
      <c r="O7" s="100">
        <f ca="1">SUMIF($I$8:$J$9,"заб",$K$6:$K$9)</f>
        <v>0</v>
      </c>
      <c r="P7" s="101">
        <f>SUMIF($J$10:$J$13,"заб",$K$10:$K$13)</f>
        <v>0</v>
      </c>
      <c r="Q7" s="101">
        <f>SUMIF($J$14:$J$17,"заб",$K$14:$K$17)</f>
        <v>0</v>
      </c>
      <c r="S7" s="94">
        <v>2</v>
      </c>
      <c r="T7" s="95" t="str">
        <f>IF(J8=J4," ",J8)</f>
        <v xml:space="preserve"> </v>
      </c>
      <c r="U7" s="100">
        <f t="shared" si="0"/>
        <v>0</v>
      </c>
      <c r="V7" s="100">
        <f t="shared" ca="1" si="1"/>
        <v>0</v>
      </c>
      <c r="W7" s="101">
        <f t="shared" si="2"/>
        <v>0</v>
      </c>
      <c r="X7" s="101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39">
        <v>2</v>
      </c>
      <c r="AD7" s="140" t="str">
        <f>IF(OR(AB7=" "),AB8,AB7)</f>
        <v xml:space="preserve"> </v>
      </c>
      <c r="AE7" s="141">
        <f t="shared" si="3"/>
        <v>0</v>
      </c>
      <c r="AF7" s="141">
        <f t="shared" ca="1" si="4"/>
        <v>0</v>
      </c>
      <c r="AG7" s="141">
        <f t="shared" si="5"/>
        <v>0</v>
      </c>
      <c r="AH7" s="142">
        <f t="shared" si="6"/>
        <v>0</v>
      </c>
      <c r="AJ7" s="139">
        <v>2</v>
      </c>
      <c r="AK7" s="140" t="str">
        <f t="shared" si="7"/>
        <v xml:space="preserve"> </v>
      </c>
      <c r="AL7" s="141" t="str">
        <f t="shared" si="7"/>
        <v xml:space="preserve"> </v>
      </c>
      <c r="AM7" s="141" t="str">
        <f t="shared" ca="1" si="7"/>
        <v xml:space="preserve"> </v>
      </c>
      <c r="AN7" s="141" t="str">
        <f t="shared" si="7"/>
        <v xml:space="preserve"> </v>
      </c>
      <c r="AO7" s="142" t="str">
        <f t="shared" si="7"/>
        <v xml:space="preserve"> </v>
      </c>
    </row>
    <row r="8" spans="1:41" ht="24" customHeight="1">
      <c r="A8" s="212">
        <v>3</v>
      </c>
      <c r="B8" s="213">
        <f>пр.хода!E25</f>
        <v>0</v>
      </c>
      <c r="C8" s="220" t="str">
        <f>IFERROR(VLOOKUP(B8,пр.взв!$B$7:$H$14,2,0),"")</f>
        <v/>
      </c>
      <c r="D8" s="221" t="str">
        <f>IFERROR(VLOOKUP(B8,пр.взв!$B$7:$H$14,3,0),"")</f>
        <v/>
      </c>
      <c r="E8" s="217" t="str">
        <f>IFERROR(VLOOKUP(B8,пр.взв!$B$7:$H$14,4,0),"")</f>
        <v/>
      </c>
      <c r="F8" s="217" t="str">
        <f>IFERROR(VLOOKUP(B8,пр.взв!$B$7:$H$14,5,0),"")</f>
        <v/>
      </c>
      <c r="G8" s="217" t="str">
        <f>IFERROR(VLOOKUP(B8,пр.взв!$B$7:$H$14,6,0),"")</f>
        <v/>
      </c>
      <c r="H8" s="222" t="str">
        <f>IFERROR(VLOOKUP(B8,пр.взв!$B$7:$H$14,7,0),"")</f>
        <v/>
      </c>
      <c r="I8" s="122"/>
      <c r="J8" s="372" t="str">
        <f>IFERROR(LEFT(F7,FIND(",",F7)-1),F7)</f>
        <v/>
      </c>
      <c r="K8" s="372">
        <v>1</v>
      </c>
      <c r="L8" s="93">
        <v>3</v>
      </c>
      <c r="M8" s="95" t="s">
        <v>67</v>
      </c>
      <c r="N8" s="100">
        <f>SUMIF($J$4:$J$7,"ирк",$K$4:$K$7)</f>
        <v>0</v>
      </c>
      <c r="O8" s="100">
        <f ca="1">SUMIF($I$8:$J$9,"ирк",$K$6:$K$9)</f>
        <v>0</v>
      </c>
      <c r="P8" s="101">
        <f>SUMIF($J$10:$J$13,"ирк",$K$10:$K$13)</f>
        <v>0</v>
      </c>
      <c r="Q8" s="101">
        <f>SUMIF($J$14:$J$17,"ирк",$K$14:$K$17)</f>
        <v>0</v>
      </c>
      <c r="S8" s="93">
        <v>3</v>
      </c>
      <c r="T8" s="95" t="str">
        <f>IF(OR(J10=J4,J10=J8)," ",J10)</f>
        <v xml:space="preserve"> </v>
      </c>
      <c r="U8" s="100">
        <f t="shared" si="0"/>
        <v>0</v>
      </c>
      <c r="V8" s="100">
        <f t="shared" ca="1" si="1"/>
        <v>0</v>
      </c>
      <c r="W8" s="101">
        <f t="shared" si="2"/>
        <v>0</v>
      </c>
      <c r="X8" s="101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43">
        <v>3</v>
      </c>
      <c r="AD8" s="140" t="str">
        <f>IF(OR(AB8=" ",AB7=" "),AB9,AB8)</f>
        <v xml:space="preserve"> </v>
      </c>
      <c r="AE8" s="141">
        <f t="shared" si="3"/>
        <v>0</v>
      </c>
      <c r="AF8" s="141">
        <f t="shared" ca="1" si="4"/>
        <v>0</v>
      </c>
      <c r="AG8" s="141">
        <f t="shared" si="5"/>
        <v>0</v>
      </c>
      <c r="AH8" s="142">
        <f t="shared" si="6"/>
        <v>0</v>
      </c>
      <c r="AJ8" s="143">
        <v>3</v>
      </c>
      <c r="AK8" s="140" t="str">
        <f t="shared" si="7"/>
        <v xml:space="preserve"> </v>
      </c>
      <c r="AL8" s="141" t="str">
        <f t="shared" si="7"/>
        <v xml:space="preserve"> </v>
      </c>
      <c r="AM8" s="141" t="str">
        <f t="shared" ca="1" si="7"/>
        <v xml:space="preserve"> </v>
      </c>
      <c r="AN8" s="141" t="str">
        <f t="shared" si="7"/>
        <v xml:space="preserve"> </v>
      </c>
      <c r="AO8" s="142" t="str">
        <f t="shared" si="7"/>
        <v xml:space="preserve"> </v>
      </c>
    </row>
    <row r="9" spans="1:41" ht="24" customHeight="1">
      <c r="A9" s="212">
        <v>3</v>
      </c>
      <c r="B9" s="223">
        <f>пр.хода!Q25</f>
        <v>0</v>
      </c>
      <c r="C9" s="220" t="str">
        <f>IFERROR(VLOOKUP(B9,пр.взв!$B$7:$H$14,2,0),"")</f>
        <v/>
      </c>
      <c r="D9" s="221" t="str">
        <f>IFERROR(VLOOKUP(B9,пр.взв!$B$7:$H$14,3,0),"")</f>
        <v/>
      </c>
      <c r="E9" s="217" t="str">
        <f>IFERROR(VLOOKUP(B9,пр.взв!$B$7:$H$14,4,0),"")</f>
        <v/>
      </c>
      <c r="F9" s="217" t="str">
        <f>IFERROR(VLOOKUP(B9,пр.взв!$B$7:$H$14,5,0),"")</f>
        <v/>
      </c>
      <c r="G9" s="217" t="str">
        <f>IFERROR(VLOOKUP(B9,пр.взв!$B$7:$H$14,6,0),"")</f>
        <v/>
      </c>
      <c r="H9" s="222" t="str">
        <f>IFERROR(VLOOKUP(B9,пр.взв!$B$7:$H$14,7,0),"")</f>
        <v/>
      </c>
      <c r="I9" s="122"/>
      <c r="J9" s="372"/>
      <c r="K9" s="372"/>
      <c r="L9" s="94">
        <v>4</v>
      </c>
      <c r="M9" s="95" t="s">
        <v>68</v>
      </c>
      <c r="N9" s="100">
        <f>SUMIF($J$4:$J$7,"кем",$K$4:$K$7)</f>
        <v>0</v>
      </c>
      <c r="O9" s="100">
        <f ca="1">SUMIF($I$8:$J$9,"кем",$K$6:$K$9)</f>
        <v>0</v>
      </c>
      <c r="P9" s="101">
        <f>SUMIF($J$10:$J$13,"кем",$K$10:$K$13)</f>
        <v>0</v>
      </c>
      <c r="Q9" s="101">
        <f>SUMIF($J$14:$J$17,"кем",$K$14:$K$17)</f>
        <v>0</v>
      </c>
      <c r="S9" s="94">
        <v>4</v>
      </c>
      <c r="T9" s="95" t="str">
        <f>IF(OR(J12=J4,J12=J8,J12=J10)," ",J12)</f>
        <v xml:space="preserve"> </v>
      </c>
      <c r="U9" s="100">
        <f t="shared" si="0"/>
        <v>0</v>
      </c>
      <c r="V9" s="100">
        <f t="shared" ca="1" si="1"/>
        <v>0</v>
      </c>
      <c r="W9" s="101">
        <f t="shared" si="2"/>
        <v>0</v>
      </c>
      <c r="X9" s="101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39">
        <v>4</v>
      </c>
      <c r="AD9" s="140" t="str">
        <f>IF(OR(AB7=" ",AB8=" ",AB9=" "),AB10,AB9)</f>
        <v xml:space="preserve"> </v>
      </c>
      <c r="AE9" s="141">
        <f t="shared" si="3"/>
        <v>0</v>
      </c>
      <c r="AF9" s="141">
        <f t="shared" ca="1" si="4"/>
        <v>0</v>
      </c>
      <c r="AG9" s="141">
        <f t="shared" si="5"/>
        <v>0</v>
      </c>
      <c r="AH9" s="142">
        <f t="shared" si="6"/>
        <v>0</v>
      </c>
      <c r="AJ9" s="139">
        <v>4</v>
      </c>
      <c r="AK9" s="140" t="str">
        <f t="shared" si="7"/>
        <v xml:space="preserve"> </v>
      </c>
      <c r="AL9" s="141" t="str">
        <f t="shared" si="7"/>
        <v xml:space="preserve"> </v>
      </c>
      <c r="AM9" s="141" t="str">
        <f t="shared" ca="1" si="7"/>
        <v xml:space="preserve"> </v>
      </c>
      <c r="AN9" s="141" t="str">
        <f t="shared" si="7"/>
        <v xml:space="preserve"> </v>
      </c>
      <c r="AO9" s="142" t="str">
        <f t="shared" si="7"/>
        <v xml:space="preserve"> </v>
      </c>
    </row>
    <row r="10" spans="1:41" ht="24" customHeight="1">
      <c r="A10" s="210" t="s">
        <v>51</v>
      </c>
      <c r="B10" s="223" t="str">
        <f>пр.хода!Z21</f>
        <v xml:space="preserve"> </v>
      </c>
      <c r="C10" s="220" t="str">
        <f>IFERROR(VLOOKUP(B10,пр.взв!$B$7:$H$14,2,0),"")</f>
        <v/>
      </c>
      <c r="D10" s="221" t="str">
        <f>IFERROR(VLOOKUP(B10,пр.взв!$B$7:$H$14,3,0),"")</f>
        <v/>
      </c>
      <c r="E10" s="217" t="str">
        <f>IFERROR(VLOOKUP(B10,пр.взв!$B$7:$H$14,4,0),"")</f>
        <v/>
      </c>
      <c r="F10" s="217" t="str">
        <f>IFERROR(VLOOKUP(B10,пр.взв!$B$7:$H$14,5,0),"")</f>
        <v/>
      </c>
      <c r="G10" s="217" t="str">
        <f>IFERROR(VLOOKUP(B10,пр.взв!$B$7:$H$14,6,0),"")</f>
        <v/>
      </c>
      <c r="H10" s="222" t="str">
        <f>IFERROR(VLOOKUP(B10,пр.взв!$B$7:$H$14,7,0),"")</f>
        <v/>
      </c>
      <c r="I10" s="122"/>
      <c r="J10" s="372" t="str">
        <f>IFERROR(LEFT(F8,FIND(",",F8)-1),F8)</f>
        <v/>
      </c>
      <c r="K10" s="372">
        <v>1</v>
      </c>
      <c r="L10" s="93">
        <v>5</v>
      </c>
      <c r="M10" s="95" t="s">
        <v>69</v>
      </c>
      <c r="N10" s="100">
        <f>SUMIF($J$4:$J$7,"кра",$K$4:$K$7)</f>
        <v>0</v>
      </c>
      <c r="O10" s="100">
        <f ca="1">SUMIF($I$8:$J$9,"кра",$K$6:$K$9)</f>
        <v>0</v>
      </c>
      <c r="P10" s="101">
        <f>SUMIF($J$10:$J$13,"кра",$K$10:$K$13)</f>
        <v>0</v>
      </c>
      <c r="Q10" s="101">
        <f>SUMIF($J$14:$J$17,"кра",$K$14:$K$17)</f>
        <v>0</v>
      </c>
      <c r="S10" s="93">
        <v>5</v>
      </c>
      <c r="T10" s="95" t="str">
        <f>IF(OR(J14=J4,J14=J8,J14=J10,J14=J12)," ",J14)</f>
        <v xml:space="preserve"> </v>
      </c>
      <c r="U10" s="100">
        <f t="shared" si="0"/>
        <v>0</v>
      </c>
      <c r="V10" s="100">
        <f t="shared" ca="1" si="1"/>
        <v>0</v>
      </c>
      <c r="W10" s="101">
        <f t="shared" si="2"/>
        <v>0</v>
      </c>
      <c r="X10" s="101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43">
        <v>5</v>
      </c>
      <c r="AD10" s="140" t="str">
        <f>IF(OR(AB7=" ",AB8=" ",AB9=" ")," ",AB10)</f>
        <v xml:space="preserve"> </v>
      </c>
      <c r="AE10" s="141">
        <f t="shared" si="3"/>
        <v>0</v>
      </c>
      <c r="AF10" s="141">
        <f t="shared" ca="1" si="4"/>
        <v>0</v>
      </c>
      <c r="AG10" s="141">
        <f t="shared" si="5"/>
        <v>0</v>
      </c>
      <c r="AH10" s="142">
        <f t="shared" si="6"/>
        <v>0</v>
      </c>
      <c r="AJ10" s="143">
        <v>5</v>
      </c>
      <c r="AK10" s="140" t="str">
        <f t="shared" si="7"/>
        <v xml:space="preserve"> </v>
      </c>
      <c r="AL10" s="141" t="str">
        <f t="shared" si="7"/>
        <v xml:space="preserve"> </v>
      </c>
      <c r="AM10" s="141" t="str">
        <f t="shared" ca="1" si="7"/>
        <v xml:space="preserve"> </v>
      </c>
      <c r="AN10" s="141" t="str">
        <f t="shared" si="7"/>
        <v xml:space="preserve"> </v>
      </c>
      <c r="AO10" s="142" t="str">
        <f t="shared" si="7"/>
        <v xml:space="preserve"> </v>
      </c>
    </row>
    <row r="11" spans="1:41" ht="24" customHeight="1" thickBot="1">
      <c r="A11" s="210" t="s">
        <v>51</v>
      </c>
      <c r="B11" s="223" t="str">
        <f>пр.хода!Z22</f>
        <v xml:space="preserve"> </v>
      </c>
      <c r="C11" s="220" t="str">
        <f>IFERROR(VLOOKUP(B11,пр.взв!$B$7:$H$14,2,0),"")</f>
        <v/>
      </c>
      <c r="D11" s="221" t="str">
        <f>IFERROR(VLOOKUP(B11,пр.взв!$B$7:$H$14,3,0),"")</f>
        <v/>
      </c>
      <c r="E11" s="217" t="str">
        <f>IFERROR(VLOOKUP(B11,пр.взв!$B$7:$H$14,4,0),"")</f>
        <v/>
      </c>
      <c r="F11" s="217" t="str">
        <f>IFERROR(VLOOKUP(B11,пр.взв!$B$7:$H$14,5,0),"")</f>
        <v/>
      </c>
      <c r="G11" s="217" t="str">
        <f>IFERROR(VLOOKUP(B11,пр.взв!$B$7:$H$14,6,0),"")</f>
        <v/>
      </c>
      <c r="H11" s="222" t="str">
        <f>IFERROR(VLOOKUP(B11,пр.взв!$B$7:$H$14,7,0),"")</f>
        <v/>
      </c>
      <c r="I11" s="122"/>
      <c r="J11" s="372"/>
      <c r="K11" s="372"/>
      <c r="L11" s="94">
        <v>6</v>
      </c>
      <c r="M11" s="95" t="s">
        <v>70</v>
      </c>
      <c r="N11" s="100">
        <f>SUMIF($J$4:$J$7,"нов",$K$4:$K$7)</f>
        <v>0</v>
      </c>
      <c r="O11" s="100">
        <f ca="1">SUMIF($I$8:$J$9,"нов",$K$6:$K$9)</f>
        <v>0</v>
      </c>
      <c r="P11" s="101">
        <f>SUMIF($J$10:$J$13,"нов",$K$10:$K$13)</f>
        <v>0</v>
      </c>
      <c r="Q11" s="101">
        <f>SUMIF($J$14:$J$17,"нов",$K$14:$K$17)</f>
        <v>0</v>
      </c>
      <c r="S11" s="94">
        <v>6</v>
      </c>
      <c r="T11" s="95" t="str">
        <f>IF(OR(J16=J4,J16=J8,J16=J10,J16=J12,J16=J14)," ",J16)</f>
        <v xml:space="preserve"> </v>
      </c>
      <c r="U11" s="100">
        <f t="shared" si="0"/>
        <v>0</v>
      </c>
      <c r="V11" s="100">
        <f t="shared" ca="1" si="1"/>
        <v>0</v>
      </c>
      <c r="W11" s="101">
        <f t="shared" si="2"/>
        <v>0</v>
      </c>
      <c r="X11" s="101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44">
        <v>6</v>
      </c>
      <c r="AD11" s="145" t="str">
        <f>IF(OR(AB7=" ",AB8=" ",AB9=" ",AB10=" ")," ",AB11)</f>
        <v xml:space="preserve"> </v>
      </c>
      <c r="AE11" s="146">
        <f t="shared" si="3"/>
        <v>0</v>
      </c>
      <c r="AF11" s="146">
        <f t="shared" ca="1" si="4"/>
        <v>0</v>
      </c>
      <c r="AG11" s="146">
        <f t="shared" si="5"/>
        <v>0</v>
      </c>
      <c r="AH11" s="147">
        <f t="shared" si="6"/>
        <v>0</v>
      </c>
      <c r="AJ11" s="144">
        <v>6</v>
      </c>
      <c r="AK11" s="145" t="str">
        <f t="shared" si="7"/>
        <v xml:space="preserve"> </v>
      </c>
      <c r="AL11" s="146" t="str">
        <f t="shared" si="7"/>
        <v xml:space="preserve"> </v>
      </c>
      <c r="AM11" s="146" t="str">
        <f t="shared" ca="1" si="7"/>
        <v xml:space="preserve"> </v>
      </c>
      <c r="AN11" s="146" t="str">
        <f t="shared" si="7"/>
        <v xml:space="preserve"> </v>
      </c>
      <c r="AO11" s="147" t="str">
        <f t="shared" si="7"/>
        <v xml:space="preserve"> </v>
      </c>
    </row>
    <row r="12" spans="1:41" ht="24" customHeight="1" thickBot="1">
      <c r="A12" s="210" t="s">
        <v>40</v>
      </c>
      <c r="B12" s="223">
        <f>пр.хода!Z23</f>
        <v>7</v>
      </c>
      <c r="C12" s="220">
        <f>IFERROR(VLOOKUP(B12,пр.взв!$B$7:$H$14,2,0),"")</f>
        <v>0</v>
      </c>
      <c r="D12" s="221">
        <f>IFERROR(VLOOKUP(B12,пр.взв!$B$7:$H$14,3,0),"")</f>
        <v>0</v>
      </c>
      <c r="E12" s="217">
        <f>IFERROR(VLOOKUP(B12,пр.взв!$B$7:$H$14,4,0),"")</f>
        <v>0</v>
      </c>
      <c r="F12" s="217">
        <f>IFERROR(VLOOKUP(B12,пр.взв!$B$7:$H$14,5,0),"")</f>
        <v>0</v>
      </c>
      <c r="G12" s="217">
        <f>IFERROR(VLOOKUP(B12,пр.взв!$B$7:$H$14,6,0),"")</f>
        <v>0</v>
      </c>
      <c r="H12" s="222">
        <f>IFERROR(VLOOKUP(B12,пр.взв!$B$7:$H$14,7,0),"")</f>
        <v>0</v>
      </c>
      <c r="I12" s="122"/>
      <c r="J12" s="372" t="str">
        <f>IFERROR(LEFT(F9,FIND(",",F9)-1),F9)</f>
        <v/>
      </c>
      <c r="K12" s="372">
        <v>1</v>
      </c>
      <c r="L12" s="93">
        <v>7</v>
      </c>
      <c r="M12" s="95" t="s">
        <v>71</v>
      </c>
      <c r="N12" s="100">
        <f>SUMIF($J$4:$J$7,"омс",$K$4:$K$7)</f>
        <v>0</v>
      </c>
      <c r="O12" s="100">
        <f ca="1">SUMIF($I$8:$J$9,"омс",$K$6:$K$9)</f>
        <v>0</v>
      </c>
      <c r="P12" s="101">
        <f>SUMIF($J$10:$J$13,"омс",$K$10:$K$13)</f>
        <v>0</v>
      </c>
      <c r="Q12" s="101">
        <f>SUMIF($J$14:$J$17,"омс",$K$14:$K$17)</f>
        <v>0</v>
      </c>
      <c r="S12" s="105"/>
      <c r="T12" s="95" t="str">
        <f>IF(OR(J15=J7,J15=J11,J15=J13)," ",J15)</f>
        <v xml:space="preserve"> </v>
      </c>
      <c r="U12" s="107"/>
      <c r="V12" s="107"/>
      <c r="W12" s="108"/>
      <c r="X12" s="108"/>
      <c r="AC12" s="102"/>
      <c r="AD12" s="103"/>
      <c r="AE12" s="148">
        <f>SUM(AE6:AE11)</f>
        <v>1</v>
      </c>
      <c r="AF12" s="148">
        <f ca="1">SUM(AF6:AF11)</f>
        <v>4</v>
      </c>
      <c r="AG12" s="148">
        <f>SUM(AG6:AG11)</f>
        <v>2</v>
      </c>
      <c r="AH12" s="148">
        <f>SUM(AH6:AH11)</f>
        <v>2</v>
      </c>
      <c r="AJ12" s="102"/>
      <c r="AK12" s="103"/>
      <c r="AL12" s="148">
        <f>SUM(AL6:AL11)</f>
        <v>1</v>
      </c>
      <c r="AM12" s="148">
        <f ca="1">SUM(AM6:AM11)</f>
        <v>4</v>
      </c>
      <c r="AN12" s="148">
        <f>SUM(AN6:AN11)</f>
        <v>2</v>
      </c>
      <c r="AO12" s="148">
        <f>SUM(AO6:AO11)</f>
        <v>2</v>
      </c>
    </row>
    <row r="13" spans="1:41" ht="24" customHeight="1" thickBot="1">
      <c r="A13" s="211" t="s">
        <v>40</v>
      </c>
      <c r="B13" s="224">
        <f>пр.хода!Z24</f>
        <v>8</v>
      </c>
      <c r="C13" s="226">
        <f>IFERROR(VLOOKUP(B13,пр.взв!$B$7:$H$14,2,0),"")</f>
        <v>0</v>
      </c>
      <c r="D13" s="227">
        <f>IFERROR(VLOOKUP(B13,пр.взв!$B$7:$H$14,3,0),"")</f>
        <v>0</v>
      </c>
      <c r="E13" s="228">
        <f>IFERROR(VLOOKUP(B13,пр.взв!$B$7:$H$14,4,0),"")</f>
        <v>0</v>
      </c>
      <c r="F13" s="228">
        <f>IFERROR(VLOOKUP(B13,пр.взв!$B$7:$H$14,5,0),"")</f>
        <v>0</v>
      </c>
      <c r="G13" s="228">
        <f>IFERROR(VLOOKUP(B13,пр.взв!$B$7:$H$14,6,0),"")</f>
        <v>0</v>
      </c>
      <c r="H13" s="229">
        <f>IFERROR(VLOOKUP(B13,пр.взв!$B$7:$H$14,7,0),"")</f>
        <v>0</v>
      </c>
      <c r="I13" s="122"/>
      <c r="J13" s="372"/>
      <c r="K13" s="372"/>
      <c r="L13" s="94">
        <v>8</v>
      </c>
      <c r="M13" s="95" t="s">
        <v>72</v>
      </c>
      <c r="N13" s="100">
        <f>SUMIF($J$4:$J$7,"р.а",$K$4:$K$7)</f>
        <v>0</v>
      </c>
      <c r="O13" s="100">
        <f ca="1">SUMIF($I$8:$J$9,"р.а",$K$6:$K$9)</f>
        <v>0</v>
      </c>
      <c r="P13" s="101">
        <f>SUMIF($J$10:$J$13,"р.а",$K$10:$K$13)</f>
        <v>0</v>
      </c>
      <c r="Q13" s="101">
        <f>SUMIF($J$14:$J$17,"р.а",$K$14:$K$17)</f>
        <v>0</v>
      </c>
      <c r="S13" s="109"/>
      <c r="T13" s="106" t="str">
        <f>IF(OR(J16=J8,J16=J12,J16=J14)," ",J16)</f>
        <v xml:space="preserve"> </v>
      </c>
      <c r="U13" s="107"/>
      <c r="V13" s="107"/>
      <c r="W13" s="108"/>
      <c r="X13" s="108"/>
    </row>
    <row r="14" spans="1:41" ht="12.75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372" t="str">
        <f>IFERROR(LEFT(F10,FIND(",",F10)-1),F10)</f>
        <v/>
      </c>
      <c r="K14" s="372">
        <v>1</v>
      </c>
      <c r="L14" s="93">
        <v>9</v>
      </c>
      <c r="M14" s="95" t="s">
        <v>73</v>
      </c>
      <c r="N14" s="100">
        <f>SUMIF($J$4:$J$7,"р.б",$K$4:$K$7)</f>
        <v>0</v>
      </c>
      <c r="O14" s="100">
        <f ca="1">SUMIF($I$8:$J$9,"р.б",$K$6:$K$9)</f>
        <v>0</v>
      </c>
      <c r="P14" s="101">
        <f>SUMIF($J$10:$J$13,"р.б",$K$10:$K$13)</f>
        <v>0</v>
      </c>
      <c r="Q14" s="101">
        <f>SUMIF($J$14:$J$17,"р.б",$K$14:$K$17)</f>
        <v>0</v>
      </c>
      <c r="S14" s="105"/>
      <c r="T14" s="106"/>
      <c r="U14" s="107"/>
      <c r="V14" s="107"/>
      <c r="W14" s="108"/>
      <c r="X14" s="108"/>
    </row>
    <row r="15" spans="1:41" ht="15.75">
      <c r="A15" s="122"/>
      <c r="B15" s="122"/>
      <c r="C15" s="122"/>
      <c r="D15" s="122"/>
      <c r="E15" s="122"/>
      <c r="F15" s="122"/>
      <c r="G15" s="122"/>
      <c r="H15" s="122"/>
      <c r="I15" s="122"/>
      <c r="J15" s="372"/>
      <c r="K15" s="372"/>
      <c r="L15" s="94">
        <v>10</v>
      </c>
      <c r="M15" s="95" t="s">
        <v>74</v>
      </c>
      <c r="N15" s="100">
        <f>SUMIF($J$4:$J$7,"р.х",$K$4:$K$7)</f>
        <v>0</v>
      </c>
      <c r="O15" s="100">
        <f ca="1">SUMIF($I$8:$J$9,"р.х",$K$6:$K$9)</f>
        <v>0</v>
      </c>
      <c r="P15" s="101">
        <f>SUMIF($J$10:$J$13,"р.х",$K$10:$K$13)</f>
        <v>0</v>
      </c>
      <c r="Q15" s="101">
        <f>SUMIF($J$14:$J$17,"р.х",$K$14:$K$17)</f>
        <v>0</v>
      </c>
      <c r="S15" s="109"/>
      <c r="T15" s="106"/>
      <c r="U15" s="107"/>
      <c r="V15" s="107"/>
      <c r="W15" s="108"/>
      <c r="X15" s="108"/>
    </row>
    <row r="16" spans="1:41" ht="12.7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372" t="str">
        <f>IFERROR(LEFT(F11,FIND(",",F11)-1),F11)</f>
        <v/>
      </c>
      <c r="K16" s="372">
        <v>1</v>
      </c>
      <c r="L16" s="93">
        <v>11</v>
      </c>
      <c r="M16" s="149" t="s">
        <v>75</v>
      </c>
      <c r="N16" s="100">
        <f>SUMIF($J$4:$J$7,"том",$K$4:$K$7)</f>
        <v>0</v>
      </c>
      <c r="O16" s="100">
        <f ca="1">SUMIF($I$8:$J$9,"том",$K$6:$K$9)</f>
        <v>0</v>
      </c>
      <c r="P16" s="101">
        <f>SUMIF($J$10:$J$13,"том",$K$10:$K$13)</f>
        <v>0</v>
      </c>
      <c r="Q16" s="101">
        <f>SUMIF($J$14:$J$17,"том",$K$14:$K$17)</f>
        <v>0</v>
      </c>
      <c r="S16" s="105"/>
      <c r="T16" s="110"/>
      <c r="U16" s="107"/>
      <c r="V16" s="107"/>
      <c r="W16" s="108"/>
      <c r="X16" s="108"/>
    </row>
    <row r="17" spans="1:24" ht="16.5" thickBot="1">
      <c r="A17" s="122"/>
      <c r="B17" s="122"/>
      <c r="C17" s="122"/>
      <c r="D17" s="122"/>
      <c r="E17" s="122"/>
      <c r="F17" s="122"/>
      <c r="G17" s="122"/>
      <c r="H17" s="122"/>
      <c r="I17" s="122"/>
      <c r="J17" s="372"/>
      <c r="K17" s="372"/>
      <c r="L17" s="94">
        <v>12</v>
      </c>
      <c r="M17" s="149" t="s">
        <v>76</v>
      </c>
      <c r="N17" s="100">
        <f>SUMIF($J$4:$J$7,"Мос",$K$4:$K$7)</f>
        <v>0</v>
      </c>
      <c r="O17" s="100">
        <f ca="1">SUMIF($I$8:$J$9,"Мос",$K$6:$K$9)</f>
        <v>0</v>
      </c>
      <c r="P17" s="101">
        <f>SUMIF($J$10:$J$13,"Мос",$K$10:$K$13)</f>
        <v>0</v>
      </c>
      <c r="Q17" s="101">
        <f>SUMIF($J$14:$J$17,"Мос",$K$14:$K$17)</f>
        <v>0</v>
      </c>
      <c r="S17" s="109"/>
      <c r="T17" s="110"/>
      <c r="U17" s="107"/>
      <c r="V17" s="107"/>
      <c r="W17" s="108"/>
      <c r="X17" s="108"/>
    </row>
    <row r="18" spans="1:24" ht="12.75" customHeight="1" thickBot="1">
      <c r="A18" s="122"/>
      <c r="B18" s="122"/>
      <c r="C18" s="122"/>
      <c r="D18" s="122"/>
      <c r="E18" s="122"/>
      <c r="F18" s="122"/>
      <c r="G18" s="122"/>
      <c r="H18" s="122"/>
      <c r="I18" s="122"/>
      <c r="L18" s="102"/>
      <c r="M18" s="103"/>
      <c r="N18" s="104">
        <f>SUM(N6:N17)</f>
        <v>1</v>
      </c>
      <c r="O18" s="104">
        <f ca="1">SUM(O6:O17)</f>
        <v>0</v>
      </c>
      <c r="P18" s="104">
        <f>SUM(P6:P17)</f>
        <v>0</v>
      </c>
      <c r="Q18" s="104">
        <f>SUM(Q6:Q17)</f>
        <v>0</v>
      </c>
    </row>
    <row r="19" spans="1:24" ht="12.6" customHeight="1">
      <c r="A19" s="125"/>
      <c r="B19" s="125"/>
      <c r="C19" s="125"/>
      <c r="D19" s="125"/>
      <c r="E19" s="125"/>
      <c r="F19" s="125"/>
      <c r="G19" s="125"/>
      <c r="H19" s="125"/>
      <c r="I19" s="122"/>
    </row>
    <row r="20" spans="1:24" ht="12.75" customHeight="1">
      <c r="A20" s="126"/>
      <c r="B20" s="126"/>
      <c r="C20" s="126"/>
      <c r="D20" s="125"/>
      <c r="E20" s="125"/>
      <c r="F20" s="125"/>
      <c r="G20" s="125"/>
      <c r="H20" s="125"/>
      <c r="I20" s="122"/>
    </row>
    <row r="21" spans="1:24" ht="12.95" customHeight="1">
      <c r="A21" s="127" t="str">
        <f>[1]реквизиты!$A$6</f>
        <v>Гл. судья, судья ВК</v>
      </c>
      <c r="B21" s="126"/>
      <c r="C21" s="128"/>
      <c r="D21" s="129"/>
      <c r="E21" s="129"/>
      <c r="F21" s="129"/>
      <c r="G21" s="130" t="str">
        <f>[1]реквизиты!$G$6</f>
        <v>А.Д.Валиуллов</v>
      </c>
      <c r="H21" s="122"/>
      <c r="I21" s="122"/>
    </row>
    <row r="22" spans="1:24" ht="15">
      <c r="A22" s="126"/>
      <c r="B22" s="126"/>
      <c r="C22" s="128"/>
      <c r="D22" s="185"/>
      <c r="E22" s="129"/>
      <c r="F22" s="129"/>
      <c r="G22" s="158" t="str">
        <f>[1]реквизиты!$G$7</f>
        <v>/Татарстан/</v>
      </c>
      <c r="H22" s="122"/>
      <c r="I22" s="122"/>
    </row>
    <row r="23" spans="1:24" ht="15">
      <c r="A23" s="126"/>
      <c r="B23" s="126"/>
      <c r="C23" s="128"/>
      <c r="D23" s="129"/>
      <c r="E23" s="129"/>
      <c r="F23" s="129"/>
      <c r="G23" s="125"/>
      <c r="H23" s="122"/>
      <c r="I23" s="122"/>
    </row>
    <row r="24" spans="1:24" ht="15">
      <c r="A24" s="127" t="str">
        <f>пр.хода!B33</f>
        <v>Гл. секретарь, судья ВК</v>
      </c>
      <c r="B24" s="126"/>
      <c r="C24" s="128"/>
      <c r="D24" s="186"/>
      <c r="E24" s="129"/>
      <c r="F24" s="129"/>
      <c r="G24" s="130" t="str">
        <f>[1]реквизиты!$G$8</f>
        <v>В.И.Рожков</v>
      </c>
      <c r="H24" s="122"/>
      <c r="I24" s="122"/>
    </row>
    <row r="25" spans="1:24" ht="15">
      <c r="A25" s="126"/>
      <c r="B25" s="126"/>
      <c r="C25" s="126"/>
      <c r="D25" s="129"/>
      <c r="E25" s="129"/>
      <c r="F25" s="129"/>
      <c r="G25" s="158" t="str">
        <f>[1]реквизиты!$G$9</f>
        <v>/Саратовская/</v>
      </c>
      <c r="H25" s="125"/>
      <c r="I25" s="122"/>
    </row>
    <row r="26" spans="1:24">
      <c r="A26" s="125"/>
      <c r="B26" s="125"/>
      <c r="C26" s="125"/>
      <c r="D26" s="129"/>
      <c r="E26" s="129"/>
      <c r="F26" s="129"/>
      <c r="G26" s="125"/>
      <c r="H26" s="125"/>
      <c r="I26" s="122"/>
    </row>
    <row r="27" spans="1:24">
      <c r="A27" s="122"/>
      <c r="B27" s="122"/>
      <c r="C27" s="122"/>
      <c r="D27" s="123"/>
      <c r="E27" s="123"/>
      <c r="F27" s="123"/>
      <c r="G27" s="122"/>
      <c r="H27" s="122"/>
      <c r="I27" s="122"/>
    </row>
    <row r="28" spans="1:24">
      <c r="A28" s="122"/>
      <c r="B28" s="122"/>
      <c r="C28" s="122"/>
      <c r="D28" s="123"/>
      <c r="E28" s="123"/>
      <c r="F28" s="123"/>
      <c r="G28" s="122"/>
      <c r="H28" s="122"/>
      <c r="I28" s="122"/>
    </row>
    <row r="29" spans="1:24">
      <c r="A29" s="122"/>
      <c r="B29" s="122"/>
      <c r="C29" s="122"/>
      <c r="D29" s="123"/>
      <c r="E29" s="123"/>
      <c r="F29" s="123"/>
      <c r="G29" s="122"/>
      <c r="H29" s="122"/>
      <c r="I29" s="125"/>
      <c r="J29" s="3"/>
      <c r="K29" s="3"/>
    </row>
    <row r="30" spans="1:24">
      <c r="I30" s="125"/>
      <c r="J30" s="3"/>
      <c r="K30" s="3"/>
    </row>
    <row r="31" spans="1:24">
      <c r="I31" s="125"/>
      <c r="J31" s="3"/>
      <c r="K31" s="3"/>
    </row>
    <row r="32" spans="1:24">
      <c r="I32" s="125"/>
      <c r="J32" s="11"/>
      <c r="K32" s="11"/>
    </row>
    <row r="33" spans="9:9">
      <c r="I33" s="122"/>
    </row>
    <row r="34" spans="9:9">
      <c r="I34" s="122"/>
    </row>
    <row r="35" spans="9:9">
      <c r="I35" s="122"/>
    </row>
    <row r="36" spans="9:9">
      <c r="I36" s="122"/>
    </row>
    <row r="37" spans="9:9">
      <c r="I37" s="122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workbookViewId="0">
      <selection activeCell="F23" sqref="F23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customWidth="1"/>
    <col min="6" max="6" width="12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08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09"/>
      <c r="C1" s="409"/>
      <c r="D1" s="409"/>
      <c r="E1" s="409"/>
      <c r="F1" s="409"/>
      <c r="G1" s="409"/>
      <c r="H1" s="409"/>
      <c r="I1" s="409"/>
    </row>
    <row r="2" spans="1:9" ht="27.75" customHeight="1">
      <c r="D2" s="44"/>
      <c r="E2" s="44"/>
      <c r="F2" s="51" t="str">
        <f>HYPERLINK(пр.взв!D4)</f>
        <v>В.к.  80   кг.</v>
      </c>
    </row>
    <row r="3" spans="1:9">
      <c r="C3" s="10" t="s">
        <v>21</v>
      </c>
    </row>
    <row r="4" spans="1:9">
      <c r="C4" s="42" t="s">
        <v>11</v>
      </c>
    </row>
    <row r="5" spans="1:9">
      <c r="A5" s="245" t="s">
        <v>12</v>
      </c>
      <c r="B5" s="245" t="s">
        <v>4</v>
      </c>
      <c r="C5" s="420" t="s">
        <v>5</v>
      </c>
      <c r="D5" s="245" t="s">
        <v>13</v>
      </c>
      <c r="E5" s="422" t="s">
        <v>14</v>
      </c>
      <c r="F5" s="423"/>
      <c r="G5" s="245" t="s">
        <v>15</v>
      </c>
      <c r="H5" s="245" t="s">
        <v>16</v>
      </c>
      <c r="I5" s="245" t="s">
        <v>17</v>
      </c>
    </row>
    <row r="6" spans="1:9">
      <c r="A6" s="246"/>
      <c r="B6" s="246"/>
      <c r="C6" s="246"/>
      <c r="D6" s="246"/>
      <c r="E6" s="424"/>
      <c r="F6" s="425"/>
      <c r="G6" s="246"/>
      <c r="H6" s="246"/>
      <c r="I6" s="246"/>
    </row>
    <row r="7" spans="1:9">
      <c r="A7" s="417"/>
      <c r="B7" s="421">
        <f>пр.хода!C22</f>
        <v>0</v>
      </c>
      <c r="C7" s="414" t="str">
        <f>IFERROR(VLOOKUP(B7,пр.взв!$B$7:$H$14,2,0),"")</f>
        <v/>
      </c>
      <c r="D7" s="410" t="str">
        <f>IFERROR(VLOOKUP(B7,пр.взв!$B$7:$H$14,3,0),"")</f>
        <v/>
      </c>
      <c r="E7" s="418" t="str">
        <f>IFERROR(VLOOKUP(B7,пр.взв!$B$7:$H$14,4,0),"")</f>
        <v/>
      </c>
      <c r="F7" s="410" t="str">
        <f>IFERROR(VLOOKUP(B7,пр.взв!$B$7:$H$14,5,0),"")</f>
        <v/>
      </c>
      <c r="G7" s="428"/>
      <c r="H7" s="338"/>
      <c r="I7" s="245"/>
    </row>
    <row r="8" spans="1:9">
      <c r="A8" s="417"/>
      <c r="B8" s="245"/>
      <c r="C8" s="415"/>
      <c r="D8" s="411"/>
      <c r="E8" s="419"/>
      <c r="F8" s="416"/>
      <c r="G8" s="428"/>
      <c r="H8" s="338"/>
      <c r="I8" s="245"/>
    </row>
    <row r="9" spans="1:9" ht="12.6" customHeight="1">
      <c r="A9" s="412"/>
      <c r="B9" s="421" t="str">
        <f>пр.хода!B27</f>
        <v/>
      </c>
      <c r="C9" s="414" t="str">
        <f>IFERROR(VLOOKUP(B9,пр.взв!$B$7:$H$14,2,0),"")</f>
        <v/>
      </c>
      <c r="D9" s="410" t="str">
        <f>IFERROR(VLOOKUP(B9,пр.взв!$B$7:$H$14,3,0),"")</f>
        <v/>
      </c>
      <c r="E9" s="410" t="str">
        <f>IFERROR(VLOOKUP(B9,пр.взв!$B$7:$H$14,4,0),"")</f>
        <v/>
      </c>
      <c r="F9" s="410" t="str">
        <f>IFERROR(VLOOKUP(B9,пр.взв!$B$7:$H$14,5,0),"")</f>
        <v/>
      </c>
      <c r="G9" s="428"/>
      <c r="H9" s="245"/>
      <c r="I9" s="245"/>
    </row>
    <row r="10" spans="1:9" ht="12.6" customHeight="1">
      <c r="A10" s="412"/>
      <c r="B10" s="245"/>
      <c r="C10" s="415"/>
      <c r="D10" s="411"/>
      <c r="E10" s="411"/>
      <c r="F10" s="411"/>
      <c r="G10" s="428"/>
      <c r="H10" s="245"/>
      <c r="I10" s="245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 80   кг.</v>
      </c>
    </row>
    <row r="17" spans="1:10">
      <c r="A17" s="245" t="s">
        <v>12</v>
      </c>
      <c r="B17" s="245" t="s">
        <v>4</v>
      </c>
      <c r="C17" s="420" t="s">
        <v>5</v>
      </c>
      <c r="D17" s="245" t="s">
        <v>13</v>
      </c>
      <c r="E17" s="422" t="s">
        <v>14</v>
      </c>
      <c r="F17" s="423"/>
      <c r="G17" s="245" t="s">
        <v>15</v>
      </c>
      <c r="H17" s="245" t="s">
        <v>16</v>
      </c>
      <c r="I17" s="245" t="s">
        <v>17</v>
      </c>
    </row>
    <row r="18" spans="1:10">
      <c r="A18" s="246"/>
      <c r="B18" s="246"/>
      <c r="C18" s="246"/>
      <c r="D18" s="246"/>
      <c r="E18" s="424"/>
      <c r="F18" s="425"/>
      <c r="G18" s="246"/>
      <c r="H18" s="246"/>
      <c r="I18" s="246"/>
    </row>
    <row r="19" spans="1:10" ht="12.75" customHeight="1">
      <c r="A19" s="417"/>
      <c r="B19" s="413">
        <f>пр.хода!R22</f>
        <v>0</v>
      </c>
      <c r="C19" s="414" t="str">
        <f>IFERROR(VLOOKUP(B19,пр.взв!$B$7:$H$14,2,0),"")</f>
        <v/>
      </c>
      <c r="D19" s="410" t="str">
        <f>IFERROR(VLOOKUP(B19,пр.взв!$B$7:$H$14,3,0),"")</f>
        <v/>
      </c>
      <c r="E19" s="418" t="str">
        <f>IFERROR(VLOOKUP(B19,пр.взв!$B$7:$H$14,4,0),"")</f>
        <v/>
      </c>
      <c r="F19" s="410" t="str">
        <f>IFERROR(VLOOKUP(B19,пр.взв!$B$7:$H$14,5,0),"")</f>
        <v/>
      </c>
      <c r="G19" s="357"/>
      <c r="H19" s="338"/>
      <c r="I19" s="245"/>
    </row>
    <row r="20" spans="1:10" ht="12.6" customHeight="1">
      <c r="A20" s="417"/>
      <c r="B20" s="245"/>
      <c r="C20" s="415"/>
      <c r="D20" s="411"/>
      <c r="E20" s="419"/>
      <c r="F20" s="416"/>
      <c r="G20" s="357"/>
      <c r="H20" s="338"/>
      <c r="I20" s="245"/>
    </row>
    <row r="21" spans="1:10" ht="12.75" customHeight="1">
      <c r="A21" s="412"/>
      <c r="B21" s="421" t="str">
        <f>пр.хода!S27</f>
        <v/>
      </c>
      <c r="C21" s="414" t="str">
        <f>IFERROR(VLOOKUP(B21,пр.взв!$B$7:$H$14,2,0),"")</f>
        <v/>
      </c>
      <c r="D21" s="410" t="str">
        <f>IFERROR(VLOOKUP(B21,пр.взв!$B$7:$H$14,3,0),"")</f>
        <v/>
      </c>
      <c r="E21" s="410" t="str">
        <f>IFERROR(VLOOKUP(B21,пр.взв!$B$7:$H$14,4,0),"")</f>
        <v/>
      </c>
      <c r="F21" s="410" t="str">
        <f>IFERROR(VLOOKUP(B21,пр.взв!$B$7:$H$14,5,0),"")</f>
        <v/>
      </c>
      <c r="G21" s="357"/>
      <c r="H21" s="245"/>
      <c r="I21" s="245"/>
    </row>
    <row r="22" spans="1:10" ht="12.6" customHeight="1">
      <c r="A22" s="412"/>
      <c r="B22" s="245"/>
      <c r="C22" s="415"/>
      <c r="D22" s="411"/>
      <c r="E22" s="411"/>
      <c r="F22" s="411"/>
      <c r="G22" s="357"/>
      <c r="H22" s="245"/>
      <c r="I22" s="245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 80   кг.</v>
      </c>
    </row>
    <row r="30" spans="1:10">
      <c r="A30" s="245" t="s">
        <v>12</v>
      </c>
      <c r="B30" s="245" t="s">
        <v>4</v>
      </c>
      <c r="C30" s="420" t="s">
        <v>5</v>
      </c>
      <c r="D30" s="245" t="s">
        <v>13</v>
      </c>
      <c r="E30" s="422" t="s">
        <v>14</v>
      </c>
      <c r="F30" s="423"/>
      <c r="G30" s="245" t="s">
        <v>15</v>
      </c>
      <c r="H30" s="245" t="s">
        <v>16</v>
      </c>
      <c r="I30" s="245" t="s">
        <v>17</v>
      </c>
    </row>
    <row r="31" spans="1:10">
      <c r="A31" s="246"/>
      <c r="B31" s="246"/>
      <c r="C31" s="246"/>
      <c r="D31" s="246"/>
      <c r="E31" s="426"/>
      <c r="F31" s="427"/>
      <c r="G31" s="246"/>
      <c r="H31" s="246"/>
      <c r="I31" s="246"/>
    </row>
    <row r="32" spans="1:10" ht="12.75" customHeight="1">
      <c r="A32" s="417"/>
      <c r="B32" s="413">
        <f>пр.хода!G11</f>
        <v>0</v>
      </c>
      <c r="C32" s="414" t="str">
        <f>IFERROR(VLOOKUP(B32,пр.взв!$B$7:$H$14,2,0),"")</f>
        <v/>
      </c>
      <c r="D32" s="410" t="str">
        <f>IFERROR(VLOOKUP(B32,пр.взв!$B$7:$H$14,3,0),"")</f>
        <v/>
      </c>
      <c r="E32" s="418" t="str">
        <f>IFERROR(VLOOKUP(B32,пр.взв!$B$7:$H$14,4,0),"")</f>
        <v/>
      </c>
      <c r="F32" s="410" t="str">
        <f>IFERROR(VLOOKUP(B32,пр.взв!$B$7:$H$14,5,0),"")</f>
        <v/>
      </c>
      <c r="G32" s="357"/>
      <c r="H32" s="338"/>
      <c r="I32" s="245"/>
    </row>
    <row r="33" spans="1:9" ht="12.6" customHeight="1">
      <c r="A33" s="417"/>
      <c r="B33" s="245"/>
      <c r="C33" s="415"/>
      <c r="D33" s="411"/>
      <c r="E33" s="419"/>
      <c r="F33" s="416"/>
      <c r="G33" s="357"/>
      <c r="H33" s="338"/>
      <c r="I33" s="245"/>
    </row>
    <row r="34" spans="1:9" ht="12.75" customHeight="1">
      <c r="A34" s="412"/>
      <c r="B34" s="413">
        <f>пр.хода!O11</f>
        <v>0</v>
      </c>
      <c r="C34" s="414" t="str">
        <f>IFERROR(VLOOKUP(B34,пр.взв!$B$7:$H$14,2,0),"")</f>
        <v/>
      </c>
      <c r="D34" s="410" t="str">
        <f>IFERROR(VLOOKUP(B34,пр.взв!$B$7:$H$14,3,0),"")</f>
        <v/>
      </c>
      <c r="E34" s="410" t="str">
        <f>IFERROR(VLOOKUP(B34,пр.взв!$B$7:$H$14,4,0),"")</f>
        <v/>
      </c>
      <c r="F34" s="410" t="str">
        <f>IFERROR(VLOOKUP(B34,пр.взв!$B$7:$H$14,5,0),"")</f>
        <v/>
      </c>
      <c r="G34" s="357"/>
      <c r="H34" s="245"/>
      <c r="I34" s="245"/>
    </row>
    <row r="35" spans="1:9" ht="12.6" customHeight="1">
      <c r="A35" s="412"/>
      <c r="B35" s="245"/>
      <c r="C35" s="415"/>
      <c r="D35" s="411"/>
      <c r="E35" s="411"/>
      <c r="F35" s="411"/>
      <c r="G35" s="357"/>
      <c r="H35" s="245"/>
      <c r="I35" s="245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activeCell="K11" sqref="K11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429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30"/>
      <c r="C1" s="430"/>
      <c r="D1" s="430"/>
      <c r="E1" s="430"/>
      <c r="F1" s="430"/>
      <c r="G1" s="430"/>
      <c r="H1" s="431"/>
    </row>
    <row r="2" spans="1:10">
      <c r="A2" s="432" t="str">
        <f>пр.взв!A3</f>
        <v>26-29.08.2022г.                                              г.Казань</v>
      </c>
      <c r="B2" s="432"/>
      <c r="C2" s="432"/>
      <c r="D2" s="432"/>
      <c r="E2" s="432"/>
      <c r="F2" s="432"/>
      <c r="G2" s="432"/>
      <c r="H2" s="432"/>
    </row>
    <row r="3" spans="1:10" ht="18.75" thickBot="1">
      <c r="A3" s="433" t="s">
        <v>45</v>
      </c>
      <c r="B3" s="433"/>
      <c r="C3" s="433"/>
      <c r="D3" s="433"/>
      <c r="E3" s="433"/>
      <c r="F3" s="433"/>
      <c r="G3" s="433"/>
      <c r="H3" s="433"/>
    </row>
    <row r="4" spans="1:10" ht="18.75" thickBot="1">
      <c r="B4" s="74"/>
      <c r="C4" s="75"/>
      <c r="D4" s="434" t="str">
        <f>пр.взв!D4</f>
        <v>В.к.  80   кг.</v>
      </c>
      <c r="E4" s="435"/>
      <c r="F4" s="436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37" t="s">
        <v>46</v>
      </c>
      <c r="B6" s="440" t="str">
        <f>IFERROR(VLOOKUP(J6,пр.взв!$B$7:$H$14,2,0),"")</f>
        <v/>
      </c>
      <c r="C6" s="440"/>
      <c r="D6" s="440"/>
      <c r="E6" s="440"/>
      <c r="F6" s="440"/>
      <c r="G6" s="440"/>
      <c r="H6" s="442" t="str">
        <f>IFERROR(VLOOKUP(J6,пр.взв!$B$7:$H$14,3,0),"")</f>
        <v/>
      </c>
      <c r="I6" s="75"/>
      <c r="J6" s="76">
        <f>Ит.пр!B6</f>
        <v>0</v>
      </c>
    </row>
    <row r="7" spans="1:10" ht="18">
      <c r="A7" s="438"/>
      <c r="B7" s="441"/>
      <c r="C7" s="441"/>
      <c r="D7" s="441"/>
      <c r="E7" s="441"/>
      <c r="F7" s="441"/>
      <c r="G7" s="441"/>
      <c r="H7" s="443"/>
      <c r="I7" s="75"/>
      <c r="J7" s="76"/>
    </row>
    <row r="8" spans="1:10" ht="18">
      <c r="A8" s="438"/>
      <c r="B8" s="444" t="str">
        <f>IFERROR(VLOOKUP(J6,пр.взв!$B$7:$H$14,4,0),"")</f>
        <v/>
      </c>
      <c r="C8" s="444"/>
      <c r="D8" s="444"/>
      <c r="E8" s="444" t="str">
        <f>IFERROR(VLOOKUP(J6,пр.взв!$B$7:$H$14,5,0),"")</f>
        <v/>
      </c>
      <c r="F8" s="444"/>
      <c r="G8" s="444"/>
      <c r="H8" s="446"/>
      <c r="I8" s="75"/>
      <c r="J8" s="76"/>
    </row>
    <row r="9" spans="1:10" ht="18.75" thickBot="1">
      <c r="A9" s="439"/>
      <c r="B9" s="445"/>
      <c r="C9" s="445"/>
      <c r="D9" s="445"/>
      <c r="E9" s="445"/>
      <c r="F9" s="445"/>
      <c r="G9" s="445"/>
      <c r="H9" s="447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52" t="s">
        <v>47</v>
      </c>
      <c r="B11" s="440" t="str">
        <f>IFERROR(VLOOKUP(J11,пр.взв!$B$7:$H$14,2,0),"")</f>
        <v/>
      </c>
      <c r="C11" s="440"/>
      <c r="D11" s="440"/>
      <c r="E11" s="440"/>
      <c r="F11" s="440"/>
      <c r="G11" s="440"/>
      <c r="H11" s="442" t="str">
        <f>IFERROR(VLOOKUP(J11,пр.взв!$B$7:$H$14,3,0),"")</f>
        <v/>
      </c>
      <c r="I11" s="75"/>
      <c r="J11" s="76" t="str">
        <f>Ит.пр!B7</f>
        <v/>
      </c>
    </row>
    <row r="12" spans="1:10" ht="18" customHeight="1">
      <c r="A12" s="453"/>
      <c r="B12" s="441"/>
      <c r="C12" s="441"/>
      <c r="D12" s="441"/>
      <c r="E12" s="441"/>
      <c r="F12" s="441"/>
      <c r="G12" s="441"/>
      <c r="H12" s="443"/>
      <c r="I12" s="75"/>
      <c r="J12" s="76"/>
    </row>
    <row r="13" spans="1:10" ht="18">
      <c r="A13" s="453"/>
      <c r="B13" s="444" t="str">
        <f>IFERROR(VLOOKUP(J11,пр.взв!$B$7:$H$14,4,0),"")</f>
        <v/>
      </c>
      <c r="C13" s="444"/>
      <c r="D13" s="444"/>
      <c r="E13" s="444" t="str">
        <f>IFERROR(VLOOKUP(J11,пр.взв!$B$7:$H$14,5,0),"")</f>
        <v/>
      </c>
      <c r="F13" s="444"/>
      <c r="G13" s="444"/>
      <c r="H13" s="446"/>
      <c r="I13" s="75"/>
      <c r="J13" s="76"/>
    </row>
    <row r="14" spans="1:10" ht="18.75" thickBot="1">
      <c r="A14" s="454"/>
      <c r="B14" s="445"/>
      <c r="C14" s="445"/>
      <c r="D14" s="445"/>
      <c r="E14" s="445"/>
      <c r="F14" s="445"/>
      <c r="G14" s="445"/>
      <c r="H14" s="447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5" t="s">
        <v>48</v>
      </c>
      <c r="B16" s="440" t="str">
        <f>IFERROR(VLOOKUP(J16,пр.взв!$B$7:$H$14,2,0),"")</f>
        <v/>
      </c>
      <c r="C16" s="440"/>
      <c r="D16" s="440"/>
      <c r="E16" s="440"/>
      <c r="F16" s="440"/>
      <c r="G16" s="440"/>
      <c r="H16" s="442" t="str">
        <f>IFERROR(VLOOKUP(J16,пр.взв!$B$7:$H$14,3,0),"")</f>
        <v/>
      </c>
      <c r="I16" s="75"/>
      <c r="J16" s="76">
        <f>Ит.пр!B8</f>
        <v>0</v>
      </c>
    </row>
    <row r="17" spans="1:10" ht="18" customHeight="1">
      <c r="A17" s="456"/>
      <c r="B17" s="441"/>
      <c r="C17" s="441"/>
      <c r="D17" s="441"/>
      <c r="E17" s="441"/>
      <c r="F17" s="441"/>
      <c r="G17" s="441"/>
      <c r="H17" s="443"/>
      <c r="I17" s="75"/>
      <c r="J17" s="76"/>
    </row>
    <row r="18" spans="1:10" ht="18">
      <c r="A18" s="456"/>
      <c r="B18" s="444" t="str">
        <f>IFERROR(VLOOKUP(J16,пр.взв!$B$7:$H$14,4,0),"")</f>
        <v/>
      </c>
      <c r="C18" s="444"/>
      <c r="D18" s="444"/>
      <c r="E18" s="444" t="str">
        <f>IFERROR(VLOOKUP(J16,пр.взв!$B$7:$H$14,5,0),"")</f>
        <v/>
      </c>
      <c r="F18" s="444"/>
      <c r="G18" s="444"/>
      <c r="H18" s="446"/>
      <c r="I18" s="75"/>
      <c r="J18" s="76"/>
    </row>
    <row r="19" spans="1:10" ht="18.75" thickBot="1">
      <c r="A19" s="457"/>
      <c r="B19" s="445"/>
      <c r="C19" s="445"/>
      <c r="D19" s="445"/>
      <c r="E19" s="445"/>
      <c r="F19" s="445"/>
      <c r="G19" s="445"/>
      <c r="H19" s="447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5" t="s">
        <v>48</v>
      </c>
      <c r="B21" s="440" t="str">
        <f>IFERROR(VLOOKUP(J21,пр.взв!$B$7:$H$14,2,0),"")</f>
        <v/>
      </c>
      <c r="C21" s="440"/>
      <c r="D21" s="440"/>
      <c r="E21" s="440"/>
      <c r="F21" s="440"/>
      <c r="G21" s="440"/>
      <c r="H21" s="442" t="str">
        <f>IFERROR(VLOOKUP(J21,пр.взв!$B$7:$H$14,3,0),"")</f>
        <v/>
      </c>
      <c r="I21" s="75"/>
      <c r="J21" s="76">
        <f>Ит.пр!B9</f>
        <v>0</v>
      </c>
    </row>
    <row r="22" spans="1:10" ht="18" customHeight="1">
      <c r="A22" s="456"/>
      <c r="B22" s="441"/>
      <c r="C22" s="441"/>
      <c r="D22" s="441"/>
      <c r="E22" s="441"/>
      <c r="F22" s="441"/>
      <c r="G22" s="441"/>
      <c r="H22" s="443"/>
      <c r="I22" s="75"/>
      <c r="J22" s="76"/>
    </row>
    <row r="23" spans="1:10" ht="18">
      <c r="A23" s="456"/>
      <c r="B23" s="444" t="str">
        <f>IFERROR(VLOOKUP(J21,пр.взв!$B$7:$H$14,4,0),"")</f>
        <v/>
      </c>
      <c r="C23" s="444"/>
      <c r="D23" s="444"/>
      <c r="E23" s="444" t="str">
        <f>IFERROR(VLOOKUP(J21,пр.взв!$B$7:$H$14,5,0),"")</f>
        <v/>
      </c>
      <c r="F23" s="444"/>
      <c r="G23" s="444"/>
      <c r="H23" s="446"/>
      <c r="I23" s="75"/>
    </row>
    <row r="24" spans="1:10" ht="18.75" thickBot="1">
      <c r="A24" s="457"/>
      <c r="B24" s="445"/>
      <c r="C24" s="445"/>
      <c r="D24" s="445"/>
      <c r="E24" s="445"/>
      <c r="F24" s="445"/>
      <c r="G24" s="445"/>
      <c r="H24" s="447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48" t="str">
        <f>IFERROR(VLOOKUP(J28,пр.взв!$B$7:$H$14,7,0),"")</f>
        <v/>
      </c>
      <c r="B28" s="449"/>
      <c r="C28" s="449"/>
      <c r="D28" s="449"/>
      <c r="E28" s="449"/>
      <c r="F28" s="449"/>
      <c r="G28" s="449"/>
      <c r="H28" s="450"/>
      <c r="J28">
        <f>J6</f>
        <v>0</v>
      </c>
    </row>
    <row r="29" spans="1:10" ht="13.5" thickBot="1">
      <c r="A29" s="451"/>
      <c r="B29" s="445"/>
      <c r="C29" s="445"/>
      <c r="D29" s="445"/>
      <c r="E29" s="445"/>
      <c r="F29" s="445"/>
      <c r="G29" s="445"/>
      <c r="H29" s="447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8" t="s">
        <v>22</v>
      </c>
      <c r="D1" s="459"/>
      <c r="E1" s="459"/>
      <c r="F1" s="459"/>
      <c r="G1" s="459"/>
      <c r="H1" s="459"/>
      <c r="I1" s="459"/>
      <c r="J1" s="460"/>
    </row>
    <row r="2" spans="1:36" ht="26.25" customHeight="1" thickBot="1">
      <c r="A2" s="5"/>
      <c r="B2" s="5"/>
      <c r="C2" s="46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64"/>
      <c r="E2" s="464"/>
      <c r="F2" s="464"/>
      <c r="G2" s="464"/>
      <c r="H2" s="464"/>
      <c r="I2" s="464"/>
      <c r="J2" s="465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61" t="str">
        <f>пр.хода!C4</f>
        <v>26-29.08.2022г.                                              г.Казань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 80   кг.</v>
      </c>
      <c r="G4" s="50"/>
      <c r="H4" s="50"/>
      <c r="I4" s="50"/>
      <c r="J4" s="50"/>
      <c r="K4" s="50"/>
      <c r="L4" s="49"/>
      <c r="M4" s="49"/>
    </row>
    <row r="5" spans="1:36" ht="16.5" thickBot="1">
      <c r="A5" s="289" t="s">
        <v>0</v>
      </c>
      <c r="B5" s="289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57">
        <v>1</v>
      </c>
      <c r="B6" s="287" t="str">
        <f>VLOOKUP('стартвый '!A6:A7,пр.взв!B6:C14,2,FALSE)</f>
        <v>БАЛАШОВА Анна Викторовна</v>
      </c>
      <c r="C6" s="258" t="str">
        <f>VLOOKUP(A6,пр.взв!B6:H14,3,FALSE)</f>
        <v>18.11.83, ЗМС</v>
      </c>
      <c r="D6" s="258" t="str">
        <f>VLOOKUP(A6,пр.взв!B6:H14,5,FALSE)</f>
        <v>Свердловская, Верхняя Пышма , Д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54"/>
      <c r="B7" s="288"/>
      <c r="C7" s="286"/>
      <c r="D7" s="286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253">
        <v>5</v>
      </c>
      <c r="B8" s="275" t="str">
        <f>VLOOKUP('стартвый '!A8:A9,пр.взв!B8:C14,2,FALSE)</f>
        <v xml:space="preserve">МАТВЕЕВА  Анастасия  Владимировна </v>
      </c>
      <c r="C8" s="271" t="str">
        <f>VLOOKUP(A8,пр.взв!B6:H14,3,FALSE)</f>
        <v>16.04.00, МС</v>
      </c>
      <c r="D8" s="271" t="str">
        <f>VLOOKUP(A8,пр.взв!B6:H14,5,FALSE)</f>
        <v xml:space="preserve">Оренбургская, Бузулук 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254"/>
      <c r="B9" s="288"/>
      <c r="C9" s="286"/>
      <c r="D9" s="286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57">
        <v>3</v>
      </c>
      <c r="B10" s="287" t="e">
        <f>VLOOKUP('стартвый '!A10:A11,пр.взв!B10:C14,2,FALSE)</f>
        <v>#N/A</v>
      </c>
      <c r="C10" s="258" t="str">
        <f>VLOOKUP(A10,пр.взв!B6:H14,3,FALSE)</f>
        <v>23.03.03, МС</v>
      </c>
      <c r="D10" s="258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54"/>
      <c r="B11" s="288"/>
      <c r="C11" s="286"/>
      <c r="D11" s="286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53">
        <v>7</v>
      </c>
      <c r="B12" s="275">
        <f>VLOOKUP('стартвый '!A12:A13,пр.взв!B12:C14,2,FALSE)</f>
        <v>0</v>
      </c>
      <c r="C12" s="271">
        <f>VLOOKUP(A12,пр.взв!B6:H14,3,FALSE)</f>
        <v>0</v>
      </c>
      <c r="D12" s="271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77"/>
      <c r="B13" s="462"/>
      <c r="C13" s="259"/>
      <c r="D13" s="259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289" t="s">
        <v>1</v>
      </c>
      <c r="B16" s="289"/>
      <c r="E16" s="17"/>
      <c r="F16" s="17"/>
      <c r="G16" s="17"/>
      <c r="H16" s="17"/>
      <c r="I16" s="39"/>
      <c r="J16" s="3"/>
    </row>
    <row r="17" spans="1:12" ht="13.5" thickBot="1">
      <c r="A17" s="257">
        <v>2</v>
      </c>
      <c r="B17" s="287" t="str">
        <f>VLOOKUP(A17,пр.взв!B7:H14,2,FALSE)</f>
        <v>ХОМЯЧКОВА Анастасия Михайловна</v>
      </c>
      <c r="C17" s="258" t="str">
        <f>VLOOKUP(A17,пр.взв!B7:H14,3,FALSE)</f>
        <v>16.09.97, ЗМС</v>
      </c>
      <c r="D17" s="258" t="str">
        <f>VLOOKUP(A17,пр.взв!B7:H14,5,FALSE)</f>
        <v>Владимирская, Юрьев-Польский</v>
      </c>
      <c r="E17" s="17"/>
      <c r="F17" s="17"/>
      <c r="G17" s="17"/>
      <c r="H17" s="17"/>
      <c r="I17" s="32"/>
      <c r="J17" s="3"/>
    </row>
    <row r="18" spans="1:12">
      <c r="A18" s="254"/>
      <c r="B18" s="288"/>
      <c r="C18" s="286"/>
      <c r="D18" s="286"/>
      <c r="E18" s="19"/>
      <c r="F18" s="17"/>
      <c r="G18" s="24"/>
      <c r="H18" s="21"/>
      <c r="I18" s="32"/>
      <c r="J18" s="3"/>
    </row>
    <row r="19" spans="1:12" ht="13.5" thickBot="1">
      <c r="A19" s="253">
        <v>6</v>
      </c>
      <c r="B19" s="275" t="str">
        <f>VLOOKUP('стартвый '!A19:A20,пр.взв!B7:H14,2,FALSE)</f>
        <v xml:space="preserve">ЛИХОТА Ольга Дмитриевна </v>
      </c>
      <c r="C19" s="271" t="str">
        <f>VLOOKUP(A19,пр.взв!B7:H14,3,FALSE)</f>
        <v>02.06.00, КМС</v>
      </c>
      <c r="D19" s="271" t="str">
        <f>VLOOKUP(A19,пр.взв!B7:H14,5,FALSE)</f>
        <v>Свердловская, Екатеринбург, ВС</v>
      </c>
      <c r="E19" s="18"/>
      <c r="F19" s="20"/>
      <c r="G19" s="23"/>
      <c r="H19" s="21"/>
      <c r="I19" s="32"/>
      <c r="J19" s="3"/>
    </row>
    <row r="20" spans="1:12" ht="13.5" thickBot="1">
      <c r="A20" s="254"/>
      <c r="B20" s="288"/>
      <c r="C20" s="286"/>
      <c r="D20" s="286"/>
      <c r="E20" s="17"/>
      <c r="F20" s="21"/>
      <c r="G20" s="19"/>
      <c r="H20" s="25"/>
      <c r="I20" s="32"/>
      <c r="J20" s="3"/>
    </row>
    <row r="21" spans="1:12" ht="13.5" thickBot="1">
      <c r="A21" s="257">
        <v>4</v>
      </c>
      <c r="B21" s="287" t="str">
        <f>VLOOKUP('стартвый '!A21:A22,пр.взв!B7:H14,2,FALSE)</f>
        <v xml:space="preserve">РЕЧКАЛОВА  Дарья  Андреевна </v>
      </c>
      <c r="C21" s="258" t="str">
        <f>VLOOKUP(A21,пр.взв!B7:H14,3,FALSE)</f>
        <v>19.06.03, МС</v>
      </c>
      <c r="D21" s="258" t="e">
        <f>VLOOKUP(A21,пр.взв!B11:H14,5,FALSE)</f>
        <v>#N/A</v>
      </c>
      <c r="E21" s="17"/>
      <c r="F21" s="21"/>
      <c r="G21" s="18"/>
      <c r="H21" s="3"/>
    </row>
    <row r="22" spans="1:12">
      <c r="A22" s="254"/>
      <c r="B22" s="288"/>
      <c r="C22" s="286"/>
      <c r="D22" s="286"/>
      <c r="E22" s="19"/>
      <c r="F22" s="22"/>
      <c r="G22" s="23"/>
      <c r="H22" s="21"/>
    </row>
    <row r="23" spans="1:12" ht="13.5" thickBot="1">
      <c r="A23" s="253">
        <v>8</v>
      </c>
      <c r="B23" s="275">
        <f>VLOOKUP('стартвый '!A23:A24,пр.взв!B7:H14,2,FALSE)</f>
        <v>0</v>
      </c>
      <c r="C23" s="271">
        <f>VLOOKUP(A23,пр.взв!B7:H14,3,FALSE)</f>
        <v>0</v>
      </c>
      <c r="D23" s="271">
        <f>VLOOKUP(A23,пр.взв!B11:H14,5,FALSE)</f>
        <v>0</v>
      </c>
      <c r="E23" s="18"/>
      <c r="F23" s="17"/>
      <c r="G23" s="24"/>
      <c r="H23" s="21"/>
    </row>
    <row r="24" spans="1:12" ht="13.5" thickBot="1">
      <c r="A24" s="277"/>
      <c r="B24" s="462"/>
      <c r="C24" s="259"/>
      <c r="D24" s="259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А.Д.Валиуллов</v>
      </c>
      <c r="J38" s="3"/>
      <c r="K38" s="14" t="str">
        <f>пр.хода!R31</f>
        <v>/Татарстан/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В.И.Рожков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2022-08-26T15:49:25Z</cp:lastPrinted>
  <dcterms:created xsi:type="dcterms:W3CDTF">1996-10-08T23:32:33Z</dcterms:created>
  <dcterms:modified xsi:type="dcterms:W3CDTF">2022-08-26T18:00:41Z</dcterms:modified>
</cp:coreProperties>
</file>