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08CD6BEC-B63A-4FCD-B541-B97F1317B58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J6" i="9"/>
  <c r="E8" i="9" s="1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G11" i="1"/>
  <c r="C11" i="1"/>
  <c r="H11" i="1"/>
  <c r="F11" i="1"/>
  <c r="J16" i="1" s="1"/>
  <c r="D11" i="1"/>
  <c r="E11" i="1"/>
  <c r="C34" i="5"/>
  <c r="F34" i="5"/>
  <c r="E34" i="5"/>
  <c r="D34" i="5"/>
  <c r="G6" i="1"/>
  <c r="F6" i="1"/>
  <c r="J4" i="1" s="1"/>
  <c r="E6" i="1"/>
  <c r="H6" i="1"/>
  <c r="D6" i="1"/>
  <c r="B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H6" i="9" l="1"/>
  <c r="J28" i="9"/>
  <c r="A28" i="9" s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T2" i="1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15" i="1"/>
  <c r="Q6" i="1"/>
  <c r="Q7" i="1"/>
  <c r="Q16" i="1"/>
  <c r="Q10" i="1"/>
  <c r="Q12" i="1"/>
  <c r="Q11" i="1"/>
  <c r="Q13" i="1"/>
  <c r="Q8" i="1"/>
  <c r="Q9" i="1"/>
  <c r="Q14" i="1"/>
  <c r="Q17" i="1"/>
  <c r="T9" i="1" l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Q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<sst xmlns="http://schemas.openxmlformats.org/spreadsheetml/2006/main" count="252" uniqueCount="120">
  <si>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</si>
  <si>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</si>
  <si>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</si>
  <si>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</si>
  <si>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</si>
  <si>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</si>
  <si>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</si>
  <si>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</si>
  <si>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</si>
  <si>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</si>
  <si>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</si>
  <si>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</si>
  <si>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</si>
  <si>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</si>
  <si>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</si>
  <si>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</si>
  <si>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</si>
  <si>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</si>
  <si>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</si>
  <si>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</si>
  <si>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</si>
  <si>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</si>
  <si>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</si>
  <si>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</si>
  <si>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</si>
  <si>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</si>
  <si>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</si>
  <si>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</si>
  <si>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</si>
  <si>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</si>
  <si>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</si>
  <si>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</si>
  <si>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</si>
  <si>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</si>
  <si>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</si>
  <si>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</si>
  <si>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</si>
  <si>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</si>
  <si>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</si>
  <si>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</si>
  <si>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</si>
  <si>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</si>
  <si>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</si>
  <si>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</si>
  <si>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</si>
  <si>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</si>
  <si>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</si>
  <si>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</si>
  <si>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</si>
  <si>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</si>
  <si>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</si>
  <si>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</si>
  <si>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</si>
  <si>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</si>
  <si>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</si>
  <si>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</si>
  <si>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</si>
  <si>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</si>
  <si>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</si>
  <si>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</si>
  <si>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</si>
  <si>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</si>
  <si>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</si>
  <si>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</si>
  <si>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</si>
  <si>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</si>
  <si>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</si>
  <si>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</si>
  <si>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</si>
  <si>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</si>
  <si>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</si>
  <si>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</si>
  <si>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</si>
  <si>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</si>
  <si>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</si>
  <si>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</si>
  <si>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</si>
  <si>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</si>
  <si>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</si>
  <si>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</si>
  <si>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</si>
  <si>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</si>
  <si>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</si>
  <si>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</si>
  <si>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</si>
  <si>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</si>
  <si>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>САИДОВ  Хожиакбар Мухамадхонович</t>
  </si>
  <si>
    <t>25.08.99, МС</t>
  </si>
  <si>
    <t>МОС</t>
  </si>
  <si>
    <t>Москва, Москва, ВС</t>
  </si>
  <si>
    <t>Конин В.И., Фунтиков П.В.</t>
  </si>
  <si>
    <t>АБДУЛМЕДЖИДОВ Руслан Ибрагимович</t>
  </si>
  <si>
    <t>27.06.96, МС</t>
  </si>
  <si>
    <t>Москва, Москва, Д</t>
  </si>
  <si>
    <t>Филимонов С.Н., Павлов Д.А.</t>
  </si>
  <si>
    <t xml:space="preserve">НАДЮКОВ Бислан Мосович </t>
  </si>
  <si>
    <t>19.11.91, МСМК</t>
  </si>
  <si>
    <t>ЮФО</t>
  </si>
  <si>
    <t>Краснодарский, Курганинск , Д</t>
  </si>
  <si>
    <t xml:space="preserve">Нефедов Д.Н. </t>
  </si>
  <si>
    <t xml:space="preserve">КАЛИНИН Денис Александрович </t>
  </si>
  <si>
    <t>03.08.94, МС</t>
  </si>
  <si>
    <t>Кабанов Д.Б., Бобылёв А.Б.</t>
  </si>
  <si>
    <t>СКРЯБИН Станислав Михайлович</t>
  </si>
  <si>
    <t>18.12.88, ЗМС</t>
  </si>
  <si>
    <t>УФО</t>
  </si>
  <si>
    <t>Свердловская, Верхняя Пышма, Д</t>
  </si>
  <si>
    <t>Суханов М.И , Хлыбов И.Е</t>
  </si>
  <si>
    <t xml:space="preserve">КУРЖЕВ  Уали Рамазанович </t>
  </si>
  <si>
    <t>28.04.89, ЗМС</t>
  </si>
  <si>
    <t>Суханов М.И. Хлыбов И.Е.</t>
  </si>
  <si>
    <t xml:space="preserve">КРИВЫХ Артём  Андреевич </t>
  </si>
  <si>
    <t>23.06.99, КМС</t>
  </si>
  <si>
    <t>Свердловская, Верхняя Пышма , МС</t>
  </si>
  <si>
    <t>Стенников В.Г Хлыбов И.Е</t>
  </si>
  <si>
    <t xml:space="preserve">ГУКЕВ  Рамед Мухамедович </t>
  </si>
  <si>
    <t>08.04.93, МС</t>
  </si>
  <si>
    <t>Свердловская, Верхняя Пышма , Д</t>
  </si>
  <si>
    <t>Стенников В.Г. Хлыбов И.Е.</t>
  </si>
  <si>
    <t>В.к.  79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</si>
</sst>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E10" sqref="E10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119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КМС</v>
      </c>
      <c r="S6" s="157" t="str">
        <f>N9</f>
        <v>МС</v>
      </c>
      <c r="T6" s="157" t="str">
        <f>N10</f>
        <v>МСМК</v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КМС</v>
      </c>
      <c r="AB6" s="158" t="str">
        <f t="shared" si="0"/>
        <v>МС</v>
      </c>
      <c r="AC6" s="158" t="str">
        <f t="shared" si="0"/>
        <v>МСМК</v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60">
        <v>1</v>
      </c>
      <c r="C7" s="161" t="s">
        <v>103</v>
      </c>
      <c r="D7" s="162" t="s">
        <v>104</v>
      </c>
      <c r="E7" s="163" t="s">
        <v>105</v>
      </c>
      <c r="F7" s="162" t="s">
        <v>106</v>
      </c>
      <c r="G7" s="164"/>
      <c r="H7" s="165" t="s">
        <v>107</v>
      </c>
      <c r="I7" s="26"/>
      <c r="J7" s="128">
        <v>1</v>
      </c>
      <c r="K7" s="151" t="str">
        <f>IFERROR(RIGHT(D7,LEN(D7)-FIND("*",SUBSTITUTE(D7," ","*",LEN(D7)-LEN(SUBSTITUTE(D7," ",""))))),D7)</f>
        <v>ЗМС</v>
      </c>
      <c r="L7" s="151" t="str">
        <f>IFERROR(LEFT(F7,FIND(",",F7)-1),F7)</f>
        <v>Свердловская</v>
      </c>
      <c r="M7" s="166" t="str">
        <f t="array" ref="M7">IFERROR(INDEX(субъект,MATCH(SUM(COUNTIF(M$6:M6,субъект)),COUNTIF(субъект,"&lt;"&amp;субъект),0)),"")</f>
        <v>Краснодарский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Краснодарский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0</v>
      </c>
      <c r="S7" s="169">
        <f t="shared" ref="S7:S14" si="4">SUMIFS($J$7:$J$30,$L$7:$L$30,P7,$K$7:$K$30,S$6)</f>
        <v>0</v>
      </c>
      <c r="T7" s="170">
        <f t="shared" ref="T7:T14" si="5">SUMIFS($J$7:$J$30,$L$7:$L$30,P7,$K$7:$K$30,T$6)</f>
        <v>1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Краснодарский</v>
      </c>
      <c r="Z7" s="125" t="str">
        <f>IF(Q7=0," ",Q7)</f>
        <v xml:space="preserve"> </v>
      </c>
      <c r="AA7" s="125" t="str">
        <f>IF(R7=0," ",R7)</f>
        <v xml:space="preserve"> </v>
      </c>
      <c r="AB7" s="125" t="str">
        <f>IF(S7=0," ",S7)</f>
        <v xml:space="preserve"> </v>
      </c>
      <c r="AC7" s="125">
        <f>IF(T7=0," ",T7)</f>
        <v>1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8</v>
      </c>
      <c r="AI7" s="206"/>
    </row>
    <row r="8" spans="1:35" ht="24" customHeight="1" thickBot="1">
      <c r="A8" s="159" t="s">
        <v>53</v>
      </c>
      <c r="B8" s="173">
        <v>2</v>
      </c>
      <c r="C8" s="150" t="s">
        <v>115</v>
      </c>
      <c r="D8" s="150" t="s">
        <v>116</v>
      </c>
      <c r="E8" s="150" t="s">
        <v>105</v>
      </c>
      <c r="F8" s="150" t="s">
        <v>117</v>
      </c>
      <c r="G8" s="174"/>
      <c r="H8" s="175" t="s">
        <v>118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МС</v>
      </c>
      <c r="L8" s="151" t="str">
        <f t="shared" ref="L8:L14" si="11">IFERROR(LEFT(F8,FIND(",",F8)-1),F8)</f>
        <v>Свердловская</v>
      </c>
      <c r="M8" s="166" t="str">
        <f t="array" ref="M8">IFERROR(INDEX(субъект,MATCH(SUM(COUNTIF(M$6:M7,субъект)),COUNTIF(субъект,"&lt;"&amp;субъект),0)),"")</f>
        <v>Москва</v>
      </c>
      <c r="N8" s="166" t="str">
        <f t="array" ref="N8">IFERROR(INDEX(разряд,MATCH(SUM(COUNTIF(N$6:N7,разряд)),COUNTIF(разряд,"&lt;"&amp;разряд),0)),"")</f>
        <v>КМС</v>
      </c>
      <c r="O8" s="167">
        <v>2</v>
      </c>
      <c r="P8" s="98" t="str">
        <f t="shared" si="1"/>
        <v>Москва</v>
      </c>
      <c r="Q8" s="168">
        <f t="shared" si="2"/>
        <v>0</v>
      </c>
      <c r="R8" s="168">
        <f t="shared" si="3"/>
        <v>0</v>
      </c>
      <c r="S8" s="169">
        <f t="shared" si="4"/>
        <v>3</v>
      </c>
      <c r="T8" s="170">
        <f t="shared" si="5"/>
        <v>0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Москва</v>
      </c>
      <c r="Z8" s="96" t="str">
        <f>IF($Y$8=$Y$7," ",IF(Q8=0," ",Q8))</f>
        <v xml:space="preserve"> </v>
      </c>
      <c r="AA8" s="96" t="str">
        <f>IF($Y$8=$Y$7," ",IF(R8=0," ",R8))</f>
        <v xml:space="preserve"> </v>
      </c>
      <c r="AB8" s="96">
        <f>IF($Y$8=$Y$7," ",IF(S8=0," ",S8))</f>
        <v>3</v>
      </c>
      <c r="AC8" s="96" t="str">
        <f>IF($Y$8=$Y$7," ",IF(T8=0," ",T8))</f>
        <v xml:space="preserve"> 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108</v>
      </c>
      <c r="D9" s="162" t="s">
        <v>109</v>
      </c>
      <c r="E9" s="161" t="s">
        <v>105</v>
      </c>
      <c r="F9" s="162" t="s">
        <v>106</v>
      </c>
      <c r="G9" s="161"/>
      <c r="H9" s="165" t="s">
        <v>110</v>
      </c>
      <c r="I9" s="26"/>
      <c r="J9" s="128">
        <v>1</v>
      </c>
      <c r="K9" s="151" t="str">
        <f t="shared" si="10"/>
        <v>ЗМС</v>
      </c>
      <c r="L9" s="151" t="str">
        <f t="shared" si="11"/>
        <v>Свердловская</v>
      </c>
      <c r="M9" s="166" t="str">
        <f t="array" ref="M9">IFERROR(INDEX(субъект,MATCH(SUM(COUNTIF(M$6:M8,субъект)),COUNTIF(субъект,"&lt;"&amp;субъект),0)),"")</f>
        <v>Свердловская</v>
      </c>
      <c r="N9" s="166" t="str">
        <f t="array" ref="N9">IFERROR(INDEX(разряд,MATCH(SUM(COUNTIF(N$6:N8,разряд)),COUNTIF(разряд,"&lt;"&amp;разряд),0)),"")</f>
        <v>МС</v>
      </c>
      <c r="O9" s="167">
        <v>3</v>
      </c>
      <c r="P9" s="98" t="str">
        <f t="shared" si="1"/>
        <v>Свердловская</v>
      </c>
      <c r="Q9" s="168">
        <f t="shared" si="2"/>
        <v>2</v>
      </c>
      <c r="R9" s="168">
        <f t="shared" si="3"/>
        <v>1</v>
      </c>
      <c r="S9" s="169">
        <f t="shared" si="4"/>
        <v>1</v>
      </c>
      <c r="T9" s="170">
        <f t="shared" si="5"/>
        <v>0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Свердловская</v>
      </c>
      <c r="Z9" s="96">
        <f>IF(OR($Y9=$Y7,$Y9=$Y8)," ",IF(Q9=0," ",Q9))</f>
        <v>2</v>
      </c>
      <c r="AA9" s="96">
        <f>IF(OR($Y9=$Y7,$Y9=$Y8)," ",IF(R9=0," ",R9))</f>
        <v>1</v>
      </c>
      <c r="AB9" s="96">
        <f>IF(OR($Y9=$Y7,$Y9=$Y8)," ",IF(S9=0," ",S9))</f>
        <v>1</v>
      </c>
      <c r="AC9" s="96" t="str">
        <f>IF(OR($Y9=$Y7,$Y9=$Y8)," ",IF(T9=0," ",T9))</f>
        <v xml:space="preserve"> 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73">
        <v>4</v>
      </c>
      <c r="C10" s="150" t="s">
        <v>111</v>
      </c>
      <c r="D10" s="150" t="s">
        <v>112</v>
      </c>
      <c r="E10" s="150" t="s">
        <v>105</v>
      </c>
      <c r="F10" s="162" t="s">
        <v>113</v>
      </c>
      <c r="G10" s="174"/>
      <c r="H10" s="175" t="s">
        <v>114</v>
      </c>
      <c r="I10" s="26"/>
      <c r="J10" s="128">
        <v>1</v>
      </c>
      <c r="K10" s="151" t="str">
        <f t="shared" si="10"/>
        <v>КМС</v>
      </c>
      <c r="L10" s="151" t="str">
        <f t="shared" si="11"/>
        <v>Свердловская</v>
      </c>
      <c r="M10" s="166" t="str">
        <f t="array" ref="M10">IFERROR(INDEX(субъект,MATCH(SUM(COUNTIF(M$6:M9,субъект)),COUNTIF(субъект,"&lt;"&amp;субъект),0)),"")</f>
        <v/>
      </c>
      <c r="N10" s="166" t="str">
        <f t="array" ref="N10">IFERROR(INDEX(разряд,MATCH(SUM(COUNTIF(N$6:N9,разряд)),COUNTIF(разряд,"&lt;"&amp;разряд),0)),"")</f>
        <v>МСМК</v>
      </c>
      <c r="O10" s="167">
        <v>4</v>
      </c>
      <c r="P10" s="98" t="str">
        <f t="shared" si="1"/>
        <v/>
      </c>
      <c r="Q10" s="168">
        <f t="shared" si="2"/>
        <v>0</v>
      </c>
      <c r="R10" s="168">
        <f t="shared" si="3"/>
        <v>0</v>
      </c>
      <c r="S10" s="169">
        <f t="shared" si="4"/>
        <v>0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/>
      </c>
      <c r="Z10" s="96" t="str">
        <f>IF(OR($Y10=$Y8,$Y10=$Y9,$Y10=$Y7)," ",IF(Q10=0," ",Q10))</f>
        <v xml:space="preserve"> </v>
      </c>
      <c r="AA10" s="96" t="str">
        <f>IF(OR($Y10=$Y8,$Y10=$Y9,$Y10=$Y7)," ",IF(R10=0," ",R10))</f>
        <v xml:space="preserve"> </v>
      </c>
      <c r="AB10" s="96" t="str">
        <f>IF(OR($Y10=$Y8,$Y10=$Y9,$Y10=$Y7)," ",IF(S10=0," ",S10))</f>
        <v xml:space="preserve"> 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91</v>
      </c>
      <c r="D11" s="162" t="s">
        <v>92</v>
      </c>
      <c r="E11" s="163" t="s">
        <v>88</v>
      </c>
      <c r="F11" s="162" t="s">
        <v>93</v>
      </c>
      <c r="G11" s="164"/>
      <c r="H11" s="165" t="s">
        <v>94</v>
      </c>
      <c r="I11" s="26"/>
      <c r="J11" s="128">
        <v>1</v>
      </c>
      <c r="K11" s="151" t="str">
        <f t="shared" si="10"/>
        <v>МС</v>
      </c>
      <c r="L11" s="151" t="str">
        <f t="shared" si="11"/>
        <v>Москва</v>
      </c>
      <c r="M11" s="166" t="str">
        <f t="array" ref="M11">IFERROR(INDEX(субъект,MATCH(SUM(COUNTIF(M$6:M10,субъект)),COUNTIF(субъект,"&lt;"&amp;субъект),0)),"")</f>
        <v/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/>
      </c>
      <c r="Q11" s="168">
        <f t="shared" si="2"/>
        <v>0</v>
      </c>
      <c r="R11" s="168">
        <f t="shared" si="3"/>
        <v>0</v>
      </c>
      <c r="S11" s="169">
        <f t="shared" si="4"/>
        <v>0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/>
      </c>
      <c r="Z11" s="96" t="str">
        <f>IF(OR($Y11=$Y9,$Y11=$Y10,$Y11=$Y8,$Y11=$Y7)," ",IF(Q11=0," ",Q11))</f>
        <v xml:space="preserve"> </v>
      </c>
      <c r="AA11" s="96" t="str">
        <f>IF(OR($Y11=$Y9,$Y11=$Y10,$Y11=$Y8,$Y11=$Y7)," ",IF(R11=0," ",R11))</f>
        <v xml:space="preserve"> </v>
      </c>
      <c r="AB11" s="96" t="str">
        <f>IF(OR($Y11=$Y9,$Y11=$Y10,$Y11=$Y8,$Y11=$Y7)," ",IF(S11=0," ",S11))</f>
        <v xml:space="preserve"> 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60">
        <v>6</v>
      </c>
      <c r="C12" s="161" t="s">
        <v>100</v>
      </c>
      <c r="D12" s="162" t="s">
        <v>101</v>
      </c>
      <c r="E12" s="163" t="s">
        <v>88</v>
      </c>
      <c r="F12" s="162" t="s">
        <v>93</v>
      </c>
      <c r="G12" s="164"/>
      <c r="H12" s="165" t="s">
        <v>102</v>
      </c>
      <c r="I12" s="26"/>
      <c r="J12" s="128">
        <v>1</v>
      </c>
      <c r="K12" s="151" t="str">
        <f t="shared" si="10"/>
        <v>МС</v>
      </c>
      <c r="L12" s="151" t="str">
        <f t="shared" si="11"/>
        <v>Москва</v>
      </c>
      <c r="M12" s="166" t="str">
        <f t="array" ref="M12">IFERROR(INDEX(субъект,MATCH(SUM(COUNTIF(M$6:M11,субъект)),COUNTIF(субъект,"&lt;"&amp;субъект),0)),"")</f>
        <v/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/>
      </c>
      <c r="Q12" s="168">
        <f t="shared" si="2"/>
        <v>0</v>
      </c>
      <c r="R12" s="168">
        <f t="shared" si="3"/>
        <v>0</v>
      </c>
      <c r="S12" s="169">
        <f t="shared" si="4"/>
        <v>0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/>
      </c>
      <c r="Z12" s="96" t="str">
        <f>IF(OR($Y12=$Y10,$Y12=$Y11,$Y12=$Y9,$Y12=$Y8,$Y12=$Y7)," ",IF(Q12=0," ",Q12))</f>
        <v xml:space="preserve"> </v>
      </c>
      <c r="AA12" s="96" t="str">
        <f>IF(OR($Y12=$Y10,$Y12=$Y11,$Y12=$Y9,$Y12=$Y8,$Y12=$Y7)," ",IF(R12=0," ",R12))</f>
        <v xml:space="preserve"> </v>
      </c>
      <c r="AB12" s="96" t="str">
        <f>IF(OR($Y12=$Y10,$Y12=$Y11,$Y12=$Y9,$Y12=$Y8,$Y12=$Y7)," ",IF(S12=0," ",S12))</f>
        <v xml:space="preserve"> 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60">
        <v>7</v>
      </c>
      <c r="C13" s="161" t="s">
        <v>86</v>
      </c>
      <c r="D13" s="162" t="s">
        <v>87</v>
      </c>
      <c r="E13" s="163" t="s">
        <v>88</v>
      </c>
      <c r="F13" s="162" t="s">
        <v>89</v>
      </c>
      <c r="G13" s="164"/>
      <c r="H13" s="165" t="s">
        <v>90</v>
      </c>
      <c r="I13" s="26"/>
      <c r="J13" s="128">
        <v>1</v>
      </c>
      <c r="K13" s="151" t="str">
        <f t="shared" si="10"/>
        <v>МС</v>
      </c>
      <c r="L13" s="151" t="str">
        <f t="shared" si="11"/>
        <v>Москва</v>
      </c>
      <c r="M13" s="166" t="str">
        <f t="array" ref="M13">IFERROR(INDEX(субъект,MATCH(SUM(COUNTIF(M$6:M12,субъект)),COUNTIF(субъект,"&lt;"&amp;субъект),0)),"")</f>
        <v/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/>
      </c>
      <c r="Q13" s="168">
        <f t="shared" si="2"/>
        <v>0</v>
      </c>
      <c r="R13" s="168">
        <f t="shared" si="3"/>
        <v>0</v>
      </c>
      <c r="S13" s="169">
        <f t="shared" si="4"/>
        <v>0</v>
      </c>
      <c r="T13" s="170">
        <f t="shared" si="5"/>
        <v>0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/>
      </c>
      <c r="Z13" s="96" t="str">
        <f>IF(OR($Y13=$Y11,$Y13=$Y12,$Y13=$Y10,$Y13=$Y9,$Y13=$Y8,$Y13=$Y7)," ",IF(Q13=0," ",Q13))</f>
        <v xml:space="preserve"> </v>
      </c>
      <c r="AA13" s="96" t="str">
        <f>IF(OR($Y13=$Y11,$Y13=$Y12,$Y13=$Y10,$Y13=$Y9,$Y13=$Y8,$Y13=$Y7)," ",IF(R13=0," ",R13))</f>
        <v xml:space="preserve"> </v>
      </c>
      <c r="AB13" s="96" t="str">
        <f>IF(OR($Y13=$Y11,$Y13=$Y12,$Y13=$Y10,$Y13=$Y9,$Y13=$Y8,$Y13=$Y7)," ",IF(S13=0," ",S13))</f>
        <v xml:space="preserve"> </v>
      </c>
      <c r="AC13" s="96" t="str">
        <f>IF(OR($Y13=$Y11,$Y13=$Y12,$Y13=$Y10,$Y13=$Y9,$Y13=$Y8,$Y13=$Y7)," ",IF(T13=0," ",T13))</f>
        <v xml:space="preserve"> 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60">
        <v>8</v>
      </c>
      <c r="C14" s="161" t="s">
        <v>95</v>
      </c>
      <c r="D14" s="162" t="s">
        <v>96</v>
      </c>
      <c r="E14" s="163" t="s">
        <v>97</v>
      </c>
      <c r="F14" s="162" t="s">
        <v>98</v>
      </c>
      <c r="G14" s="164"/>
      <c r="H14" s="165" t="s">
        <v>99</v>
      </c>
      <c r="I14" s="26"/>
      <c r="J14" s="128">
        <v>1</v>
      </c>
      <c r="K14" s="151" t="str">
        <f t="shared" si="10"/>
        <v>МСМК</v>
      </c>
      <c r="L14" s="151" t="str">
        <f t="shared" si="11"/>
        <v>Краснодарский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4">
    <sortCondition ref="B7:B14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79   кг.</v>
      </c>
      <c r="I5" s="281"/>
      <c r="J5" s="281"/>
      <c r="K5" s="281"/>
      <c r="L5" s="281"/>
      <c r="M5" s="281"/>
      <c r="N5" s="282"/>
      <c r="O5" s="272" t="str">
        <f>W5&amp;" "&amp;AB5</f>
        <v>8 участников</v>
      </c>
      <c r="P5" s="273"/>
      <c r="Q5" s="274"/>
      <c r="R5" s="53"/>
      <c r="S5" s="71"/>
      <c r="T5" s="71"/>
      <c r="U5" s="71"/>
      <c r="W5">
        <f>пр.взв!AH7</f>
        <v>8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>СКРЯБИН Станислав Михайлович</v>
      </c>
      <c r="C8" s="224" t="str">
        <f>IFERROR(VLOOKUP(A8,пр.взв!$B$7:$H$14,3,0),"")</f>
        <v>18.12.88, ЗМС</v>
      </c>
      <c r="D8" s="224" t="str">
        <f>IFERROR(VLOOKUP(A8,пр.взв!$B$7:$H$14,5,0),"")</f>
        <v>Свердловская, Верхняя Пышма, Д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 xml:space="preserve">ГУКЕВ  Рамед Мухамедович </v>
      </c>
      <c r="S8" s="224" t="str">
        <f>IFERROR(VLOOKUP(U8,пр.взв!$B$7:$H$14,3,0),"")</f>
        <v>08.04.93, МС</v>
      </c>
      <c r="T8" s="224" t="str">
        <f>IFERROR(VLOOKUP(U8,пр.взв!$B$7:$H$14,5,0),"")</f>
        <v>Свердловская, Верхняя Пышма , Д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>АБДУЛМЕДЖИДОВ Руслан Ибрагимович</v>
      </c>
      <c r="C10" s="238" t="str">
        <f>IFERROR(VLOOKUP(A10,пр.взв!$B$7:$H$14,3,0),"")</f>
        <v>27.06.96, МС</v>
      </c>
      <c r="D10" s="238" t="str">
        <f>IFERROR(VLOOKUP(A10,пр.взв!$B$7:$H$14,5,0),"")</f>
        <v>Москва, Москва, Д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 xml:space="preserve">КАЛИНИН Денис Александрович </v>
      </c>
      <c r="S10" s="238" t="str">
        <f>IFERROR(VLOOKUP(U10,пр.взв!$B$7:$H$14,3,0),"")</f>
        <v>03.08.94, МС</v>
      </c>
      <c r="T10" s="238" t="str">
        <f>IFERROR(VLOOKUP(U10,пр.взв!$B$7:$H$14,5,0),"")</f>
        <v>Москва, Москва, Д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 xml:space="preserve">КУРЖЕВ  Уали Рамазанович </v>
      </c>
      <c r="C12" s="236" t="str">
        <f>IFERROR(VLOOKUP(A12,пр.взв!$B$7:$H$14,3,0),"")</f>
        <v>28.04.89, ЗМС</v>
      </c>
      <c r="D12" s="236" t="str">
        <f>IFERROR(VLOOKUP(A12,пр.взв!$B$7:$H$14,5,0),"")</f>
        <v>Свердловская, Верхняя Пышма, Д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 xml:space="preserve">КРИВЫХ Артём  Андреевич </v>
      </c>
      <c r="S12" s="236" t="str">
        <f>IFERROR(VLOOKUP(U12,пр.взв!$B$7:$H$14,3,0),"")</f>
        <v>23.06.99, КМС</v>
      </c>
      <c r="T12" s="236" t="str">
        <f>IFERROR(VLOOKUP(U12,пр.взв!$B$7:$H$14,5,0),"")</f>
        <v>Свердловская, Верхняя Пышма , МС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/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/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>САИДОВ  Хожиакбар Мухамадхонович</v>
      </c>
      <c r="C14" s="238" t="str">
        <f>IFERROR(VLOOKUP(A14,пр.взв!$B$7:$H$14,3,0),"")</f>
        <v>25.08.99, МС</v>
      </c>
      <c r="D14" s="238" t="str">
        <f>IFERROR(VLOOKUP(A14,пр.взв!$B$7:$H$14,5,0),"")</f>
        <v>Москва, Москва, ВС</v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 xml:space="preserve">НАДЮКОВ Бислан Мосович </v>
      </c>
      <c r="S14" s="238" t="str">
        <f>IFERROR(VLOOKUP(U14,пр.взв!$B$7:$H$14,3,0),"")</f>
        <v>19.11.91, МСМК</v>
      </c>
      <c r="T14" s="238" t="str">
        <f>IFERROR(VLOOKUP(U14,пр.взв!$B$7:$H$14,5,0),"")</f>
        <v>Краснодарский, Курганинск , Д</v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 t="str">
        <f>Y23</f>
        <v xml:space="preserve"> 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 t="str">
        <f>Y24</f>
        <v xml:space="preserve"> </v>
      </c>
      <c r="V23" s="71"/>
      <c r="X23" s="92"/>
      <c r="Y23" s="93" t="str">
        <f>IF(A14=""," ",IF(E13=""," ",IF(E13=A12,A14,IF(E13=A14,A12,"Х"))))</f>
        <v xml:space="preserve"> </v>
      </c>
      <c r="Z23" s="94" t="str">
        <f>IF(A23="","",IF(A23=C22,A21,A23))</f>
        <v xml:space="preserve"> 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 t="str">
        <f>IF(U14=""," ",IF(Q13=""," ",IF(Q13=U12,U14,IF(Q13=U14,U12,"Х"))))</f>
        <v xml:space="preserve"> </v>
      </c>
      <c r="Z24" s="94" t="str">
        <f>IF(U23="","",IF(U23=R22,U21,U23))</f>
        <v xml:space="preserve"> 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79 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79 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>СКРЯБИН Станислав Михайлович</v>
      </c>
      <c r="D6" s="331" t="str">
        <f>IFERROR(VLOOKUP(B6,пр.взв!$B$7:$H$14,3,0),"")</f>
        <v>18.12.88, ЗМС</v>
      </c>
      <c r="E6" s="284" t="str">
        <f>IFERROR(VLOOKUP(B6,пр.взв!$B$7:$H$14,4,0),"")</f>
        <v>УФО</v>
      </c>
      <c r="F6" s="331" t="str">
        <f>IFERROR(VLOOKUP(B6,пр.взв!$B$7:$H$14,5,0),"")</f>
        <v>Свердловская, Верхняя Пышма, Д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 xml:space="preserve">ГУКЕВ  Рамед Мухамедович </v>
      </c>
      <c r="N6" s="331" t="str">
        <f>IFERROR(VLOOKUP(L6,пр.взв!$B$7:$H$14,3,0),"")</f>
        <v>08.04.93, МС</v>
      </c>
      <c r="O6" s="284" t="str">
        <f>IFERROR(VLOOKUP(L6,пр.взв!$B$7:$H$14,4,0),"")</f>
        <v>УФО</v>
      </c>
      <c r="P6" s="331" t="str">
        <f>IFERROR(VLOOKUP(L6,пр.взв!$B$7:$H$14,5,0),"")</f>
        <v>Свердловская, Верхняя Пышма , Д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>АБДУЛМЕДЖИДОВ Руслан Ибрагимович</v>
      </c>
      <c r="D8" s="286" t="str">
        <f>IFERROR(VLOOKUP(B8,пр.взв!$B$7:$H$14,3,0),"")</f>
        <v>27.06.96, МС</v>
      </c>
      <c r="E8" s="286" t="str">
        <f>IFERROR(VLOOKUP(B8,пр.взв!$B$7:$H$14,4,0),"")</f>
        <v>МОС</v>
      </c>
      <c r="F8" s="286" t="str">
        <f>IFERROR(VLOOKUP(B8,пр.взв!$B$7:$H$14,5,0),"")</f>
        <v>Москва, Москва, Д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 xml:space="preserve">КАЛИНИН Денис Александрович </v>
      </c>
      <c r="N8" s="286" t="str">
        <f>IFERROR(VLOOKUP(L8,пр.взв!$B$7:$H$14,3,0),"")</f>
        <v>03.08.94, МС</v>
      </c>
      <c r="O8" s="286" t="str">
        <f>IFERROR(VLOOKUP(L8,пр.взв!$B$7:$H$14,4,0),"")</f>
        <v>МОС</v>
      </c>
      <c r="P8" s="286" t="str">
        <f>IFERROR(VLOOKUP(L8,пр.взв!$B$7:$H$14,5,0),"")</f>
        <v>Москва, Москва, Д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 xml:space="preserve">КУРЖЕВ  Уали Рамазанович </v>
      </c>
      <c r="D10" s="284" t="str">
        <f>IFERROR(VLOOKUP(B10,пр.взв!$B$7:$H$14,3,0),"")</f>
        <v>28.04.89, ЗМС</v>
      </c>
      <c r="E10" s="284" t="str">
        <f>IFERROR(VLOOKUP(B10,пр.взв!$B$7:$H$14,4,0),"")</f>
        <v>УФО</v>
      </c>
      <c r="F10" s="284" t="str">
        <f>IFERROR(VLOOKUP(B10,пр.взв!$B$7:$H$14,5,0),"")</f>
        <v>Свердловская, Верхняя Пышма, Д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 xml:space="preserve">КРИВЫХ Артём  Андреевич </v>
      </c>
      <c r="N10" s="284" t="str">
        <f>IFERROR(VLOOKUP(L10,пр.взв!$B$7:$H$14,3,0),"")</f>
        <v>23.06.99, КМС</v>
      </c>
      <c r="O10" s="284" t="str">
        <f>IFERROR(VLOOKUP(L10,пр.взв!$B$7:$H$14,4,0),"")</f>
        <v>УФО</v>
      </c>
      <c r="P10" s="284" t="str">
        <f>IFERROR(VLOOKUP(L10,пр.взв!$B$7:$H$14,5,0),"")</f>
        <v>Свердловская, Верхняя Пышма , МС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>САИДОВ  Хожиакбар Мухамадхонович</v>
      </c>
      <c r="D12" s="286" t="str">
        <f>IFERROR(VLOOKUP(B12,пр.взв!$B$7:$H$14,3,0),"")</f>
        <v>25.08.99, МС</v>
      </c>
      <c r="E12" s="286" t="str">
        <f>IFERROR(VLOOKUP(B12,пр.взв!$B$7:$H$14,4,0),"")</f>
        <v>МОС</v>
      </c>
      <c r="F12" s="286" t="str">
        <f>IFERROR(VLOOKUP(B12,пр.взв!$B$7:$H$14,5,0),"")</f>
        <v>Москва, Москва, ВС</v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 xml:space="preserve">НАДЮКОВ Бислан Мосович </v>
      </c>
      <c r="N12" s="286" t="str">
        <f>IFERROR(VLOOKUP(L12,пр.взв!$B$7:$H$14,3,0),"")</f>
        <v>19.11.91, МСМК</v>
      </c>
      <c r="O12" s="286" t="str">
        <f>IFERROR(VLOOKUP(L12,пр.взв!$B$7:$H$14,4,0),"")</f>
        <v>ЮФО</v>
      </c>
      <c r="P12" s="286" t="str">
        <f>IFERROR(VLOOKUP(L12,пр.взв!$B$7:$H$14,5,0),"")</f>
        <v>Краснодарский, Курганинск , Д</v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79 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79 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0</v>
      </c>
      <c r="C20" s="294" t="str">
        <f>IFERROR(VLOOKUP(B20,пр.взв!$B$7:$H$14,2,0),"")</f>
        <v/>
      </c>
      <c r="D20" s="286" t="str">
        <f>IFERROR(VLOOKUP(B20,пр.взв!$B$7:$H$14,3,0),"")</f>
        <v/>
      </c>
      <c r="E20" s="286" t="str">
        <f>IFERROR(VLOOKUP(B20,пр.взв!$B$7:$H$14,4,0),"")</f>
        <v/>
      </c>
      <c r="F20" s="286" t="str">
        <f>IFERROR(VLOOKUP(B20,пр.взв!$B$7:$H$14,5,0),"")</f>
        <v/>
      </c>
      <c r="G20" s="307"/>
      <c r="H20" s="307"/>
      <c r="I20" s="212"/>
      <c r="J20" s="212"/>
      <c r="K20" s="327"/>
      <c r="L20" s="330">
        <f>пр.хода!Q13</f>
        <v>0</v>
      </c>
      <c r="M20" s="294" t="str">
        <f>IFERROR(VLOOKUP(L20,пр.взв!$B$7:$H$14,2,0),"")</f>
        <v/>
      </c>
      <c r="N20" s="286" t="str">
        <f>IFERROR(VLOOKUP(L20,пр.взв!$B$7:$H$14,3,0),"")</f>
        <v/>
      </c>
      <c r="O20" s="286" t="str">
        <f>IFERROR(VLOOKUP(L20,пр.взв!$B$7:$H$14,4,0),"")</f>
        <v/>
      </c>
      <c r="P20" s="286" t="str">
        <f>IFERROR(VLOOKUP(L20,пр.взв!$B$7:$H$14,5,0),"")</f>
        <v/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79 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79 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 t="str">
        <f>пр.хода!A23</f>
        <v xml:space="preserve"> 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 t="str">
        <f>пр.хода!U23</f>
        <v xml:space="preserve"> 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79 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 t="str">
        <f>пр.хода!Z23</f>
        <v xml:space="preserve"> 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 t="str">
        <f>пр.хода!Z24</f>
        <v xml:space="preserve"> 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79 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79 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79 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79 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79 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>СКРЯБИН Станислав Михайлович</v>
      </c>
      <c r="C6" s="224" t="str">
        <f>VLOOKUP(A6,пр.взв!B6:H14,3,FALSE)</f>
        <v>18.12.88, ЗМС</v>
      </c>
      <c r="D6" s="224" t="str">
        <f>VLOOKUP(A6,пр.взв!B6:H14,5,FALSE)</f>
        <v>Свердловская, Верхняя Пышма, Д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>АБДУЛМЕДЖИДОВ Руслан Ибрагимович</v>
      </c>
      <c r="C8" s="237" t="str">
        <f>VLOOKUP(A8,пр.взв!B6:H14,3,FALSE)</f>
        <v>27.06.96, МС</v>
      </c>
      <c r="D8" s="237" t="str">
        <f>VLOOKUP(A8,пр.взв!B6:H14,5,FALSE)</f>
        <v>Москва, Москва, Д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28.04.89, ЗМС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str">
        <f>VLOOKUP('стартвый '!A12:A13,пр.взв!B12:C14,2,FALSE)</f>
        <v>САИДОВ  Хожиакбар Мухамадхонович</v>
      </c>
      <c r="C12" s="237" t="str">
        <f>VLOOKUP(A12,пр.взв!B6:H14,3,FALSE)</f>
        <v>25.08.99, МС</v>
      </c>
      <c r="D12" s="237" t="str">
        <f>VLOOKUP(A12,пр.взв!B10:H14,5,FALSE)</f>
        <v>Москва, Москва, ВС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 xml:space="preserve">ГУКЕВ  Рамед Мухамедович </v>
      </c>
      <c r="C17" s="224" t="str">
        <f>VLOOKUP(A17,пр.взв!B7:H14,3,FALSE)</f>
        <v>08.04.93, МС</v>
      </c>
      <c r="D17" s="224" t="str">
        <f>VLOOKUP(A17,пр.взв!B7:H14,5,FALSE)</f>
        <v>Свердловская, Верхняя Пышма , Д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 xml:space="preserve">КАЛИНИН Денис Александрович </v>
      </c>
      <c r="C19" s="237" t="str">
        <f>VLOOKUP(A19,пр.взв!B7:H14,3,FALSE)</f>
        <v>03.08.94, МС</v>
      </c>
      <c r="D19" s="237" t="str">
        <f>VLOOKUP(A19,пр.взв!B7:H14,5,FALSE)</f>
        <v>Москва, Москва, Д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 xml:space="preserve">КРИВЫХ Артём  Андреевич </v>
      </c>
      <c r="C21" s="224" t="str">
        <f>VLOOKUP(A21,пр.взв!B7:H14,3,FALSE)</f>
        <v>23.06.99, КМС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str">
        <f>VLOOKUP('стартвый '!A23:A24,пр.взв!B7:H14,2,FALSE)</f>
        <v xml:space="preserve">НАДЮКОВ Бислан Мосович </v>
      </c>
      <c r="C23" s="237" t="str">
        <f>VLOOKUP(A23,пр.взв!B7:H14,3,FALSE)</f>
        <v>19.11.91, МСМК</v>
      </c>
      <c r="D23" s="237" t="str">
        <f>VLOOKUP(A23,пр.взв!B11:H14,5,FALSE)</f>
        <v>Краснодарский, Курганинск , Д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2022-08-26T16:00:52Z</cp:lastPrinted>
  <dcterms:created xsi:type="dcterms:W3CDTF">1996-10-08T23:32:33Z</dcterms:created>
  <dcterms:modified xsi:type="dcterms:W3CDTF">2022-08-26T16:01:12Z</dcterms:modified>
</cp:coreProperties>
</file>